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5.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27"/>
  <workbookPr/>
  <mc:AlternateContent xmlns:mc="http://schemas.openxmlformats.org/markup-compatibility/2006">
    <mc:Choice Requires="x15">
      <x15ac:absPath xmlns:x15ac="http://schemas.microsoft.com/office/spreadsheetml/2010/11/ac" url="C:\Users\brook\OneDrive\Documents\Projects\Coding\Work\API 1102 Loading\Refs\"/>
    </mc:Choice>
  </mc:AlternateContent>
  <xr:revisionPtr revIDLastSave="0" documentId="13_ncr:2000001_{4AE6BC32-A3CD-4EB2-89DB-74CF4A4571E7}" xr6:coauthVersionLast="47" xr6:coauthVersionMax="47" xr10:uidLastSave="{00000000-0000-0000-0000-000000000000}"/>
  <bookViews>
    <workbookView xWindow="-108" yWindow="-108" windowWidth="23256" windowHeight="12456" activeTab="9" xr2:uid="{00000000-000D-0000-FFFF-FFFF00000000}"/>
  </bookViews>
  <sheets>
    <sheet name="Cover" sheetId="1" r:id="rId1"/>
    <sheet name="Approval" sheetId="2" r:id="rId2"/>
    <sheet name="Instructions" sheetId="3" r:id="rId3"/>
    <sheet name="Contents" sheetId="4" r:id="rId4"/>
    <sheet name="Info" sheetId="5" r:id="rId5"/>
    <sheet name="Highway Loading" sheetId="6" r:id="rId6"/>
    <sheet name="Hand Calcs" sheetId="7" r:id="rId7"/>
    <sheet name="Tables" sheetId="8" r:id="rId8"/>
    <sheet name="Sources" sheetId="9" r:id="rId9"/>
    <sheet name="Testing" sheetId="10" r:id="rId10"/>
  </sheet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A169" i="10" l="1"/>
  <c r="AO169" i="10"/>
  <c r="AG169" i="10"/>
  <c r="AE169" i="10"/>
  <c r="AD169" i="10"/>
  <c r="AC169" i="10"/>
  <c r="AB169" i="10"/>
  <c r="AA169" i="10"/>
  <c r="Z169" i="10"/>
  <c r="Y169" i="10"/>
  <c r="X169" i="10"/>
  <c r="W169" i="10"/>
  <c r="U169" i="10"/>
  <c r="BA168" i="10"/>
  <c r="AO168" i="10"/>
  <c r="AG168" i="10"/>
  <c r="AE168" i="10"/>
  <c r="AD168" i="10"/>
  <c r="AC168" i="10"/>
  <c r="AB168" i="10"/>
  <c r="AA168" i="10"/>
  <c r="Z168" i="10"/>
  <c r="Y168" i="10"/>
  <c r="X168" i="10"/>
  <c r="W168" i="10"/>
  <c r="U168" i="10"/>
  <c r="BA167" i="10"/>
  <c r="AO167" i="10"/>
  <c r="AG167" i="10"/>
  <c r="AE167" i="10"/>
  <c r="AD167" i="10"/>
  <c r="AC167" i="10"/>
  <c r="AB167" i="10"/>
  <c r="AA167" i="10"/>
  <c r="Z167" i="10"/>
  <c r="Y167" i="10"/>
  <c r="X167" i="10"/>
  <c r="W167" i="10"/>
  <c r="U167" i="10"/>
  <c r="BA166" i="10"/>
  <c r="AO166" i="10"/>
  <c r="AG166" i="10"/>
  <c r="AE166" i="10"/>
  <c r="AD166" i="10"/>
  <c r="AC166" i="10"/>
  <c r="AB166" i="10"/>
  <c r="AA166" i="10"/>
  <c r="Z166" i="10"/>
  <c r="Y166" i="10"/>
  <c r="X166" i="10"/>
  <c r="W166" i="10"/>
  <c r="U166" i="10"/>
  <c r="BA165" i="10"/>
  <c r="AO165" i="10"/>
  <c r="AG165" i="10"/>
  <c r="AE165" i="10"/>
  <c r="AD165" i="10"/>
  <c r="AC165" i="10"/>
  <c r="AB165" i="10"/>
  <c r="AA165" i="10"/>
  <c r="Z165" i="10"/>
  <c r="Y165" i="10"/>
  <c r="X165" i="10"/>
  <c r="W165" i="10"/>
  <c r="U165" i="10"/>
  <c r="BA164" i="10"/>
  <c r="AO164" i="10"/>
  <c r="AG164" i="10"/>
  <c r="AE164" i="10"/>
  <c r="AD164" i="10"/>
  <c r="AC164" i="10"/>
  <c r="AB164" i="10"/>
  <c r="AA164" i="10"/>
  <c r="Z164" i="10"/>
  <c r="Y164" i="10"/>
  <c r="X164" i="10"/>
  <c r="W164" i="10"/>
  <c r="U164" i="10"/>
  <c r="BA163" i="10"/>
  <c r="AO163" i="10"/>
  <c r="AG163" i="10"/>
  <c r="AE163" i="10"/>
  <c r="AD163" i="10"/>
  <c r="AC163" i="10"/>
  <c r="AB163" i="10"/>
  <c r="AA163" i="10"/>
  <c r="Z163" i="10"/>
  <c r="Y163" i="10"/>
  <c r="X163" i="10"/>
  <c r="W163" i="10"/>
  <c r="U163" i="10"/>
  <c r="BA162" i="10"/>
  <c r="AO162" i="10"/>
  <c r="AG162" i="10"/>
  <c r="AE162" i="10"/>
  <c r="AD162" i="10"/>
  <c r="AC162" i="10"/>
  <c r="AB162" i="10"/>
  <c r="AA162" i="10"/>
  <c r="Z162" i="10"/>
  <c r="Y162" i="10"/>
  <c r="X162" i="10"/>
  <c r="W162" i="10"/>
  <c r="U162" i="10"/>
  <c r="BA161" i="10"/>
  <c r="AO161" i="10"/>
  <c r="AG161" i="10"/>
  <c r="AE161" i="10"/>
  <c r="AD161" i="10"/>
  <c r="AC161" i="10"/>
  <c r="AB161" i="10"/>
  <c r="AA161" i="10"/>
  <c r="Z161" i="10"/>
  <c r="Y161" i="10"/>
  <c r="X161" i="10"/>
  <c r="W161" i="10"/>
  <c r="U161" i="10"/>
  <c r="BA160" i="10"/>
  <c r="AO160" i="10"/>
  <c r="AG160" i="10"/>
  <c r="AE160" i="10"/>
  <c r="AD160" i="10"/>
  <c r="AC160" i="10"/>
  <c r="AB160" i="10"/>
  <c r="AA160" i="10"/>
  <c r="Z160" i="10"/>
  <c r="Y160" i="10"/>
  <c r="X160" i="10"/>
  <c r="W160" i="10"/>
  <c r="U160" i="10"/>
  <c r="BA159" i="10"/>
  <c r="AO159" i="10"/>
  <c r="AG159" i="10"/>
  <c r="AE159" i="10"/>
  <c r="AD159" i="10"/>
  <c r="AC159" i="10"/>
  <c r="AB159" i="10"/>
  <c r="AA159" i="10"/>
  <c r="Z159" i="10"/>
  <c r="Y159" i="10"/>
  <c r="X159" i="10"/>
  <c r="W159" i="10"/>
  <c r="U159" i="10"/>
  <c r="BA158" i="10"/>
  <c r="AO158" i="10"/>
  <c r="AG158" i="10"/>
  <c r="AE158" i="10"/>
  <c r="AD158" i="10"/>
  <c r="AC158" i="10"/>
  <c r="AB158" i="10"/>
  <c r="AA158" i="10"/>
  <c r="Z158" i="10"/>
  <c r="Y158" i="10"/>
  <c r="X158" i="10"/>
  <c r="W158" i="10"/>
  <c r="U158" i="10"/>
  <c r="BA157" i="10"/>
  <c r="AO157" i="10"/>
  <c r="AG157" i="10"/>
  <c r="AE157" i="10"/>
  <c r="AD157" i="10"/>
  <c r="AC157" i="10"/>
  <c r="AB157" i="10"/>
  <c r="AA157" i="10"/>
  <c r="Z157" i="10"/>
  <c r="Y157" i="10"/>
  <c r="X157" i="10"/>
  <c r="W157" i="10"/>
  <c r="U157" i="10"/>
  <c r="BA156" i="10"/>
  <c r="AO156" i="10"/>
  <c r="AG156" i="10"/>
  <c r="AE156" i="10"/>
  <c r="AD156" i="10"/>
  <c r="AC156" i="10"/>
  <c r="AB156" i="10"/>
  <c r="AA156" i="10"/>
  <c r="Z156" i="10"/>
  <c r="Y156" i="10"/>
  <c r="X156" i="10"/>
  <c r="W156" i="10"/>
  <c r="U156" i="10"/>
  <c r="BA155" i="10"/>
  <c r="AO155" i="10"/>
  <c r="AG155" i="10"/>
  <c r="AE155" i="10"/>
  <c r="AD155" i="10"/>
  <c r="AC155" i="10"/>
  <c r="AB155" i="10"/>
  <c r="AA155" i="10"/>
  <c r="Z155" i="10"/>
  <c r="Y155" i="10"/>
  <c r="X155" i="10"/>
  <c r="W155" i="10"/>
  <c r="U155" i="10"/>
  <c r="BA154" i="10"/>
  <c r="AO154" i="10"/>
  <c r="AG154" i="10"/>
  <c r="AE154" i="10"/>
  <c r="AD154" i="10"/>
  <c r="AC154" i="10"/>
  <c r="AB154" i="10"/>
  <c r="AA154" i="10"/>
  <c r="Z154" i="10"/>
  <c r="Y154" i="10"/>
  <c r="X154" i="10"/>
  <c r="W154" i="10"/>
  <c r="U154" i="10"/>
  <c r="BA153" i="10"/>
  <c r="AO153" i="10"/>
  <c r="AG153" i="10"/>
  <c r="AE153" i="10"/>
  <c r="AD153" i="10"/>
  <c r="AC153" i="10"/>
  <c r="AB153" i="10"/>
  <c r="AA153" i="10"/>
  <c r="Z153" i="10"/>
  <c r="Y153" i="10"/>
  <c r="X153" i="10"/>
  <c r="W153" i="10"/>
  <c r="U153" i="10"/>
  <c r="BA152" i="10"/>
  <c r="AO152" i="10"/>
  <c r="AG152" i="10"/>
  <c r="AE152" i="10"/>
  <c r="AD152" i="10"/>
  <c r="AC152" i="10"/>
  <c r="AB152" i="10"/>
  <c r="AA152" i="10"/>
  <c r="Z152" i="10"/>
  <c r="Y152" i="10"/>
  <c r="X152" i="10"/>
  <c r="W152" i="10"/>
  <c r="U152" i="10"/>
  <c r="BA151" i="10"/>
  <c r="AO151" i="10"/>
  <c r="AG151" i="10"/>
  <c r="AE151" i="10"/>
  <c r="AD151" i="10"/>
  <c r="AC151" i="10"/>
  <c r="AB151" i="10"/>
  <c r="AA151" i="10"/>
  <c r="Z151" i="10"/>
  <c r="Y151" i="10"/>
  <c r="X151" i="10"/>
  <c r="W151" i="10"/>
  <c r="U151" i="10"/>
  <c r="BA150" i="10"/>
  <c r="AO150" i="10"/>
  <c r="AG150" i="10"/>
  <c r="AE150" i="10"/>
  <c r="AD150" i="10"/>
  <c r="AC150" i="10"/>
  <c r="AB150" i="10"/>
  <c r="AA150" i="10"/>
  <c r="Z150" i="10"/>
  <c r="Y150" i="10"/>
  <c r="X150" i="10"/>
  <c r="W150" i="10"/>
  <c r="U150" i="10"/>
  <c r="BA149" i="10"/>
  <c r="AO149" i="10"/>
  <c r="AG149" i="10"/>
  <c r="AE149" i="10"/>
  <c r="AD149" i="10"/>
  <c r="AC149" i="10"/>
  <c r="AB149" i="10"/>
  <c r="AA149" i="10"/>
  <c r="Z149" i="10"/>
  <c r="Y149" i="10"/>
  <c r="X149" i="10"/>
  <c r="W149" i="10"/>
  <c r="U149" i="10"/>
  <c r="BA148" i="10"/>
  <c r="AO148" i="10"/>
  <c r="AG148" i="10"/>
  <c r="AE148" i="10"/>
  <c r="AD148" i="10"/>
  <c r="AC148" i="10"/>
  <c r="AB148" i="10"/>
  <c r="AA148" i="10"/>
  <c r="Z148" i="10"/>
  <c r="Y148" i="10"/>
  <c r="X148" i="10"/>
  <c r="W148" i="10"/>
  <c r="U148" i="10"/>
  <c r="BA147" i="10"/>
  <c r="AO147" i="10"/>
  <c r="AG147" i="10"/>
  <c r="AE147" i="10"/>
  <c r="AD147" i="10"/>
  <c r="AC147" i="10"/>
  <c r="AB147" i="10"/>
  <c r="AA147" i="10"/>
  <c r="Z147" i="10"/>
  <c r="Y147" i="10"/>
  <c r="X147" i="10"/>
  <c r="W147" i="10"/>
  <c r="U147" i="10"/>
  <c r="BA146" i="10"/>
  <c r="AO146" i="10"/>
  <c r="AG146" i="10"/>
  <c r="AE146" i="10"/>
  <c r="AD146" i="10"/>
  <c r="AC146" i="10"/>
  <c r="AB146" i="10"/>
  <c r="AA146" i="10"/>
  <c r="Z146" i="10"/>
  <c r="Y146" i="10"/>
  <c r="X146" i="10"/>
  <c r="W146" i="10"/>
  <c r="U146" i="10"/>
  <c r="BA145" i="10"/>
  <c r="AO145" i="10"/>
  <c r="AG145" i="10"/>
  <c r="AE145" i="10"/>
  <c r="AD145" i="10"/>
  <c r="AC145" i="10"/>
  <c r="AB145" i="10"/>
  <c r="AA145" i="10"/>
  <c r="Z145" i="10"/>
  <c r="Y145" i="10"/>
  <c r="X145" i="10"/>
  <c r="W145" i="10"/>
  <c r="U145" i="10"/>
  <c r="BA144" i="10"/>
  <c r="AO144" i="10"/>
  <c r="AG144" i="10"/>
  <c r="AE144" i="10"/>
  <c r="AD144" i="10"/>
  <c r="AC144" i="10"/>
  <c r="AB144" i="10"/>
  <c r="AA144" i="10"/>
  <c r="Z144" i="10"/>
  <c r="Y144" i="10"/>
  <c r="X144" i="10"/>
  <c r="W144" i="10"/>
  <c r="U144" i="10"/>
  <c r="BA143" i="10"/>
  <c r="AO143" i="10"/>
  <c r="AG143" i="10"/>
  <c r="AE143" i="10"/>
  <c r="AD143" i="10"/>
  <c r="AC143" i="10"/>
  <c r="AL143" i="10" s="1"/>
  <c r="AB143" i="10"/>
  <c r="AA143" i="10"/>
  <c r="Z143" i="10"/>
  <c r="Y143" i="10"/>
  <c r="X143" i="10"/>
  <c r="W143" i="10"/>
  <c r="U143" i="10"/>
  <c r="BA142" i="10"/>
  <c r="AO142" i="10"/>
  <c r="AG142" i="10"/>
  <c r="AE142" i="10"/>
  <c r="AD142" i="10"/>
  <c r="AC142" i="10"/>
  <c r="AB142" i="10"/>
  <c r="AA142" i="10"/>
  <c r="Z142" i="10"/>
  <c r="Y142" i="10"/>
  <c r="X142" i="10"/>
  <c r="W142" i="10"/>
  <c r="U142" i="10"/>
  <c r="BA141" i="10"/>
  <c r="AO141" i="10"/>
  <c r="AG141" i="10"/>
  <c r="AE141" i="10"/>
  <c r="AD141" i="10"/>
  <c r="AC141" i="10"/>
  <c r="AB141" i="10"/>
  <c r="AA141" i="10"/>
  <c r="Z141" i="10"/>
  <c r="Y141" i="10"/>
  <c r="X141" i="10"/>
  <c r="W141" i="10"/>
  <c r="U141" i="10"/>
  <c r="BA140" i="10"/>
  <c r="AO140" i="10"/>
  <c r="AG140" i="10"/>
  <c r="AE140" i="10"/>
  <c r="AD140" i="10"/>
  <c r="AC140" i="10"/>
  <c r="AB140" i="10"/>
  <c r="AA140" i="10"/>
  <c r="Z140" i="10"/>
  <c r="Y140" i="10"/>
  <c r="X140" i="10"/>
  <c r="W140" i="10"/>
  <c r="U140" i="10"/>
  <c r="BA139" i="10"/>
  <c r="AO139" i="10"/>
  <c r="AG139" i="10"/>
  <c r="AE139" i="10"/>
  <c r="AD139" i="10"/>
  <c r="AC139" i="10"/>
  <c r="AB139" i="10"/>
  <c r="AA139" i="10"/>
  <c r="Z139" i="10"/>
  <c r="Y139" i="10"/>
  <c r="X139" i="10"/>
  <c r="W139" i="10"/>
  <c r="U139" i="10"/>
  <c r="BA138" i="10"/>
  <c r="AO138" i="10"/>
  <c r="AG138" i="10"/>
  <c r="AE138" i="10"/>
  <c r="AD138" i="10"/>
  <c r="AC138" i="10"/>
  <c r="AB138" i="10"/>
  <c r="AA138" i="10"/>
  <c r="Z138" i="10"/>
  <c r="Y138" i="10"/>
  <c r="X138" i="10"/>
  <c r="W138" i="10"/>
  <c r="U138" i="10"/>
  <c r="BA137" i="10"/>
  <c r="AO137" i="10"/>
  <c r="AG137" i="10"/>
  <c r="AE137" i="10"/>
  <c r="AD137" i="10"/>
  <c r="AC137" i="10"/>
  <c r="AB137" i="10"/>
  <c r="AA137" i="10"/>
  <c r="Z137" i="10"/>
  <c r="Y137" i="10"/>
  <c r="X137" i="10"/>
  <c r="W137" i="10"/>
  <c r="U137" i="10"/>
  <c r="BA136" i="10"/>
  <c r="AO136" i="10"/>
  <c r="AG136" i="10"/>
  <c r="AE136" i="10"/>
  <c r="AD136" i="10"/>
  <c r="AC136" i="10"/>
  <c r="AB136" i="10"/>
  <c r="AA136" i="10"/>
  <c r="Z136" i="10"/>
  <c r="Y136" i="10"/>
  <c r="X136" i="10"/>
  <c r="W136" i="10"/>
  <c r="U136" i="10"/>
  <c r="BA135" i="10"/>
  <c r="AO135" i="10"/>
  <c r="AG135" i="10"/>
  <c r="AE135" i="10"/>
  <c r="AD135" i="10"/>
  <c r="AC135" i="10"/>
  <c r="AB135" i="10"/>
  <c r="AA135" i="10"/>
  <c r="Z135" i="10"/>
  <c r="Y135" i="10"/>
  <c r="X135" i="10"/>
  <c r="W135" i="10"/>
  <c r="U135" i="10"/>
  <c r="BA134" i="10"/>
  <c r="AO134" i="10"/>
  <c r="AG134" i="10"/>
  <c r="AE134" i="10"/>
  <c r="AD134" i="10"/>
  <c r="AC134" i="10"/>
  <c r="AB134" i="10"/>
  <c r="AA134" i="10"/>
  <c r="Z134" i="10"/>
  <c r="Y134" i="10"/>
  <c r="X134" i="10"/>
  <c r="W134" i="10"/>
  <c r="U134" i="10"/>
  <c r="BA133" i="10"/>
  <c r="AO133" i="10"/>
  <c r="AG133" i="10"/>
  <c r="AE133" i="10"/>
  <c r="AD133" i="10"/>
  <c r="AC133" i="10"/>
  <c r="AB133" i="10"/>
  <c r="AA133" i="10"/>
  <c r="Z133" i="10"/>
  <c r="Y133" i="10"/>
  <c r="X133" i="10"/>
  <c r="W133" i="10"/>
  <c r="U133" i="10"/>
  <c r="BA132" i="10"/>
  <c r="AO132" i="10"/>
  <c r="AG132" i="10"/>
  <c r="AE132" i="10"/>
  <c r="AD132" i="10"/>
  <c r="AC132" i="10"/>
  <c r="AB132" i="10"/>
  <c r="AA132" i="10"/>
  <c r="Z132" i="10"/>
  <c r="Y132" i="10"/>
  <c r="X132" i="10"/>
  <c r="W132" i="10"/>
  <c r="U132" i="10"/>
  <c r="BA131" i="10"/>
  <c r="AO131" i="10"/>
  <c r="AG131" i="10"/>
  <c r="AE131" i="10"/>
  <c r="AD131" i="10"/>
  <c r="AC131" i="10"/>
  <c r="AB131" i="10"/>
  <c r="AA131" i="10"/>
  <c r="Z131" i="10"/>
  <c r="Y131" i="10"/>
  <c r="X131" i="10"/>
  <c r="W131" i="10"/>
  <c r="U131" i="10"/>
  <c r="BA130" i="10"/>
  <c r="AO130" i="10"/>
  <c r="AG130" i="10"/>
  <c r="AE130" i="10"/>
  <c r="AD130" i="10"/>
  <c r="AC130" i="10"/>
  <c r="AB130" i="10"/>
  <c r="AA130" i="10"/>
  <c r="Z130" i="10"/>
  <c r="Y130" i="10"/>
  <c r="X130" i="10"/>
  <c r="W130" i="10"/>
  <c r="U130" i="10"/>
  <c r="BA129" i="10"/>
  <c r="AO129" i="10"/>
  <c r="AG129" i="10"/>
  <c r="AE129" i="10"/>
  <c r="AD129" i="10"/>
  <c r="AC129" i="10"/>
  <c r="AB129" i="10"/>
  <c r="AA129" i="10"/>
  <c r="Z129" i="10"/>
  <c r="Y129" i="10"/>
  <c r="X129" i="10"/>
  <c r="W129" i="10"/>
  <c r="U129" i="10"/>
  <c r="BA128" i="10"/>
  <c r="AO128" i="10"/>
  <c r="AG128" i="10"/>
  <c r="AE128" i="10"/>
  <c r="AD128" i="10"/>
  <c r="AC128" i="10"/>
  <c r="AB128" i="10"/>
  <c r="AA128" i="10"/>
  <c r="Z128" i="10"/>
  <c r="Y128" i="10"/>
  <c r="X128" i="10"/>
  <c r="W128" i="10"/>
  <c r="U128" i="10"/>
  <c r="BA127" i="10"/>
  <c r="AO127" i="10"/>
  <c r="AG127" i="10"/>
  <c r="AE127" i="10"/>
  <c r="AD127" i="10"/>
  <c r="AC127" i="10"/>
  <c r="AB127" i="10"/>
  <c r="AA127" i="10"/>
  <c r="Z127" i="10"/>
  <c r="Y127" i="10"/>
  <c r="X127" i="10"/>
  <c r="W127" i="10"/>
  <c r="U127" i="10"/>
  <c r="BA126" i="10"/>
  <c r="AO126" i="10"/>
  <c r="AG126" i="10"/>
  <c r="AE126" i="10"/>
  <c r="AD126" i="10"/>
  <c r="AC126" i="10"/>
  <c r="AB126" i="10"/>
  <c r="AA126" i="10"/>
  <c r="Z126" i="10"/>
  <c r="Y126" i="10"/>
  <c r="X126" i="10"/>
  <c r="W126" i="10"/>
  <c r="U126" i="10"/>
  <c r="BA125" i="10"/>
  <c r="AO125" i="10"/>
  <c r="AG125" i="10"/>
  <c r="AE125" i="10"/>
  <c r="AD125" i="10"/>
  <c r="AC125" i="10"/>
  <c r="AB125" i="10"/>
  <c r="AA125" i="10"/>
  <c r="Z125" i="10"/>
  <c r="Y125" i="10"/>
  <c r="X125" i="10"/>
  <c r="W125" i="10"/>
  <c r="U125" i="10"/>
  <c r="BA124" i="10"/>
  <c r="AO124" i="10"/>
  <c r="AG124" i="10"/>
  <c r="AE124" i="10"/>
  <c r="AD124" i="10"/>
  <c r="AC124" i="10"/>
  <c r="AB124" i="10"/>
  <c r="AA124" i="10"/>
  <c r="Z124" i="10"/>
  <c r="Y124" i="10"/>
  <c r="X124" i="10"/>
  <c r="W124" i="10"/>
  <c r="U124" i="10"/>
  <c r="BA123" i="10"/>
  <c r="AO123" i="10"/>
  <c r="AG123" i="10"/>
  <c r="AE123" i="10"/>
  <c r="AD123" i="10"/>
  <c r="AC123" i="10"/>
  <c r="AB123" i="10"/>
  <c r="AA123" i="10"/>
  <c r="Z123" i="10"/>
  <c r="Y123" i="10"/>
  <c r="X123" i="10"/>
  <c r="W123" i="10"/>
  <c r="U123" i="10"/>
  <c r="BA122" i="10"/>
  <c r="AO122" i="10"/>
  <c r="AG122" i="10"/>
  <c r="AE122" i="10"/>
  <c r="AD122" i="10"/>
  <c r="AC122" i="10"/>
  <c r="AB122" i="10"/>
  <c r="AA122" i="10"/>
  <c r="Z122" i="10"/>
  <c r="Y122" i="10"/>
  <c r="X122" i="10"/>
  <c r="W122" i="10"/>
  <c r="U122" i="10"/>
  <c r="BA121" i="10"/>
  <c r="AO121" i="10"/>
  <c r="AG121" i="10"/>
  <c r="AE121" i="10"/>
  <c r="AD121" i="10"/>
  <c r="AC121" i="10"/>
  <c r="AB121" i="10"/>
  <c r="AA121" i="10"/>
  <c r="Z121" i="10"/>
  <c r="Y121" i="10"/>
  <c r="X121" i="10"/>
  <c r="W121" i="10"/>
  <c r="U121" i="10"/>
  <c r="BA120" i="10"/>
  <c r="AO120" i="10"/>
  <c r="AG120" i="10"/>
  <c r="AE120" i="10"/>
  <c r="AD120" i="10"/>
  <c r="AC120" i="10"/>
  <c r="AB120" i="10"/>
  <c r="AA120" i="10"/>
  <c r="Z120" i="10"/>
  <c r="Y120" i="10"/>
  <c r="X120" i="10"/>
  <c r="W120" i="10"/>
  <c r="U120" i="10"/>
  <c r="BA119" i="10"/>
  <c r="AO119" i="10"/>
  <c r="AG119" i="10"/>
  <c r="AE119" i="10"/>
  <c r="AD119" i="10"/>
  <c r="AC119" i="10"/>
  <c r="AB119" i="10"/>
  <c r="AA119" i="10"/>
  <c r="Z119" i="10"/>
  <c r="Y119" i="10"/>
  <c r="X119" i="10"/>
  <c r="W119" i="10"/>
  <c r="U119" i="10"/>
  <c r="BA118" i="10"/>
  <c r="AO118" i="10"/>
  <c r="AG118" i="10"/>
  <c r="AE118" i="10"/>
  <c r="AD118" i="10"/>
  <c r="AC118" i="10"/>
  <c r="AB118" i="10"/>
  <c r="AA118" i="10"/>
  <c r="Z118" i="10"/>
  <c r="Y118" i="10"/>
  <c r="X118" i="10"/>
  <c r="W118" i="10"/>
  <c r="U118" i="10"/>
  <c r="BA117" i="10"/>
  <c r="AO117" i="10"/>
  <c r="AG117" i="10"/>
  <c r="AE117" i="10"/>
  <c r="AD117" i="10"/>
  <c r="AC117" i="10"/>
  <c r="AB117" i="10"/>
  <c r="AA117" i="10"/>
  <c r="Z117" i="10"/>
  <c r="Y117" i="10"/>
  <c r="X117" i="10"/>
  <c r="W117" i="10"/>
  <c r="U117" i="10"/>
  <c r="BA116" i="10"/>
  <c r="AO116" i="10"/>
  <c r="AG116" i="10"/>
  <c r="AE116" i="10"/>
  <c r="AD116" i="10"/>
  <c r="AC116" i="10"/>
  <c r="AB116" i="10"/>
  <c r="AA116" i="10"/>
  <c r="Z116" i="10"/>
  <c r="Y116" i="10"/>
  <c r="X116" i="10"/>
  <c r="W116" i="10"/>
  <c r="U116" i="10"/>
  <c r="AX116" i="10" s="1"/>
  <c r="BA115" i="10"/>
  <c r="AO115" i="10"/>
  <c r="AG115" i="10"/>
  <c r="AE115" i="10"/>
  <c r="AD115" i="10"/>
  <c r="AC115" i="10"/>
  <c r="AB115" i="10"/>
  <c r="AA115" i="10"/>
  <c r="Z115" i="10"/>
  <c r="Y115" i="10"/>
  <c r="X115" i="10"/>
  <c r="W115" i="10"/>
  <c r="U115" i="10"/>
  <c r="BA114" i="10"/>
  <c r="AO114" i="10"/>
  <c r="AG114" i="10"/>
  <c r="AE114" i="10"/>
  <c r="AD114" i="10"/>
  <c r="AC114" i="10"/>
  <c r="AB114" i="10"/>
  <c r="AA114" i="10"/>
  <c r="Z114" i="10"/>
  <c r="Y114" i="10"/>
  <c r="X114" i="10"/>
  <c r="W114" i="10"/>
  <c r="U114" i="10"/>
  <c r="BA113" i="10"/>
  <c r="AO113" i="10"/>
  <c r="AG113" i="10"/>
  <c r="AE113" i="10"/>
  <c r="AD113" i="10"/>
  <c r="AC113" i="10"/>
  <c r="AB113" i="10"/>
  <c r="AA113" i="10"/>
  <c r="Z113" i="10"/>
  <c r="Y113" i="10"/>
  <c r="X113" i="10"/>
  <c r="W113" i="10"/>
  <c r="U113" i="10"/>
  <c r="BA112" i="10"/>
  <c r="AO112" i="10"/>
  <c r="AG112" i="10"/>
  <c r="AE112" i="10"/>
  <c r="AD112" i="10"/>
  <c r="AC112" i="10"/>
  <c r="AB112" i="10"/>
  <c r="AA112" i="10"/>
  <c r="Z112" i="10"/>
  <c r="Y112" i="10"/>
  <c r="X112" i="10"/>
  <c r="W112" i="10"/>
  <c r="U112" i="10"/>
  <c r="BA111" i="10"/>
  <c r="AO111" i="10"/>
  <c r="AG111" i="10"/>
  <c r="AE111" i="10"/>
  <c r="AD111" i="10"/>
  <c r="AC111" i="10"/>
  <c r="AB111" i="10"/>
  <c r="AA111" i="10"/>
  <c r="Z111" i="10"/>
  <c r="Y111" i="10"/>
  <c r="X111" i="10"/>
  <c r="W111" i="10"/>
  <c r="U111" i="10"/>
  <c r="BA110" i="10"/>
  <c r="AO110" i="10"/>
  <c r="AG110" i="10"/>
  <c r="AE110" i="10"/>
  <c r="AD110" i="10"/>
  <c r="AC110" i="10"/>
  <c r="AB110" i="10"/>
  <c r="AA110" i="10"/>
  <c r="Z110" i="10"/>
  <c r="Y110" i="10"/>
  <c r="X110" i="10"/>
  <c r="W110" i="10"/>
  <c r="U110" i="10"/>
  <c r="BA109" i="10"/>
  <c r="AO109" i="10"/>
  <c r="AG109" i="10"/>
  <c r="AE109" i="10"/>
  <c r="AD109" i="10"/>
  <c r="AC109" i="10"/>
  <c r="AB109" i="10"/>
  <c r="AA109" i="10"/>
  <c r="Z109" i="10"/>
  <c r="Y109" i="10"/>
  <c r="X109" i="10"/>
  <c r="W109" i="10"/>
  <c r="U109" i="10"/>
  <c r="BA108" i="10"/>
  <c r="AO108" i="10"/>
  <c r="AG108" i="10"/>
  <c r="AE108" i="10"/>
  <c r="AD108" i="10"/>
  <c r="AC108" i="10"/>
  <c r="AB108" i="10"/>
  <c r="AA108" i="10"/>
  <c r="Z108" i="10"/>
  <c r="Y108" i="10"/>
  <c r="X108" i="10"/>
  <c r="W108" i="10"/>
  <c r="U108" i="10"/>
  <c r="BA107" i="10"/>
  <c r="AO107" i="10"/>
  <c r="AG107" i="10"/>
  <c r="AE107" i="10"/>
  <c r="AD107" i="10"/>
  <c r="AC107" i="10"/>
  <c r="AB107" i="10"/>
  <c r="AA107" i="10"/>
  <c r="Z107" i="10"/>
  <c r="Y107" i="10"/>
  <c r="X107" i="10"/>
  <c r="W107" i="10"/>
  <c r="U107" i="10"/>
  <c r="BA106" i="10"/>
  <c r="AO106" i="10"/>
  <c r="AG106" i="10"/>
  <c r="AE106" i="10"/>
  <c r="AD106" i="10"/>
  <c r="AC106" i="10"/>
  <c r="AB106" i="10"/>
  <c r="AA106" i="10"/>
  <c r="Z106" i="10"/>
  <c r="Y106" i="10"/>
  <c r="X106" i="10"/>
  <c r="W106" i="10"/>
  <c r="U106" i="10"/>
  <c r="BA105" i="10"/>
  <c r="AO105" i="10"/>
  <c r="AG105" i="10"/>
  <c r="AE105" i="10"/>
  <c r="AD105" i="10"/>
  <c r="AC105" i="10"/>
  <c r="AB105" i="10"/>
  <c r="AA105" i="10"/>
  <c r="Z105" i="10"/>
  <c r="Y105" i="10"/>
  <c r="X105" i="10"/>
  <c r="W105" i="10"/>
  <c r="U105" i="10"/>
  <c r="BA104" i="10"/>
  <c r="AO104" i="10"/>
  <c r="AG104" i="10"/>
  <c r="AE104" i="10"/>
  <c r="AD104" i="10"/>
  <c r="AC104" i="10"/>
  <c r="AB104" i="10"/>
  <c r="AA104" i="10"/>
  <c r="Z104" i="10"/>
  <c r="Y104" i="10"/>
  <c r="X104" i="10"/>
  <c r="W104" i="10"/>
  <c r="U104" i="10"/>
  <c r="BA103" i="10"/>
  <c r="AO103" i="10"/>
  <c r="AG103" i="10"/>
  <c r="AE103" i="10"/>
  <c r="AD103" i="10"/>
  <c r="AC103" i="10"/>
  <c r="AB103" i="10"/>
  <c r="AA103" i="10"/>
  <c r="Z103" i="10"/>
  <c r="Y103" i="10"/>
  <c r="X103" i="10"/>
  <c r="W103" i="10"/>
  <c r="U103" i="10"/>
  <c r="BA102" i="10"/>
  <c r="AO102" i="10"/>
  <c r="AG102" i="10"/>
  <c r="AE102" i="10"/>
  <c r="AD102" i="10"/>
  <c r="AC102" i="10"/>
  <c r="AB102" i="10"/>
  <c r="AA102" i="10"/>
  <c r="Z102" i="10"/>
  <c r="Y102" i="10"/>
  <c r="X102" i="10"/>
  <c r="W102" i="10"/>
  <c r="U102" i="10"/>
  <c r="BA101" i="10"/>
  <c r="AO101" i="10"/>
  <c r="AG101" i="10"/>
  <c r="AE101" i="10"/>
  <c r="AD101" i="10"/>
  <c r="AC101" i="10"/>
  <c r="AB101" i="10"/>
  <c r="AA101" i="10"/>
  <c r="Z101" i="10"/>
  <c r="Y101" i="10"/>
  <c r="X101" i="10"/>
  <c r="W101" i="10"/>
  <c r="U101" i="10"/>
  <c r="BA100" i="10"/>
  <c r="AO100" i="10"/>
  <c r="AG100" i="10"/>
  <c r="AE100" i="10"/>
  <c r="AD100" i="10"/>
  <c r="AC100" i="10"/>
  <c r="AB100" i="10"/>
  <c r="AA100" i="10"/>
  <c r="Z100" i="10"/>
  <c r="Y100" i="10"/>
  <c r="X100" i="10"/>
  <c r="W100" i="10"/>
  <c r="U100" i="10"/>
  <c r="BA99" i="10"/>
  <c r="AO99" i="10"/>
  <c r="AG99" i="10"/>
  <c r="AE99" i="10"/>
  <c r="AD99" i="10"/>
  <c r="AC99" i="10"/>
  <c r="AB99" i="10"/>
  <c r="AA99" i="10"/>
  <c r="Z99" i="10"/>
  <c r="Y99" i="10"/>
  <c r="X99" i="10"/>
  <c r="W99" i="10"/>
  <c r="U99" i="10"/>
  <c r="BA98" i="10"/>
  <c r="AO98" i="10"/>
  <c r="AG98" i="10"/>
  <c r="AE98" i="10"/>
  <c r="AD98" i="10"/>
  <c r="AC98" i="10"/>
  <c r="AB98" i="10"/>
  <c r="AA98" i="10"/>
  <c r="Z98" i="10"/>
  <c r="Y98" i="10"/>
  <c r="X98" i="10"/>
  <c r="W98" i="10"/>
  <c r="U98" i="10"/>
  <c r="BA97" i="10"/>
  <c r="AO97" i="10"/>
  <c r="AG97" i="10"/>
  <c r="AE97" i="10"/>
  <c r="AD97" i="10"/>
  <c r="AC97" i="10"/>
  <c r="AB97" i="10"/>
  <c r="AA97" i="10"/>
  <c r="Z97" i="10"/>
  <c r="Y97" i="10"/>
  <c r="X97" i="10"/>
  <c r="W97" i="10"/>
  <c r="U97" i="10"/>
  <c r="BA96" i="10"/>
  <c r="AO96" i="10"/>
  <c r="AG96" i="10"/>
  <c r="AE96" i="10"/>
  <c r="AD96" i="10"/>
  <c r="AC96" i="10"/>
  <c r="AB96" i="10"/>
  <c r="AA96" i="10"/>
  <c r="Z96" i="10"/>
  <c r="Y96" i="10"/>
  <c r="X96" i="10"/>
  <c r="W96" i="10"/>
  <c r="U96" i="10"/>
  <c r="BA95" i="10"/>
  <c r="AO95" i="10"/>
  <c r="AG95" i="10"/>
  <c r="AE95" i="10"/>
  <c r="AD95" i="10"/>
  <c r="AC95" i="10"/>
  <c r="AB95" i="10"/>
  <c r="AA95" i="10"/>
  <c r="Z95" i="10"/>
  <c r="Y95" i="10"/>
  <c r="X95" i="10"/>
  <c r="W95" i="10"/>
  <c r="U95" i="10"/>
  <c r="BA94" i="10"/>
  <c r="AO94" i="10"/>
  <c r="AG94" i="10"/>
  <c r="AE94" i="10"/>
  <c r="AD94" i="10"/>
  <c r="AC94" i="10"/>
  <c r="AB94" i="10"/>
  <c r="AA94" i="10"/>
  <c r="Z94" i="10"/>
  <c r="Y94" i="10"/>
  <c r="X94" i="10"/>
  <c r="W94" i="10"/>
  <c r="U94" i="10"/>
  <c r="BA93" i="10"/>
  <c r="AO93" i="10"/>
  <c r="AG93" i="10"/>
  <c r="AE93" i="10"/>
  <c r="AD93" i="10"/>
  <c r="AC93" i="10"/>
  <c r="AB93" i="10"/>
  <c r="AA93" i="10"/>
  <c r="Z93" i="10"/>
  <c r="Y93" i="10"/>
  <c r="X93" i="10"/>
  <c r="W93" i="10"/>
  <c r="U93" i="10"/>
  <c r="BA92" i="10"/>
  <c r="AO92" i="10"/>
  <c r="AG92" i="10"/>
  <c r="AE92" i="10"/>
  <c r="AD92" i="10"/>
  <c r="AC92" i="10"/>
  <c r="AB92" i="10"/>
  <c r="AA92" i="10"/>
  <c r="Z92" i="10"/>
  <c r="Y92" i="10"/>
  <c r="X92" i="10"/>
  <c r="W92" i="10"/>
  <c r="U92" i="10"/>
  <c r="BA91" i="10"/>
  <c r="AO91" i="10"/>
  <c r="AG91" i="10"/>
  <c r="AE91" i="10"/>
  <c r="AD91" i="10"/>
  <c r="AC91" i="10"/>
  <c r="AB91" i="10"/>
  <c r="AA91" i="10"/>
  <c r="Z91" i="10"/>
  <c r="Y91" i="10"/>
  <c r="X91" i="10"/>
  <c r="W91" i="10"/>
  <c r="U91" i="10"/>
  <c r="BA90" i="10"/>
  <c r="AO90" i="10"/>
  <c r="AG90" i="10"/>
  <c r="AE90" i="10"/>
  <c r="AD90" i="10"/>
  <c r="AC90" i="10"/>
  <c r="AB90" i="10"/>
  <c r="AA90" i="10"/>
  <c r="Z90" i="10"/>
  <c r="Y90" i="10"/>
  <c r="X90" i="10"/>
  <c r="W90" i="10"/>
  <c r="U90" i="10"/>
  <c r="BA89" i="10"/>
  <c r="AO89" i="10"/>
  <c r="AG89" i="10"/>
  <c r="AE89" i="10"/>
  <c r="AD89" i="10"/>
  <c r="AC89" i="10"/>
  <c r="AB89" i="10"/>
  <c r="AA89" i="10"/>
  <c r="Z89" i="10"/>
  <c r="Y89" i="10"/>
  <c r="X89" i="10"/>
  <c r="W89" i="10"/>
  <c r="U89" i="10"/>
  <c r="BA88" i="10"/>
  <c r="AO88" i="10"/>
  <c r="AG88" i="10"/>
  <c r="AE88" i="10"/>
  <c r="AD88" i="10"/>
  <c r="AC88" i="10"/>
  <c r="AB88" i="10"/>
  <c r="AA88" i="10"/>
  <c r="Z88" i="10"/>
  <c r="Y88" i="10"/>
  <c r="X88" i="10"/>
  <c r="W88" i="10"/>
  <c r="U88" i="10"/>
  <c r="BA87" i="10"/>
  <c r="AO87" i="10"/>
  <c r="AG87" i="10"/>
  <c r="AE87" i="10"/>
  <c r="AD87" i="10"/>
  <c r="AC87" i="10"/>
  <c r="AB87" i="10"/>
  <c r="AA87" i="10"/>
  <c r="Z87" i="10"/>
  <c r="Y87" i="10"/>
  <c r="X87" i="10"/>
  <c r="W87" i="10"/>
  <c r="U87" i="10"/>
  <c r="BA86" i="10"/>
  <c r="AO86" i="10"/>
  <c r="AG86" i="10"/>
  <c r="AE86" i="10"/>
  <c r="AD86" i="10"/>
  <c r="AC86" i="10"/>
  <c r="AB86" i="10"/>
  <c r="AA86" i="10"/>
  <c r="Z86" i="10"/>
  <c r="Y86" i="10"/>
  <c r="X86" i="10"/>
  <c r="W86" i="10"/>
  <c r="U86" i="10"/>
  <c r="BA85" i="10"/>
  <c r="AO85" i="10"/>
  <c r="AG85" i="10"/>
  <c r="AE85" i="10"/>
  <c r="AD85" i="10"/>
  <c r="AC85" i="10"/>
  <c r="AB85" i="10"/>
  <c r="AA85" i="10"/>
  <c r="Z85" i="10"/>
  <c r="Y85" i="10"/>
  <c r="X85" i="10"/>
  <c r="W85" i="10"/>
  <c r="U85" i="10"/>
  <c r="BA84" i="10"/>
  <c r="AO84" i="10"/>
  <c r="AG84" i="10"/>
  <c r="AE84" i="10"/>
  <c r="AD84" i="10"/>
  <c r="AC84" i="10"/>
  <c r="AB84" i="10"/>
  <c r="AA84" i="10"/>
  <c r="Z84" i="10"/>
  <c r="Y84" i="10"/>
  <c r="X84" i="10"/>
  <c r="W84" i="10"/>
  <c r="U84" i="10"/>
  <c r="BA83" i="10"/>
  <c r="AO83" i="10"/>
  <c r="AG83" i="10"/>
  <c r="AE83" i="10"/>
  <c r="AD83" i="10"/>
  <c r="AC83" i="10"/>
  <c r="AB83" i="10"/>
  <c r="AA83" i="10"/>
  <c r="Z83" i="10"/>
  <c r="Y83" i="10"/>
  <c r="X83" i="10"/>
  <c r="W83" i="10"/>
  <c r="U83" i="10"/>
  <c r="BA82" i="10"/>
  <c r="AO82" i="10"/>
  <c r="AG82" i="10"/>
  <c r="AE82" i="10"/>
  <c r="AD82" i="10"/>
  <c r="AC82" i="10"/>
  <c r="AB82" i="10"/>
  <c r="AA82" i="10"/>
  <c r="Z82" i="10"/>
  <c r="Y82" i="10"/>
  <c r="X82" i="10"/>
  <c r="W82" i="10"/>
  <c r="U82" i="10"/>
  <c r="BA81" i="10"/>
  <c r="AO81" i="10"/>
  <c r="AG81" i="10"/>
  <c r="AE81" i="10"/>
  <c r="AD81" i="10"/>
  <c r="AC81" i="10"/>
  <c r="AB81" i="10"/>
  <c r="AA81" i="10"/>
  <c r="Z81" i="10"/>
  <c r="Y81" i="10"/>
  <c r="X81" i="10"/>
  <c r="W81" i="10"/>
  <c r="U81" i="10"/>
  <c r="BA80" i="10"/>
  <c r="AO80" i="10"/>
  <c r="AG80" i="10"/>
  <c r="AE80" i="10"/>
  <c r="AD80" i="10"/>
  <c r="AC80" i="10"/>
  <c r="AB80" i="10"/>
  <c r="AA80" i="10"/>
  <c r="Z80" i="10"/>
  <c r="Y80" i="10"/>
  <c r="X80" i="10"/>
  <c r="W80" i="10"/>
  <c r="U80" i="10"/>
  <c r="BA79" i="10"/>
  <c r="AO79" i="10"/>
  <c r="AG79" i="10"/>
  <c r="AE79" i="10"/>
  <c r="AD79" i="10"/>
  <c r="AC79" i="10"/>
  <c r="AB79" i="10"/>
  <c r="AA79" i="10"/>
  <c r="Z79" i="10"/>
  <c r="Y79" i="10"/>
  <c r="X79" i="10"/>
  <c r="W79" i="10"/>
  <c r="U79" i="10"/>
  <c r="BA78" i="10"/>
  <c r="AO78" i="10"/>
  <c r="AG78" i="10"/>
  <c r="AE78" i="10"/>
  <c r="AD78" i="10"/>
  <c r="AC78" i="10"/>
  <c r="AB78" i="10"/>
  <c r="AA78" i="10"/>
  <c r="Z78" i="10"/>
  <c r="Y78" i="10"/>
  <c r="X78" i="10"/>
  <c r="W78" i="10"/>
  <c r="U78" i="10"/>
  <c r="BA77" i="10"/>
  <c r="AO77" i="10"/>
  <c r="AG77" i="10"/>
  <c r="AE77" i="10"/>
  <c r="AD77" i="10"/>
  <c r="AC77" i="10"/>
  <c r="AB77" i="10"/>
  <c r="AA77" i="10"/>
  <c r="Z77" i="10"/>
  <c r="Y77" i="10"/>
  <c r="X77" i="10"/>
  <c r="W77" i="10"/>
  <c r="U77" i="10"/>
  <c r="BA76" i="10"/>
  <c r="AO76" i="10"/>
  <c r="AG76" i="10"/>
  <c r="AE76" i="10"/>
  <c r="AD76" i="10"/>
  <c r="AC76" i="10"/>
  <c r="AB76" i="10"/>
  <c r="AA76" i="10"/>
  <c r="Z76" i="10"/>
  <c r="Y76" i="10"/>
  <c r="X76" i="10"/>
  <c r="W76" i="10"/>
  <c r="U76" i="10"/>
  <c r="BA75" i="10"/>
  <c r="AO75" i="10"/>
  <c r="AG75" i="10"/>
  <c r="AE75" i="10"/>
  <c r="AD75" i="10"/>
  <c r="AC75" i="10"/>
  <c r="AB75" i="10"/>
  <c r="AA75" i="10"/>
  <c r="Z75" i="10"/>
  <c r="Y75" i="10"/>
  <c r="X75" i="10"/>
  <c r="W75" i="10"/>
  <c r="U75" i="10"/>
  <c r="BA74" i="10"/>
  <c r="AO74" i="10"/>
  <c r="AG74" i="10"/>
  <c r="AE74" i="10"/>
  <c r="AD74" i="10"/>
  <c r="AC74" i="10"/>
  <c r="AB74" i="10"/>
  <c r="AA74" i="10"/>
  <c r="Z74" i="10"/>
  <c r="Y74" i="10"/>
  <c r="X74" i="10"/>
  <c r="W74" i="10"/>
  <c r="U74" i="10"/>
  <c r="BA73" i="10"/>
  <c r="AO73" i="10"/>
  <c r="AG73" i="10"/>
  <c r="AE73" i="10"/>
  <c r="AD73" i="10"/>
  <c r="AC73" i="10"/>
  <c r="AB73" i="10"/>
  <c r="AA73" i="10"/>
  <c r="Z73" i="10"/>
  <c r="Y73" i="10"/>
  <c r="X73" i="10"/>
  <c r="W73" i="10"/>
  <c r="U73" i="10"/>
  <c r="BA72" i="10"/>
  <c r="AO72" i="10"/>
  <c r="AG72" i="10"/>
  <c r="AE72" i="10"/>
  <c r="AD72" i="10"/>
  <c r="AC72" i="10"/>
  <c r="AB72" i="10"/>
  <c r="AA72" i="10"/>
  <c r="Z72" i="10"/>
  <c r="Y72" i="10"/>
  <c r="X72" i="10"/>
  <c r="W72" i="10"/>
  <c r="U72" i="10"/>
  <c r="BA71" i="10"/>
  <c r="AO71" i="10"/>
  <c r="AG71" i="10"/>
  <c r="AE71" i="10"/>
  <c r="AD71" i="10"/>
  <c r="AC71" i="10"/>
  <c r="AB71" i="10"/>
  <c r="AA71" i="10"/>
  <c r="Z71" i="10"/>
  <c r="Y71" i="10"/>
  <c r="X71" i="10"/>
  <c r="W71" i="10"/>
  <c r="U71" i="10"/>
  <c r="BA70" i="10"/>
  <c r="AO70" i="10"/>
  <c r="AG70" i="10"/>
  <c r="AE70" i="10"/>
  <c r="AD70" i="10"/>
  <c r="AC70" i="10"/>
  <c r="AB70" i="10"/>
  <c r="AA70" i="10"/>
  <c r="Z70" i="10"/>
  <c r="Y70" i="10"/>
  <c r="X70" i="10"/>
  <c r="W70" i="10"/>
  <c r="U70" i="10"/>
  <c r="BA69" i="10"/>
  <c r="AO69" i="10"/>
  <c r="AG69" i="10"/>
  <c r="AE69" i="10"/>
  <c r="AD69" i="10"/>
  <c r="AC69" i="10"/>
  <c r="AB69" i="10"/>
  <c r="AA69" i="10"/>
  <c r="Z69" i="10"/>
  <c r="Y69" i="10"/>
  <c r="X69" i="10"/>
  <c r="W69" i="10"/>
  <c r="U69" i="10"/>
  <c r="BA68" i="10"/>
  <c r="AO68" i="10"/>
  <c r="AG68" i="10"/>
  <c r="AE68" i="10"/>
  <c r="AD68" i="10"/>
  <c r="AC68" i="10"/>
  <c r="AB68" i="10"/>
  <c r="AA68" i="10"/>
  <c r="Z68" i="10"/>
  <c r="Y68" i="10"/>
  <c r="X68" i="10"/>
  <c r="W68" i="10"/>
  <c r="U68" i="10"/>
  <c r="BA67" i="10"/>
  <c r="AO67" i="10"/>
  <c r="AG67" i="10"/>
  <c r="AE67" i="10"/>
  <c r="AD67" i="10"/>
  <c r="AC67" i="10"/>
  <c r="AB67" i="10"/>
  <c r="AA67" i="10"/>
  <c r="Z67" i="10"/>
  <c r="Y67" i="10"/>
  <c r="X67" i="10"/>
  <c r="W67" i="10"/>
  <c r="U67" i="10"/>
  <c r="BA66" i="10"/>
  <c r="AO66" i="10"/>
  <c r="AG66" i="10"/>
  <c r="AE66" i="10"/>
  <c r="AD66" i="10"/>
  <c r="AC66" i="10"/>
  <c r="AB66" i="10"/>
  <c r="AA66" i="10"/>
  <c r="Z66" i="10"/>
  <c r="Y66" i="10"/>
  <c r="X66" i="10"/>
  <c r="W66" i="10"/>
  <c r="U66" i="10"/>
  <c r="BA65" i="10"/>
  <c r="AO65" i="10"/>
  <c r="AG65" i="10"/>
  <c r="AE65" i="10"/>
  <c r="AD65" i="10"/>
  <c r="AC65" i="10"/>
  <c r="AB65" i="10"/>
  <c r="AA65" i="10"/>
  <c r="Z65" i="10"/>
  <c r="Y65" i="10"/>
  <c r="X65" i="10"/>
  <c r="W65" i="10"/>
  <c r="U65" i="10"/>
  <c r="BA64" i="10"/>
  <c r="AO64" i="10"/>
  <c r="AG64" i="10"/>
  <c r="AE64" i="10"/>
  <c r="AD64" i="10"/>
  <c r="AC64" i="10"/>
  <c r="AB64" i="10"/>
  <c r="AA64" i="10"/>
  <c r="Z64" i="10"/>
  <c r="Y64" i="10"/>
  <c r="X64" i="10"/>
  <c r="W64" i="10"/>
  <c r="U64" i="10"/>
  <c r="BA63" i="10"/>
  <c r="AO63" i="10"/>
  <c r="AG63" i="10"/>
  <c r="AE63" i="10"/>
  <c r="AD63" i="10"/>
  <c r="AC63" i="10"/>
  <c r="AB63" i="10"/>
  <c r="AA63" i="10"/>
  <c r="Z63" i="10"/>
  <c r="Y63" i="10"/>
  <c r="X63" i="10"/>
  <c r="W63" i="10"/>
  <c r="U63" i="10"/>
  <c r="BA62" i="10"/>
  <c r="AO62" i="10"/>
  <c r="AG62" i="10"/>
  <c r="AE62" i="10"/>
  <c r="AD62" i="10"/>
  <c r="AC62" i="10"/>
  <c r="AB62" i="10"/>
  <c r="AA62" i="10"/>
  <c r="Z62" i="10"/>
  <c r="Y62" i="10"/>
  <c r="X62" i="10"/>
  <c r="W62" i="10"/>
  <c r="U62" i="10"/>
  <c r="BA61" i="10"/>
  <c r="AO61" i="10"/>
  <c r="AG61" i="10"/>
  <c r="AE61" i="10"/>
  <c r="AD61" i="10"/>
  <c r="AC61" i="10"/>
  <c r="AB61" i="10"/>
  <c r="AA61" i="10"/>
  <c r="Z61" i="10"/>
  <c r="Y61" i="10"/>
  <c r="X61" i="10"/>
  <c r="W61" i="10"/>
  <c r="U61" i="10"/>
  <c r="BA60" i="10"/>
  <c r="AO60" i="10"/>
  <c r="AG60" i="10"/>
  <c r="AE60" i="10"/>
  <c r="AD60" i="10"/>
  <c r="AC60" i="10"/>
  <c r="AB60" i="10"/>
  <c r="AA60" i="10"/>
  <c r="Z60" i="10"/>
  <c r="Y60" i="10"/>
  <c r="X60" i="10"/>
  <c r="W60" i="10"/>
  <c r="U60" i="10"/>
  <c r="BA59" i="10"/>
  <c r="AO59" i="10"/>
  <c r="AG59" i="10"/>
  <c r="AE59" i="10"/>
  <c r="AD59" i="10"/>
  <c r="AC59" i="10"/>
  <c r="AB59" i="10"/>
  <c r="AA59" i="10"/>
  <c r="Z59" i="10"/>
  <c r="Y59" i="10"/>
  <c r="X59" i="10"/>
  <c r="W59" i="10"/>
  <c r="U59" i="10"/>
  <c r="BA58" i="10"/>
  <c r="AO58" i="10"/>
  <c r="AG58" i="10"/>
  <c r="AE58" i="10"/>
  <c r="AD58" i="10"/>
  <c r="AC58" i="10"/>
  <c r="AB58" i="10"/>
  <c r="AA58" i="10"/>
  <c r="Z58" i="10"/>
  <c r="Y58" i="10"/>
  <c r="X58" i="10"/>
  <c r="W58" i="10"/>
  <c r="U58" i="10"/>
  <c r="BA57" i="10"/>
  <c r="AO57" i="10"/>
  <c r="AG57" i="10"/>
  <c r="AE57" i="10"/>
  <c r="AD57" i="10"/>
  <c r="AC57" i="10"/>
  <c r="AB57" i="10"/>
  <c r="AA57" i="10"/>
  <c r="Z57" i="10"/>
  <c r="Y57" i="10"/>
  <c r="X57" i="10"/>
  <c r="W57" i="10"/>
  <c r="U57" i="10"/>
  <c r="BA56" i="10"/>
  <c r="AO56" i="10"/>
  <c r="AG56" i="10"/>
  <c r="AE56" i="10"/>
  <c r="AD56" i="10"/>
  <c r="AC56" i="10"/>
  <c r="AB56" i="10"/>
  <c r="AA56" i="10"/>
  <c r="Z56" i="10"/>
  <c r="Y56" i="10"/>
  <c r="X56" i="10"/>
  <c r="W56" i="10"/>
  <c r="U56" i="10"/>
  <c r="BA55" i="10"/>
  <c r="AO55" i="10"/>
  <c r="AG55" i="10"/>
  <c r="AE55" i="10"/>
  <c r="AD55" i="10"/>
  <c r="AC55" i="10"/>
  <c r="AB55" i="10"/>
  <c r="AA55" i="10"/>
  <c r="Z55" i="10"/>
  <c r="Y55" i="10"/>
  <c r="X55" i="10"/>
  <c r="W55" i="10"/>
  <c r="U55" i="10"/>
  <c r="BA54" i="10"/>
  <c r="AO54" i="10"/>
  <c r="AG54" i="10"/>
  <c r="AE54" i="10"/>
  <c r="AD54" i="10"/>
  <c r="AC54" i="10"/>
  <c r="AB54" i="10"/>
  <c r="AA54" i="10"/>
  <c r="Z54" i="10"/>
  <c r="Y54" i="10"/>
  <c r="X54" i="10"/>
  <c r="W54" i="10"/>
  <c r="U54" i="10"/>
  <c r="BA53" i="10"/>
  <c r="AO53" i="10"/>
  <c r="AG53" i="10"/>
  <c r="AE53" i="10"/>
  <c r="AD53" i="10"/>
  <c r="AC53" i="10"/>
  <c r="AB53" i="10"/>
  <c r="AA53" i="10"/>
  <c r="Z53" i="10"/>
  <c r="Y53" i="10"/>
  <c r="X53" i="10"/>
  <c r="W53" i="10"/>
  <c r="U53" i="10"/>
  <c r="BA52" i="10"/>
  <c r="AO52" i="10"/>
  <c r="AG52" i="10"/>
  <c r="AE52" i="10"/>
  <c r="AD52" i="10"/>
  <c r="AC52" i="10"/>
  <c r="AB52" i="10"/>
  <c r="AA52" i="10"/>
  <c r="Z52" i="10"/>
  <c r="Y52" i="10"/>
  <c r="X52" i="10"/>
  <c r="W52" i="10"/>
  <c r="U52" i="10"/>
  <c r="BA51" i="10"/>
  <c r="AO51" i="10"/>
  <c r="AG51" i="10"/>
  <c r="AE51" i="10"/>
  <c r="AD51" i="10"/>
  <c r="AC51" i="10"/>
  <c r="AB51" i="10"/>
  <c r="AA51" i="10"/>
  <c r="Z51" i="10"/>
  <c r="Y51" i="10"/>
  <c r="X51" i="10"/>
  <c r="W51" i="10"/>
  <c r="U51" i="10"/>
  <c r="BA50" i="10"/>
  <c r="AO50" i="10"/>
  <c r="AG50" i="10"/>
  <c r="AE50" i="10"/>
  <c r="AD50" i="10"/>
  <c r="AC50" i="10"/>
  <c r="AB50" i="10"/>
  <c r="AA50" i="10"/>
  <c r="Z50" i="10"/>
  <c r="Y50" i="10"/>
  <c r="X50" i="10"/>
  <c r="W50" i="10"/>
  <c r="U50" i="10"/>
  <c r="BA49" i="10"/>
  <c r="AO49" i="10"/>
  <c r="AG49" i="10"/>
  <c r="AE49" i="10"/>
  <c r="AD49" i="10"/>
  <c r="AC49" i="10"/>
  <c r="AB49" i="10"/>
  <c r="AA49" i="10"/>
  <c r="Z49" i="10"/>
  <c r="Y49" i="10"/>
  <c r="X49" i="10"/>
  <c r="W49" i="10"/>
  <c r="U49" i="10"/>
  <c r="BA48" i="10"/>
  <c r="AO48" i="10"/>
  <c r="AG48" i="10"/>
  <c r="AE48" i="10"/>
  <c r="AD48" i="10"/>
  <c r="AC48" i="10"/>
  <c r="AB48" i="10"/>
  <c r="AA48" i="10"/>
  <c r="Z48" i="10"/>
  <c r="Y48" i="10"/>
  <c r="X48" i="10"/>
  <c r="W48" i="10"/>
  <c r="U48" i="10"/>
  <c r="BA47" i="10"/>
  <c r="AO47" i="10"/>
  <c r="AG47" i="10"/>
  <c r="AE47" i="10"/>
  <c r="AD47" i="10"/>
  <c r="AC47" i="10"/>
  <c r="AB47" i="10"/>
  <c r="AA47" i="10"/>
  <c r="Z47" i="10"/>
  <c r="Y47" i="10"/>
  <c r="X47" i="10"/>
  <c r="W47" i="10"/>
  <c r="U47" i="10"/>
  <c r="BA46" i="10"/>
  <c r="AO46" i="10"/>
  <c r="AG46" i="10"/>
  <c r="AE46" i="10"/>
  <c r="AD46" i="10"/>
  <c r="AC46" i="10"/>
  <c r="AB46" i="10"/>
  <c r="AA46" i="10"/>
  <c r="Z46" i="10"/>
  <c r="Y46" i="10"/>
  <c r="X46" i="10"/>
  <c r="W46" i="10"/>
  <c r="U46" i="10"/>
  <c r="BA45" i="10"/>
  <c r="AO45" i="10"/>
  <c r="AG45" i="10"/>
  <c r="AE45" i="10"/>
  <c r="AD45" i="10"/>
  <c r="AC45" i="10"/>
  <c r="AL45" i="10" s="1"/>
  <c r="AB45" i="10"/>
  <c r="AA45" i="10"/>
  <c r="Z45" i="10"/>
  <c r="Y45" i="10"/>
  <c r="X45" i="10"/>
  <c r="W45" i="10"/>
  <c r="U45" i="10"/>
  <c r="BA44" i="10"/>
  <c r="AO44" i="10"/>
  <c r="AG44" i="10"/>
  <c r="AE44" i="10"/>
  <c r="AD44" i="10"/>
  <c r="AC44" i="10"/>
  <c r="AB44" i="10"/>
  <c r="AA44" i="10"/>
  <c r="Z44" i="10"/>
  <c r="Y44" i="10"/>
  <c r="X44" i="10"/>
  <c r="W44" i="10"/>
  <c r="U44" i="10"/>
  <c r="BA43" i="10"/>
  <c r="AO43" i="10"/>
  <c r="AG43" i="10"/>
  <c r="AE43" i="10"/>
  <c r="AD43" i="10"/>
  <c r="AC43" i="10"/>
  <c r="AB43" i="10"/>
  <c r="AA43" i="10"/>
  <c r="Z43" i="10"/>
  <c r="Y43" i="10"/>
  <c r="X43" i="10"/>
  <c r="W43" i="10"/>
  <c r="U43" i="10"/>
  <c r="BA42" i="10"/>
  <c r="AO42" i="10"/>
  <c r="AG42" i="10"/>
  <c r="AE42" i="10"/>
  <c r="AD42" i="10"/>
  <c r="AC42" i="10"/>
  <c r="AB42" i="10"/>
  <c r="AA42" i="10"/>
  <c r="Z42" i="10"/>
  <c r="Y42" i="10"/>
  <c r="X42" i="10"/>
  <c r="W42" i="10"/>
  <c r="U42" i="10"/>
  <c r="BA41" i="10"/>
  <c r="AO41" i="10"/>
  <c r="AG41" i="10"/>
  <c r="AE41" i="10"/>
  <c r="AD41" i="10"/>
  <c r="AC41" i="10"/>
  <c r="AB41" i="10"/>
  <c r="AA41" i="10"/>
  <c r="Z41" i="10"/>
  <c r="Y41" i="10"/>
  <c r="X41" i="10"/>
  <c r="W41" i="10"/>
  <c r="U41" i="10"/>
  <c r="BA40" i="10"/>
  <c r="AO40" i="10"/>
  <c r="AG40" i="10"/>
  <c r="AE40" i="10"/>
  <c r="AD40" i="10"/>
  <c r="AC40" i="10"/>
  <c r="AB40" i="10"/>
  <c r="AA40" i="10"/>
  <c r="Z40" i="10"/>
  <c r="Y40" i="10"/>
  <c r="X40" i="10"/>
  <c r="W40" i="10"/>
  <c r="U40" i="10"/>
  <c r="BA39" i="10"/>
  <c r="AO39" i="10"/>
  <c r="AG39" i="10"/>
  <c r="AE39" i="10"/>
  <c r="AD39" i="10"/>
  <c r="AC39" i="10"/>
  <c r="AB39" i="10"/>
  <c r="AA39" i="10"/>
  <c r="Z39" i="10"/>
  <c r="Y39" i="10"/>
  <c r="X39" i="10"/>
  <c r="W39" i="10"/>
  <c r="U39" i="10"/>
  <c r="BA38" i="10"/>
  <c r="AO38" i="10"/>
  <c r="AG38" i="10"/>
  <c r="AE38" i="10"/>
  <c r="AD38" i="10"/>
  <c r="AC38" i="10"/>
  <c r="AB38" i="10"/>
  <c r="AA38" i="10"/>
  <c r="Z38" i="10"/>
  <c r="Y38" i="10"/>
  <c r="X38" i="10"/>
  <c r="W38" i="10"/>
  <c r="U38" i="10"/>
  <c r="BA37" i="10"/>
  <c r="AO37" i="10"/>
  <c r="AG37" i="10"/>
  <c r="AE37" i="10"/>
  <c r="AD37" i="10"/>
  <c r="AC37" i="10"/>
  <c r="AB37" i="10"/>
  <c r="AA37" i="10"/>
  <c r="Z37" i="10"/>
  <c r="Y37" i="10"/>
  <c r="X37" i="10"/>
  <c r="W37" i="10"/>
  <c r="U37" i="10"/>
  <c r="BA36" i="10"/>
  <c r="AO36" i="10"/>
  <c r="AG36" i="10"/>
  <c r="AE36" i="10"/>
  <c r="AD36" i="10"/>
  <c r="AC36" i="10"/>
  <c r="AB36" i="10"/>
  <c r="AA36" i="10"/>
  <c r="Z36" i="10"/>
  <c r="Y36" i="10"/>
  <c r="X36" i="10"/>
  <c r="W36" i="10"/>
  <c r="U36" i="10"/>
  <c r="BA35" i="10"/>
  <c r="AO35" i="10"/>
  <c r="AG35" i="10"/>
  <c r="AE35" i="10"/>
  <c r="AD35" i="10"/>
  <c r="AC35" i="10"/>
  <c r="AB35" i="10"/>
  <c r="AA35" i="10"/>
  <c r="Z35" i="10"/>
  <c r="Y35" i="10"/>
  <c r="X35" i="10"/>
  <c r="W35" i="10"/>
  <c r="U35" i="10"/>
  <c r="BA34" i="10"/>
  <c r="AO34" i="10"/>
  <c r="AG34" i="10"/>
  <c r="AE34" i="10"/>
  <c r="AD34" i="10"/>
  <c r="AC34" i="10"/>
  <c r="AB34" i="10"/>
  <c r="AA34" i="10"/>
  <c r="Z34" i="10"/>
  <c r="Y34" i="10"/>
  <c r="X34" i="10"/>
  <c r="W34" i="10"/>
  <c r="U34" i="10"/>
  <c r="BA33" i="10"/>
  <c r="AO33" i="10"/>
  <c r="AG33" i="10"/>
  <c r="AE33" i="10"/>
  <c r="AD33" i="10"/>
  <c r="AC33" i="10"/>
  <c r="AB33" i="10"/>
  <c r="AA33" i="10"/>
  <c r="Z33" i="10"/>
  <c r="Y33" i="10"/>
  <c r="X33" i="10"/>
  <c r="W33" i="10"/>
  <c r="U33" i="10"/>
  <c r="BA32" i="10"/>
  <c r="AO32" i="10"/>
  <c r="AG32" i="10"/>
  <c r="AE32" i="10"/>
  <c r="AD32" i="10"/>
  <c r="AC32" i="10"/>
  <c r="AB32" i="10"/>
  <c r="AA32" i="10"/>
  <c r="Z32" i="10"/>
  <c r="Y32" i="10"/>
  <c r="X32" i="10"/>
  <c r="W32" i="10"/>
  <c r="U32" i="10"/>
  <c r="BA31" i="10"/>
  <c r="AO31" i="10"/>
  <c r="AG31" i="10"/>
  <c r="AE31" i="10"/>
  <c r="AD31" i="10"/>
  <c r="AC31" i="10"/>
  <c r="AB31" i="10"/>
  <c r="AA31" i="10"/>
  <c r="Z31" i="10"/>
  <c r="Y31" i="10"/>
  <c r="X31" i="10"/>
  <c r="W31" i="10"/>
  <c r="U31" i="10"/>
  <c r="BA30" i="10"/>
  <c r="AO30" i="10"/>
  <c r="AG30" i="10"/>
  <c r="AE30" i="10"/>
  <c r="AD30" i="10"/>
  <c r="AC30" i="10"/>
  <c r="AB30" i="10"/>
  <c r="AA30" i="10"/>
  <c r="Z30" i="10"/>
  <c r="Y30" i="10"/>
  <c r="X30" i="10"/>
  <c r="W30" i="10"/>
  <c r="U30" i="10"/>
  <c r="BA29" i="10"/>
  <c r="AO29" i="10"/>
  <c r="AG29" i="10"/>
  <c r="AE29" i="10"/>
  <c r="AD29" i="10"/>
  <c r="AC29" i="10"/>
  <c r="AB29" i="10"/>
  <c r="AA29" i="10"/>
  <c r="Z29" i="10"/>
  <c r="Y29" i="10"/>
  <c r="X29" i="10"/>
  <c r="W29" i="10"/>
  <c r="U29" i="10"/>
  <c r="BA28" i="10"/>
  <c r="AO28" i="10"/>
  <c r="AG28" i="10"/>
  <c r="AE28" i="10"/>
  <c r="AD28" i="10"/>
  <c r="AC28" i="10"/>
  <c r="AB28" i="10"/>
  <c r="AA28" i="10"/>
  <c r="Z28" i="10"/>
  <c r="Y28" i="10"/>
  <c r="X28" i="10"/>
  <c r="W28" i="10"/>
  <c r="U28" i="10"/>
  <c r="BA27" i="10"/>
  <c r="AO27" i="10"/>
  <c r="AG27" i="10"/>
  <c r="AE27" i="10"/>
  <c r="AD27" i="10"/>
  <c r="AC27" i="10"/>
  <c r="AB27" i="10"/>
  <c r="AA27" i="10"/>
  <c r="Z27" i="10"/>
  <c r="Y27" i="10"/>
  <c r="X27" i="10"/>
  <c r="W27" i="10"/>
  <c r="U27" i="10"/>
  <c r="BA26" i="10"/>
  <c r="AO26" i="10"/>
  <c r="AG26" i="10"/>
  <c r="AE26" i="10"/>
  <c r="AD26" i="10"/>
  <c r="AC26" i="10"/>
  <c r="AB26" i="10"/>
  <c r="AA26" i="10"/>
  <c r="Z26" i="10"/>
  <c r="Y26" i="10"/>
  <c r="X26" i="10"/>
  <c r="W26" i="10"/>
  <c r="U26" i="10"/>
  <c r="BA25" i="10"/>
  <c r="AO25" i="10"/>
  <c r="AG25" i="10"/>
  <c r="AE25" i="10"/>
  <c r="AD25" i="10"/>
  <c r="AC25" i="10"/>
  <c r="AB25" i="10"/>
  <c r="AA25" i="10"/>
  <c r="Z25" i="10"/>
  <c r="Y25" i="10"/>
  <c r="X25" i="10"/>
  <c r="W25" i="10"/>
  <c r="U25" i="10"/>
  <c r="BA24" i="10"/>
  <c r="AO24" i="10"/>
  <c r="AG24" i="10"/>
  <c r="AE24" i="10"/>
  <c r="AD24" i="10"/>
  <c r="AC24" i="10"/>
  <c r="AB24" i="10"/>
  <c r="AA24" i="10"/>
  <c r="Z24" i="10"/>
  <c r="Y24" i="10"/>
  <c r="X24" i="10"/>
  <c r="W24" i="10"/>
  <c r="U24" i="10"/>
  <c r="BA23" i="10"/>
  <c r="AO23" i="10"/>
  <c r="AG23" i="10"/>
  <c r="AE23" i="10"/>
  <c r="AD23" i="10"/>
  <c r="AC23" i="10"/>
  <c r="AB23" i="10"/>
  <c r="AA23" i="10"/>
  <c r="Z23" i="10"/>
  <c r="Y23" i="10"/>
  <c r="X23" i="10"/>
  <c r="W23" i="10"/>
  <c r="U23" i="10"/>
  <c r="BA22" i="10"/>
  <c r="AO22" i="10"/>
  <c r="AG22" i="10"/>
  <c r="AE22" i="10"/>
  <c r="AD22" i="10"/>
  <c r="AC22" i="10"/>
  <c r="AB22" i="10"/>
  <c r="AA22" i="10"/>
  <c r="Z22" i="10"/>
  <c r="Y22" i="10"/>
  <c r="X22" i="10"/>
  <c r="W22" i="10"/>
  <c r="U22" i="10"/>
  <c r="BA21" i="10"/>
  <c r="AO21" i="10"/>
  <c r="AG21" i="10"/>
  <c r="AE21" i="10"/>
  <c r="AD21" i="10"/>
  <c r="AC21" i="10"/>
  <c r="AB21" i="10"/>
  <c r="AA21" i="10"/>
  <c r="Z21" i="10"/>
  <c r="Y21" i="10"/>
  <c r="X21" i="10"/>
  <c r="W21" i="10"/>
  <c r="U21" i="10"/>
  <c r="BA20" i="10"/>
  <c r="AO20" i="10"/>
  <c r="AG20" i="10"/>
  <c r="AE20" i="10"/>
  <c r="AD20" i="10"/>
  <c r="AC20" i="10"/>
  <c r="AB20" i="10"/>
  <c r="AA20" i="10"/>
  <c r="Z20" i="10"/>
  <c r="Y20" i="10"/>
  <c r="X20" i="10"/>
  <c r="W20" i="10"/>
  <c r="U20" i="10"/>
  <c r="BA19" i="10"/>
  <c r="AO19" i="10"/>
  <c r="AG19" i="10"/>
  <c r="AE19" i="10"/>
  <c r="AD19" i="10"/>
  <c r="AC19" i="10"/>
  <c r="AB19" i="10"/>
  <c r="AA19" i="10"/>
  <c r="Z19" i="10"/>
  <c r="Y19" i="10"/>
  <c r="X19" i="10"/>
  <c r="W19" i="10"/>
  <c r="U19" i="10"/>
  <c r="BA18" i="10"/>
  <c r="AO18" i="10"/>
  <c r="AG18" i="10"/>
  <c r="AE18" i="10"/>
  <c r="AD18" i="10"/>
  <c r="AC18" i="10"/>
  <c r="AB18" i="10"/>
  <c r="AA18" i="10"/>
  <c r="Z18" i="10"/>
  <c r="Y18" i="10"/>
  <c r="X18" i="10"/>
  <c r="W18" i="10"/>
  <c r="U18" i="10"/>
  <c r="AX18" i="10" s="1"/>
  <c r="BA17" i="10"/>
  <c r="AO17" i="10"/>
  <c r="AG17" i="10"/>
  <c r="AE17" i="10"/>
  <c r="AD17" i="10"/>
  <c r="AC17" i="10"/>
  <c r="AB17" i="10"/>
  <c r="AA17" i="10"/>
  <c r="Z17" i="10"/>
  <c r="Y17" i="10"/>
  <c r="X17" i="10"/>
  <c r="W17" i="10"/>
  <c r="U17" i="10"/>
  <c r="BA16" i="10"/>
  <c r="AO16" i="10"/>
  <c r="AG16" i="10"/>
  <c r="AE16" i="10"/>
  <c r="AD16" i="10"/>
  <c r="AC16" i="10"/>
  <c r="AB16" i="10"/>
  <c r="AA16" i="10"/>
  <c r="Z16" i="10"/>
  <c r="Y16" i="10"/>
  <c r="X16" i="10"/>
  <c r="W16" i="10"/>
  <c r="U16" i="10"/>
  <c r="BA15" i="10"/>
  <c r="AO15" i="10"/>
  <c r="AG15" i="10"/>
  <c r="AE15" i="10"/>
  <c r="AD15" i="10"/>
  <c r="AC15" i="10"/>
  <c r="AB15" i="10"/>
  <c r="AA15" i="10"/>
  <c r="Z15" i="10"/>
  <c r="Y15" i="10"/>
  <c r="X15" i="10"/>
  <c r="W15" i="10"/>
  <c r="U15" i="10"/>
  <c r="BA14" i="10"/>
  <c r="AO14" i="10"/>
  <c r="AG14" i="10"/>
  <c r="AE14" i="10"/>
  <c r="AD14" i="10"/>
  <c r="AC14" i="10"/>
  <c r="AB14" i="10"/>
  <c r="AA14" i="10"/>
  <c r="Z14" i="10"/>
  <c r="Y14" i="10"/>
  <c r="X14" i="10"/>
  <c r="W14" i="10"/>
  <c r="U14" i="10"/>
  <c r="BA13" i="10"/>
  <c r="AO13" i="10"/>
  <c r="AG13" i="10"/>
  <c r="AE13" i="10"/>
  <c r="AD13" i="10"/>
  <c r="AC13" i="10"/>
  <c r="AB13" i="10"/>
  <c r="AA13" i="10"/>
  <c r="Z13" i="10"/>
  <c r="Y13" i="10"/>
  <c r="X13" i="10"/>
  <c r="W13" i="10"/>
  <c r="U13" i="10"/>
  <c r="BA12" i="10"/>
  <c r="AO12" i="10"/>
  <c r="AG12" i="10"/>
  <c r="AE12" i="10"/>
  <c r="AD12" i="10"/>
  <c r="AC12" i="10"/>
  <c r="AB12" i="10"/>
  <c r="AA12" i="10"/>
  <c r="Z12" i="10"/>
  <c r="Y12" i="10"/>
  <c r="X12" i="10"/>
  <c r="W12" i="10"/>
  <c r="U12" i="10"/>
  <c r="BA11" i="10"/>
  <c r="AO11" i="10"/>
  <c r="AG11" i="10"/>
  <c r="AE11" i="10"/>
  <c r="AD11" i="10"/>
  <c r="AC11" i="10"/>
  <c r="AB11" i="10"/>
  <c r="AA11" i="10"/>
  <c r="Z11" i="10"/>
  <c r="Y11" i="10"/>
  <c r="X11" i="10"/>
  <c r="W11" i="10"/>
  <c r="U11" i="10"/>
  <c r="BA10" i="10"/>
  <c r="AO10" i="10"/>
  <c r="AG10" i="10"/>
  <c r="AE10" i="10"/>
  <c r="AD10" i="10"/>
  <c r="AC10" i="10"/>
  <c r="AB10" i="10"/>
  <c r="AA10" i="10"/>
  <c r="Z10" i="10"/>
  <c r="Y10" i="10"/>
  <c r="X10" i="10"/>
  <c r="W10" i="10"/>
  <c r="U10" i="10"/>
  <c r="BA9" i="10"/>
  <c r="AO9" i="10"/>
  <c r="AG9" i="10"/>
  <c r="AE9" i="10"/>
  <c r="AD9" i="10"/>
  <c r="AC9" i="10"/>
  <c r="AB9" i="10"/>
  <c r="AA9" i="10"/>
  <c r="Z9" i="10"/>
  <c r="Y9" i="10"/>
  <c r="X9" i="10"/>
  <c r="W9" i="10"/>
  <c r="U9" i="10"/>
  <c r="BA8" i="10"/>
  <c r="AO8" i="10"/>
  <c r="AG8" i="10"/>
  <c r="AE8" i="10"/>
  <c r="AD8" i="10"/>
  <c r="AC8" i="10"/>
  <c r="AB8" i="10"/>
  <c r="AA8" i="10"/>
  <c r="Z8" i="10"/>
  <c r="Y8" i="10"/>
  <c r="X8" i="10"/>
  <c r="W8" i="10"/>
  <c r="U8" i="10"/>
  <c r="BA7" i="10"/>
  <c r="AO7" i="10"/>
  <c r="AG7" i="10"/>
  <c r="AE7" i="10"/>
  <c r="AD7" i="10"/>
  <c r="AC7" i="10"/>
  <c r="AB7" i="10"/>
  <c r="AA7" i="10"/>
  <c r="Z7" i="10"/>
  <c r="Y7" i="10"/>
  <c r="X7" i="10"/>
  <c r="W7" i="10"/>
  <c r="U7" i="10"/>
  <c r="BA6" i="10"/>
  <c r="AO6" i="10"/>
  <c r="AG6" i="10"/>
  <c r="AE6" i="10"/>
  <c r="AD6" i="10"/>
  <c r="AC6" i="10"/>
  <c r="AB6" i="10"/>
  <c r="AA6" i="10"/>
  <c r="Z6" i="10"/>
  <c r="Y6" i="10"/>
  <c r="X6" i="10"/>
  <c r="W6" i="10"/>
  <c r="U6" i="10"/>
  <c r="BA5" i="10"/>
  <c r="AO5" i="10"/>
  <c r="AG5" i="10"/>
  <c r="AE5" i="10"/>
  <c r="AD5" i="10"/>
  <c r="AC5" i="10"/>
  <c r="AB5" i="10"/>
  <c r="AA5" i="10"/>
  <c r="Z5" i="10"/>
  <c r="Y5" i="10"/>
  <c r="X5" i="10"/>
  <c r="W5" i="10"/>
  <c r="U5" i="10"/>
  <c r="BA4" i="10"/>
  <c r="AO4" i="10"/>
  <c r="AG4" i="10"/>
  <c r="AE4" i="10"/>
  <c r="AD4" i="10"/>
  <c r="AC4" i="10"/>
  <c r="AB4" i="10"/>
  <c r="AA4" i="10"/>
  <c r="Z4" i="10"/>
  <c r="Y4" i="10"/>
  <c r="X4" i="10"/>
  <c r="W4" i="10"/>
  <c r="U4" i="10"/>
  <c r="BA3" i="10"/>
  <c r="AO3" i="10"/>
  <c r="AG3" i="10"/>
  <c r="AE3" i="10"/>
  <c r="AD3" i="10"/>
  <c r="AC3" i="10"/>
  <c r="AB3" i="10"/>
  <c r="AA3" i="10"/>
  <c r="Z3" i="10"/>
  <c r="Y3" i="10"/>
  <c r="X3" i="10"/>
  <c r="W3" i="10"/>
  <c r="U3" i="10"/>
  <c r="BA2" i="10"/>
  <c r="AO2" i="10"/>
  <c r="AG2" i="10"/>
  <c r="AE2" i="10"/>
  <c r="AD2" i="10"/>
  <c r="AC2" i="10"/>
  <c r="AB2" i="10"/>
  <c r="AA2" i="10"/>
  <c r="Z2" i="10"/>
  <c r="Y2" i="10"/>
  <c r="X2" i="10"/>
  <c r="W2" i="10"/>
  <c r="U2" i="10"/>
  <c r="A239" i="8"/>
  <c r="A238" i="8"/>
  <c r="A237" i="8"/>
  <c r="A236" i="8"/>
  <c r="A235" i="8"/>
  <c r="A234" i="8"/>
  <c r="A233" i="8"/>
  <c r="A232" i="8"/>
  <c r="A231" i="8"/>
  <c r="A230" i="8"/>
  <c r="A229" i="8"/>
  <c r="A228" i="8"/>
  <c r="A227" i="8"/>
  <c r="A226" i="8"/>
  <c r="A225" i="8"/>
  <c r="A224" i="8"/>
  <c r="A223" i="8"/>
  <c r="A222" i="8"/>
  <c r="A221" i="8"/>
  <c r="A220" i="8"/>
  <c r="A219" i="8"/>
  <c r="A218" i="8"/>
  <c r="A217" i="8"/>
  <c r="A216" i="8"/>
  <c r="A215" i="8"/>
  <c r="A214" i="8"/>
  <c r="A213" i="8"/>
  <c r="A212" i="8"/>
  <c r="A211" i="8"/>
  <c r="A210" i="8"/>
  <c r="A209" i="8"/>
  <c r="A208" i="8"/>
  <c r="A207" i="8"/>
  <c r="A206" i="8"/>
  <c r="A205" i="8"/>
  <c r="A204" i="8"/>
  <c r="A203" i="8"/>
  <c r="A202" i="8"/>
  <c r="A201" i="8"/>
  <c r="A200" i="8"/>
  <c r="A199" i="8"/>
  <c r="A198" i="8"/>
  <c r="A197" i="8"/>
  <c r="A196" i="8"/>
  <c r="A195" i="8"/>
  <c r="A194" i="8"/>
  <c r="A193" i="8"/>
  <c r="A192" i="8"/>
  <c r="A191" i="8"/>
  <c r="A190" i="8"/>
  <c r="A189" i="8"/>
  <c r="A188" i="8"/>
  <c r="A187" i="8"/>
  <c r="A186" i="8"/>
  <c r="A185" i="8"/>
  <c r="A184" i="8"/>
  <c r="A183" i="8"/>
  <c r="A182" i="8"/>
  <c r="A181" i="8"/>
  <c r="A180" i="8"/>
  <c r="A179" i="8"/>
  <c r="A178" i="8"/>
  <c r="A177" i="8"/>
  <c r="A176" i="8"/>
  <c r="A175" i="8"/>
  <c r="A174" i="8"/>
  <c r="A173" i="8"/>
  <c r="A172" i="8"/>
  <c r="A171" i="8"/>
  <c r="A170" i="8"/>
  <c r="A169" i="8"/>
  <c r="A168" i="8"/>
  <c r="A167" i="8"/>
  <c r="A166" i="8"/>
  <c r="A165" i="8"/>
  <c r="A164" i="8"/>
  <c r="A163" i="8"/>
  <c r="A162" i="8"/>
  <c r="A161" i="8"/>
  <c r="A160" i="8"/>
  <c r="A159" i="8"/>
  <c r="A158" i="8"/>
  <c r="A157" i="8"/>
  <c r="A156" i="8"/>
  <c r="A155" i="8"/>
  <c r="A154" i="8"/>
  <c r="A153" i="8"/>
  <c r="A152" i="8"/>
  <c r="B87" i="8"/>
  <c r="H83" i="7" a="1"/>
  <c r="H83" i="7" s="1"/>
  <c r="G83" i="7" a="1"/>
  <c r="G83" i="7" s="1"/>
  <c r="F83" i="7" a="1"/>
  <c r="F83" i="7" s="1"/>
  <c r="H82" i="7" a="1"/>
  <c r="H82" i="7" s="1"/>
  <c r="G82" i="7" a="1"/>
  <c r="G82" i="7" s="1"/>
  <c r="F82" i="7" a="1"/>
  <c r="F82" i="7" s="1"/>
  <c r="H81" i="7" a="1"/>
  <c r="H81" i="7" s="1"/>
  <c r="F81" i="7" a="1"/>
  <c r="F81" i="7" s="1"/>
  <c r="H80" i="7" a="1"/>
  <c r="H80" i="7" s="1"/>
  <c r="F80" i="7" a="1"/>
  <c r="F80" i="7" s="1"/>
  <c r="L39" i="7"/>
  <c r="B28" i="7"/>
  <c r="B26" i="7"/>
  <c r="C90" i="7" s="1"/>
  <c r="B25" i="7"/>
  <c r="C89" i="7" s="1"/>
  <c r="B24" i="7"/>
  <c r="B23" i="7"/>
  <c r="B22" i="7"/>
  <c r="B19" i="7"/>
  <c r="B16" i="7"/>
  <c r="B15" i="7"/>
  <c r="B10" i="7"/>
  <c r="H11" i="7" s="1"/>
  <c r="B8" i="7"/>
  <c r="B6" i="7"/>
  <c r="B4" i="7"/>
  <c r="B2" i="7"/>
  <c r="B239" i="6"/>
  <c r="B215" i="6"/>
  <c r="B182" i="6"/>
  <c r="C114" i="6"/>
  <c r="C116" i="6" s="1"/>
  <c r="C113" i="6"/>
  <c r="C115" i="6" s="1"/>
  <c r="C87" i="6"/>
  <c r="C66" i="6"/>
  <c r="B53" i="7" s="1"/>
  <c r="D53" i="7" s="1"/>
  <c r="C38" i="6"/>
  <c r="B27" i="7" s="1"/>
  <c r="C32" i="6"/>
  <c r="C31" i="6"/>
  <c r="C28" i="6"/>
  <c r="B14" i="7" s="1"/>
  <c r="C26" i="6"/>
  <c r="B13" i="7" s="1"/>
  <c r="C25" i="6"/>
  <c r="B12" i="7" s="1"/>
  <c r="E24" i="6"/>
  <c r="C24" i="6"/>
  <c r="B11" i="7" s="1"/>
  <c r="C22" i="6"/>
  <c r="B9" i="7" s="1"/>
  <c r="C20" i="6"/>
  <c r="C13" i="6"/>
  <c r="A7" i="4"/>
  <c r="A8" i="4" s="1"/>
  <c r="A9" i="4" s="1"/>
  <c r="A10" i="4" s="1"/>
  <c r="A11" i="4" s="1"/>
  <c r="A12" i="4" s="1"/>
  <c r="A13" i="4" s="1"/>
  <c r="A14" i="4" s="1"/>
  <c r="A15" i="4" s="1"/>
  <c r="A16" i="4" s="1"/>
  <c r="A17" i="4" s="1"/>
  <c r="A18" i="4" s="1"/>
  <c r="A19" i="4" s="1"/>
  <c r="A20" i="4" s="1"/>
  <c r="A21" i="4" s="1"/>
  <c r="A22" i="4" s="1"/>
  <c r="A23" i="4" s="1"/>
  <c r="A24" i="4" s="1"/>
  <c r="A25" i="4" s="1"/>
  <c r="A26" i="4" s="1"/>
  <c r="A27" i="4" s="1"/>
  <c r="A28" i="4" s="1"/>
  <c r="A29" i="4" s="1"/>
  <c r="C117" i="6" l="1"/>
  <c r="C52" i="6" s="1"/>
  <c r="B39" i="7" s="1"/>
  <c r="AL152" i="10"/>
  <c r="AL54" i="10"/>
  <c r="AX161" i="10"/>
  <c r="AV161" i="10"/>
  <c r="AS161" i="10"/>
  <c r="AQ161" i="10"/>
  <c r="AR161" i="10"/>
  <c r="AI161" i="10"/>
  <c r="BH161" i="10" s="1"/>
  <c r="AH161" i="10"/>
  <c r="AM161" i="10" s="1"/>
  <c r="AF161" i="10"/>
  <c r="AX152" i="10"/>
  <c r="AQ152" i="10"/>
  <c r="AV152" i="10"/>
  <c r="AS152" i="10"/>
  <c r="AR152" i="10"/>
  <c r="AI152" i="10"/>
  <c r="BH152" i="10" s="1"/>
  <c r="AH152" i="10"/>
  <c r="AM152" i="10" s="1"/>
  <c r="AF152" i="10"/>
  <c r="AV143" i="10"/>
  <c r="AS143" i="10"/>
  <c r="AR143" i="10"/>
  <c r="AQ143" i="10"/>
  <c r="AX143" i="10"/>
  <c r="AX134" i="10"/>
  <c r="AQ134" i="10"/>
  <c r="AS134" i="10"/>
  <c r="AV134" i="10"/>
  <c r="AR134" i="10"/>
  <c r="AS125" i="10"/>
  <c r="AV125" i="10"/>
  <c r="AX125" i="10"/>
  <c r="AS63" i="10"/>
  <c r="AV63" i="10"/>
  <c r="AX63" i="10"/>
  <c r="AR63" i="10"/>
  <c r="AQ63" i="10"/>
  <c r="AI63" i="10"/>
  <c r="BH63" i="10" s="1"/>
  <c r="AH63" i="10"/>
  <c r="AM63" i="10" s="1"/>
  <c r="AF63" i="10"/>
  <c r="AF54" i="10"/>
  <c r="AX54" i="10"/>
  <c r="AV54" i="10"/>
  <c r="AS54" i="10"/>
  <c r="AR54" i="10"/>
  <c r="AQ54" i="10"/>
  <c r="AI54" i="10"/>
  <c r="BH54" i="10" s="1"/>
  <c r="AH54" i="10"/>
  <c r="AM54" i="10" s="1"/>
  <c r="AS45" i="10"/>
  <c r="AR45" i="10"/>
  <c r="AQ45" i="10"/>
  <c r="AX45" i="10"/>
  <c r="AV45" i="10"/>
  <c r="AX36" i="10"/>
  <c r="AS36" i="10"/>
  <c r="AQ36" i="10"/>
  <c r="AV36" i="10"/>
  <c r="AR36" i="10"/>
  <c r="AS27" i="10"/>
  <c r="AX27" i="10"/>
  <c r="AV27" i="10"/>
  <c r="AL169" i="10"/>
  <c r="AX169" i="10"/>
  <c r="AV169" i="10"/>
  <c r="AS169" i="10"/>
  <c r="AR169" i="10"/>
  <c r="AQ169" i="10"/>
  <c r="AI169" i="10"/>
  <c r="BH169" i="10" s="1"/>
  <c r="AH169" i="10"/>
  <c r="AM169" i="10" s="1"/>
  <c r="AF169" i="10"/>
  <c r="AL168" i="10"/>
  <c r="AX168" i="10"/>
  <c r="AV168" i="10"/>
  <c r="AS168" i="10"/>
  <c r="AR168" i="10"/>
  <c r="AQ168" i="10"/>
  <c r="AI168" i="10"/>
  <c r="BH168" i="10" s="1"/>
  <c r="AH168" i="10"/>
  <c r="AM168" i="10" s="1"/>
  <c r="AF168" i="10"/>
  <c r="AL167" i="10"/>
  <c r="AX167" i="10"/>
  <c r="AV167" i="10"/>
  <c r="AS167" i="10"/>
  <c r="AR167" i="10"/>
  <c r="AQ167" i="10"/>
  <c r="AI167" i="10"/>
  <c r="BH167" i="10" s="1"/>
  <c r="AH167" i="10"/>
  <c r="AM167" i="10" s="1"/>
  <c r="AF167" i="10"/>
  <c r="AL166" i="10"/>
  <c r="AV166" i="10"/>
  <c r="AR166" i="10"/>
  <c r="AQ166" i="10"/>
  <c r="AS166" i="10"/>
  <c r="AX166" i="10"/>
  <c r="AI166" i="10"/>
  <c r="BH166" i="10" s="1"/>
  <c r="AH166" i="10"/>
  <c r="AM166" i="10" s="1"/>
  <c r="AF166" i="10"/>
  <c r="AL165" i="10"/>
  <c r="AX165" i="10"/>
  <c r="AV165" i="10"/>
  <c r="AS165" i="10"/>
  <c r="AR165" i="10"/>
  <c r="AQ165" i="10"/>
  <c r="AI165" i="10"/>
  <c r="BH165" i="10" s="1"/>
  <c r="AH165" i="10"/>
  <c r="AM165" i="10" s="1"/>
  <c r="AF165" i="10"/>
  <c r="AL164" i="10"/>
  <c r="AX164" i="10"/>
  <c r="AV164" i="10"/>
  <c r="AS164" i="10"/>
  <c r="AR164" i="10"/>
  <c r="AQ164" i="10"/>
  <c r="AI164" i="10"/>
  <c r="BH164" i="10" s="1"/>
  <c r="AH164" i="10"/>
  <c r="AM164" i="10" s="1"/>
  <c r="AF164" i="10"/>
  <c r="AL163" i="10"/>
  <c r="AX163" i="10"/>
  <c r="AV163" i="10"/>
  <c r="AS163" i="10"/>
  <c r="AR163" i="10"/>
  <c r="AQ163" i="10"/>
  <c r="AI163" i="10"/>
  <c r="BH163" i="10" s="1"/>
  <c r="AH163" i="10"/>
  <c r="AM163" i="10" s="1"/>
  <c r="AF163" i="10"/>
  <c r="AL162" i="10"/>
  <c r="AX162" i="10"/>
  <c r="AV162" i="10"/>
  <c r="AS162" i="10"/>
  <c r="AR162" i="10"/>
  <c r="AQ162" i="10"/>
  <c r="AI162" i="10"/>
  <c r="BH162" i="10" s="1"/>
  <c r="AH162" i="10"/>
  <c r="AM162" i="10" s="1"/>
  <c r="AF162" i="10"/>
  <c r="AL161" i="10"/>
  <c r="AL160" i="10"/>
  <c r="AI160" i="10"/>
  <c r="BH160" i="10" s="1"/>
  <c r="AQ160" i="10"/>
  <c r="AR160" i="10"/>
  <c r="AS160" i="10"/>
  <c r="AV160" i="10"/>
  <c r="AX160" i="10"/>
  <c r="AF160" i="10"/>
  <c r="AH160" i="10"/>
  <c r="AM160" i="10" s="1"/>
  <c r="AL159" i="10"/>
  <c r="AV159" i="10"/>
  <c r="AX159" i="10"/>
  <c r="AS159" i="10"/>
  <c r="AQ159" i="10"/>
  <c r="AF159" i="10"/>
  <c r="AH159" i="10"/>
  <c r="AM159" i="10" s="1"/>
  <c r="AR159" i="10"/>
  <c r="AI159" i="10"/>
  <c r="BH159" i="10" s="1"/>
  <c r="AL158" i="10"/>
  <c r="AR158" i="10"/>
  <c r="AQ158" i="10"/>
  <c r="AI158" i="10"/>
  <c r="BH158" i="10" s="1"/>
  <c r="AH158" i="10"/>
  <c r="AM158" i="10" s="1"/>
  <c r="AF158" i="10"/>
  <c r="AX158" i="10"/>
  <c r="AV158" i="10"/>
  <c r="AS158" i="10"/>
  <c r="AL157" i="10"/>
  <c r="AI157" i="10"/>
  <c r="BH157" i="10" s="1"/>
  <c r="AV157" i="10"/>
  <c r="AQ157" i="10"/>
  <c r="AX157" i="10"/>
  <c r="AH157" i="10"/>
  <c r="AM157" i="10" s="1"/>
  <c r="AF157" i="10"/>
  <c r="AS157" i="10"/>
  <c r="AR157" i="10"/>
  <c r="AL156" i="10"/>
  <c r="AS156" i="10"/>
  <c r="AR156" i="10"/>
  <c r="AQ156" i="10"/>
  <c r="AV156" i="10"/>
  <c r="AX156" i="10"/>
  <c r="AI156" i="10"/>
  <c r="BH156" i="10" s="1"/>
  <c r="AH156" i="10"/>
  <c r="AM156" i="10" s="1"/>
  <c r="AF156" i="10"/>
  <c r="AL155" i="10"/>
  <c r="AR155" i="10"/>
  <c r="AQ155" i="10"/>
  <c r="AX155" i="10"/>
  <c r="AV155" i="10"/>
  <c r="AI155" i="10"/>
  <c r="BH155" i="10" s="1"/>
  <c r="AS155" i="10"/>
  <c r="AH155" i="10"/>
  <c r="AM155" i="10" s="1"/>
  <c r="AF155" i="10"/>
  <c r="AL154" i="10"/>
  <c r="AF154" i="10"/>
  <c r="AH154" i="10"/>
  <c r="AM154" i="10" s="1"/>
  <c r="AI154" i="10"/>
  <c r="BH154" i="10" s="1"/>
  <c r="AQ154" i="10"/>
  <c r="AX154" i="10"/>
  <c r="AV154" i="10"/>
  <c r="AS154" i="10"/>
  <c r="AR154" i="10"/>
  <c r="AL153" i="10"/>
  <c r="AS153" i="10"/>
  <c r="AV153" i="10"/>
  <c r="AX153" i="10"/>
  <c r="AF153" i="10"/>
  <c r="AH153" i="10"/>
  <c r="AM153" i="10" s="1"/>
  <c r="AI153" i="10"/>
  <c r="BH153" i="10" s="1"/>
  <c r="AQ153" i="10"/>
  <c r="AR153" i="10"/>
  <c r="AL151" i="10"/>
  <c r="AQ151" i="10"/>
  <c r="AH151" i="10"/>
  <c r="AM151" i="10" s="1"/>
  <c r="AI151" i="10"/>
  <c r="BH151" i="10" s="1"/>
  <c r="AX151" i="10"/>
  <c r="AV151" i="10"/>
  <c r="AS151" i="10"/>
  <c r="AR151" i="10"/>
  <c r="AF151" i="10"/>
  <c r="AL150" i="10"/>
  <c r="AS150" i="10"/>
  <c r="AR150" i="10"/>
  <c r="AQ150" i="10"/>
  <c r="AF150" i="10"/>
  <c r="AX150" i="10"/>
  <c r="AV150" i="10"/>
  <c r="AH150" i="10"/>
  <c r="AM150" i="10" s="1"/>
  <c r="AI150" i="10"/>
  <c r="BH150" i="10" s="1"/>
  <c r="AL149" i="10"/>
  <c r="AV149" i="10"/>
  <c r="AS149" i="10"/>
  <c r="AR149" i="10"/>
  <c r="AQ149" i="10"/>
  <c r="AI149" i="10"/>
  <c r="BH149" i="10" s="1"/>
  <c r="AH149" i="10"/>
  <c r="AM149" i="10" s="1"/>
  <c r="AF149" i="10"/>
  <c r="AX149" i="10"/>
  <c r="AL148" i="10"/>
  <c r="AS148" i="10"/>
  <c r="AX148" i="10"/>
  <c r="AV148" i="10"/>
  <c r="AR148" i="10"/>
  <c r="AQ148" i="10"/>
  <c r="AI148" i="10"/>
  <c r="BH148" i="10" s="1"/>
  <c r="AH148" i="10"/>
  <c r="AM148" i="10" s="1"/>
  <c r="AF148" i="10"/>
  <c r="AL147" i="10"/>
  <c r="AI147" i="10"/>
  <c r="BH147" i="10" s="1"/>
  <c r="AH147" i="10"/>
  <c r="AM147" i="10" s="1"/>
  <c r="AF147" i="10"/>
  <c r="AX147" i="10"/>
  <c r="AV147" i="10"/>
  <c r="AS147" i="10"/>
  <c r="AR147" i="10"/>
  <c r="AQ147" i="10"/>
  <c r="AL146" i="10"/>
  <c r="AH146" i="10"/>
  <c r="AM146" i="10" s="1"/>
  <c r="AF146" i="10"/>
  <c r="AX146" i="10"/>
  <c r="AV146" i="10"/>
  <c r="AS146" i="10"/>
  <c r="AR146" i="10"/>
  <c r="AQ146" i="10"/>
  <c r="AI146" i="10"/>
  <c r="BH146" i="10" s="1"/>
  <c r="AL145" i="10"/>
  <c r="AF145" i="10"/>
  <c r="AI145" i="10"/>
  <c r="BH145" i="10" s="1"/>
  <c r="AH145" i="10"/>
  <c r="AM145" i="10" s="1"/>
  <c r="AX145" i="10"/>
  <c r="AV145" i="10"/>
  <c r="AS145" i="10"/>
  <c r="AR145" i="10"/>
  <c r="AQ145" i="10"/>
  <c r="AL144" i="10"/>
  <c r="AX144" i="10"/>
  <c r="AV144" i="10"/>
  <c r="AS144" i="10"/>
  <c r="AR144" i="10"/>
  <c r="AQ144" i="10"/>
  <c r="AI144" i="10"/>
  <c r="BH144" i="10" s="1"/>
  <c r="AH144" i="10"/>
  <c r="AM144" i="10" s="1"/>
  <c r="AF144" i="10"/>
  <c r="AI143" i="10"/>
  <c r="BH143" i="10" s="1"/>
  <c r="AH143" i="10"/>
  <c r="AM143" i="10" s="1"/>
  <c r="AF143" i="10"/>
  <c r="AL142" i="10"/>
  <c r="AS142" i="10"/>
  <c r="AR142" i="10"/>
  <c r="AI142" i="10"/>
  <c r="BH142" i="10" s="1"/>
  <c r="AH142" i="10"/>
  <c r="AM142" i="10" s="1"/>
  <c r="AF142" i="10"/>
  <c r="AQ142" i="10"/>
  <c r="AV142" i="10"/>
  <c r="AX142" i="10"/>
  <c r="AL141" i="10"/>
  <c r="AI141" i="10"/>
  <c r="BH141" i="10" s="1"/>
  <c r="AQ141" i="10"/>
  <c r="AR141" i="10"/>
  <c r="AS141" i="10"/>
  <c r="AX141" i="10"/>
  <c r="AF141" i="10"/>
  <c r="AV141" i="10"/>
  <c r="AH141" i="10"/>
  <c r="AM141" i="10" s="1"/>
  <c r="AL140" i="10"/>
  <c r="AH140" i="10"/>
  <c r="AM140" i="10" s="1"/>
  <c r="AX140" i="10"/>
  <c r="AF140" i="10"/>
  <c r="AI140" i="10"/>
  <c r="BH140" i="10" s="1"/>
  <c r="AR140" i="10"/>
  <c r="AS140" i="10"/>
  <c r="AV140" i="10"/>
  <c r="AQ140" i="10"/>
  <c r="AL139" i="10"/>
  <c r="AF139" i="10"/>
  <c r="AV139" i="10"/>
  <c r="AR139" i="10"/>
  <c r="AQ139" i="10"/>
  <c r="AI139" i="10"/>
  <c r="BH139" i="10" s="1"/>
  <c r="AH139" i="10"/>
  <c r="AM139" i="10" s="1"/>
  <c r="AS139" i="10"/>
  <c r="AX139" i="10"/>
  <c r="AL138" i="10"/>
  <c r="AX138" i="10"/>
  <c r="AV138" i="10"/>
  <c r="AS138" i="10"/>
  <c r="AR138" i="10"/>
  <c r="AF138" i="10"/>
  <c r="AH138" i="10"/>
  <c r="AM138" i="10" s="1"/>
  <c r="AI138" i="10"/>
  <c r="BH138" i="10" s="1"/>
  <c r="AQ138" i="10"/>
  <c r="AL137" i="10"/>
  <c r="AQ137" i="10"/>
  <c r="AR137" i="10"/>
  <c r="AS137" i="10"/>
  <c r="AV137" i="10"/>
  <c r="AX137" i="10"/>
  <c r="AF137" i="10"/>
  <c r="AH137" i="10"/>
  <c r="AM137" i="10" s="1"/>
  <c r="AI137" i="10"/>
  <c r="BH137" i="10" s="1"/>
  <c r="AL136" i="10"/>
  <c r="AI136" i="10"/>
  <c r="BH136" i="10" s="1"/>
  <c r="AF136" i="10"/>
  <c r="AH136" i="10"/>
  <c r="AM136" i="10" s="1"/>
  <c r="AX136" i="10"/>
  <c r="AV136" i="10"/>
  <c r="AS136" i="10"/>
  <c r="AR136" i="10"/>
  <c r="AQ136" i="10"/>
  <c r="AL135" i="10"/>
  <c r="AQ135" i="10"/>
  <c r="AH135" i="10"/>
  <c r="AM135" i="10" s="1"/>
  <c r="AR135" i="10"/>
  <c r="AS135" i="10"/>
  <c r="AV135" i="10"/>
  <c r="AX135" i="10"/>
  <c r="AF135" i="10"/>
  <c r="AI135" i="10"/>
  <c r="BH135" i="10" s="1"/>
  <c r="AL134" i="10"/>
  <c r="AF134" i="10"/>
  <c r="AK134" i="10" s="1"/>
  <c r="AH134" i="10"/>
  <c r="AM134" i="10" s="1"/>
  <c r="AI134" i="10"/>
  <c r="BH134" i="10" s="1"/>
  <c r="AL133" i="10"/>
  <c r="AF133" i="10"/>
  <c r="AH133" i="10"/>
  <c r="AM133" i="10" s="1"/>
  <c r="AI133" i="10"/>
  <c r="BH133" i="10" s="1"/>
  <c r="AQ133" i="10"/>
  <c r="AX133" i="10"/>
  <c r="AR133" i="10"/>
  <c r="AS133" i="10"/>
  <c r="AV133" i="10"/>
  <c r="AL132" i="10"/>
  <c r="AH132" i="10"/>
  <c r="AM132" i="10" s="1"/>
  <c r="AQ132" i="10"/>
  <c r="AX132" i="10"/>
  <c r="AV132" i="10"/>
  <c r="AS132" i="10"/>
  <c r="AR132" i="10"/>
  <c r="AF132" i="10"/>
  <c r="AI132" i="10"/>
  <c r="BH132" i="10" s="1"/>
  <c r="AL131" i="10"/>
  <c r="AX131" i="10"/>
  <c r="AV131" i="10"/>
  <c r="AS131" i="10"/>
  <c r="AR131" i="10"/>
  <c r="AQ131" i="10"/>
  <c r="AI131" i="10"/>
  <c r="BH131" i="10" s="1"/>
  <c r="AH131" i="10"/>
  <c r="AM131" i="10" s="1"/>
  <c r="AF131" i="10"/>
  <c r="AL130" i="10"/>
  <c r="AF130" i="10"/>
  <c r="AH130" i="10"/>
  <c r="AM130" i="10" s="1"/>
  <c r="AI130" i="10"/>
  <c r="BH130" i="10" s="1"/>
  <c r="AX130" i="10"/>
  <c r="AR130" i="10"/>
  <c r="AV130" i="10"/>
  <c r="AS130" i="10"/>
  <c r="AQ130" i="10"/>
  <c r="AL129" i="10"/>
  <c r="AI129" i="10"/>
  <c r="BH129" i="10" s="1"/>
  <c r="AV129" i="10"/>
  <c r="AX129" i="10"/>
  <c r="AR129" i="10"/>
  <c r="AF129" i="10"/>
  <c r="AH129" i="10"/>
  <c r="AM129" i="10" s="1"/>
  <c r="AS129" i="10"/>
  <c r="AQ129" i="10"/>
  <c r="AL128" i="10"/>
  <c r="AS128" i="10"/>
  <c r="AV128" i="10"/>
  <c r="AI128" i="10"/>
  <c r="BH128" i="10" s="1"/>
  <c r="AH128" i="10"/>
  <c r="AM128" i="10" s="1"/>
  <c r="AF128" i="10"/>
  <c r="AR128" i="10"/>
  <c r="AQ128" i="10"/>
  <c r="AX128" i="10"/>
  <c r="AL127" i="10"/>
  <c r="AX127" i="10"/>
  <c r="AV127" i="10"/>
  <c r="AS127" i="10"/>
  <c r="AR127" i="10"/>
  <c r="AQ127" i="10"/>
  <c r="AI127" i="10"/>
  <c r="BH127" i="10" s="1"/>
  <c r="AH127" i="10"/>
  <c r="AM127" i="10" s="1"/>
  <c r="AF127" i="10"/>
  <c r="AL126" i="10"/>
  <c r="AI126" i="10"/>
  <c r="BH126" i="10" s="1"/>
  <c r="AH126" i="10"/>
  <c r="AM126" i="10" s="1"/>
  <c r="AF126" i="10"/>
  <c r="AR126" i="10"/>
  <c r="AX126" i="10"/>
  <c r="AV126" i="10"/>
  <c r="AS126" i="10"/>
  <c r="AQ126" i="10"/>
  <c r="AL125" i="10"/>
  <c r="AI125" i="10"/>
  <c r="BH125" i="10" s="1"/>
  <c r="AH125" i="10"/>
  <c r="AM125" i="10" s="1"/>
  <c r="AF125" i="10"/>
  <c r="AK125" i="10" s="1"/>
  <c r="AN125" i="10" s="1"/>
  <c r="AR125" i="10"/>
  <c r="AQ125" i="10"/>
  <c r="AL124" i="10"/>
  <c r="AI124" i="10"/>
  <c r="BH124" i="10" s="1"/>
  <c r="AX124" i="10"/>
  <c r="AR124" i="10"/>
  <c r="AH124" i="10"/>
  <c r="AM124" i="10" s="1"/>
  <c r="AQ124" i="10"/>
  <c r="AF124" i="10"/>
  <c r="AS124" i="10"/>
  <c r="AV124" i="10"/>
  <c r="AL123" i="10"/>
  <c r="AQ123" i="10"/>
  <c r="AR123" i="10"/>
  <c r="AX123" i="10"/>
  <c r="AV123" i="10"/>
  <c r="AF123" i="10"/>
  <c r="AS123" i="10"/>
  <c r="AH123" i="10"/>
  <c r="AM123" i="10" s="1"/>
  <c r="AI123" i="10"/>
  <c r="BH123" i="10" s="1"/>
  <c r="AL122" i="10"/>
  <c r="AH122" i="10"/>
  <c r="AM122" i="10" s="1"/>
  <c r="AI122" i="10"/>
  <c r="BH122" i="10" s="1"/>
  <c r="AX122" i="10"/>
  <c r="AQ122" i="10"/>
  <c r="AV122" i="10"/>
  <c r="AF122" i="10"/>
  <c r="AS122" i="10"/>
  <c r="AR122" i="10"/>
  <c r="AL121" i="10"/>
  <c r="AH121" i="10"/>
  <c r="AM121" i="10" s="1"/>
  <c r="AF121" i="10"/>
  <c r="AI121" i="10"/>
  <c r="BH121" i="10" s="1"/>
  <c r="AQ121" i="10"/>
  <c r="AS121" i="10"/>
  <c r="AV121" i="10"/>
  <c r="AX121" i="10"/>
  <c r="AR121" i="10"/>
  <c r="AL120" i="10"/>
  <c r="AV120" i="10"/>
  <c r="AR120" i="10"/>
  <c r="AI120" i="10"/>
  <c r="BH120" i="10" s="1"/>
  <c r="AQ120" i="10"/>
  <c r="AS120" i="10"/>
  <c r="AF120" i="10"/>
  <c r="AH120" i="10"/>
  <c r="AM120" i="10" s="1"/>
  <c r="AX120" i="10"/>
  <c r="AL119" i="10"/>
  <c r="AI119" i="10"/>
  <c r="BH119" i="10" s="1"/>
  <c r="AR119" i="10"/>
  <c r="AX119" i="10"/>
  <c r="AQ119" i="10"/>
  <c r="AH119" i="10"/>
  <c r="AM119" i="10" s="1"/>
  <c r="AF119" i="10"/>
  <c r="AV119" i="10"/>
  <c r="AS119" i="10"/>
  <c r="AL118" i="10"/>
  <c r="AQ118" i="10"/>
  <c r="AX118" i="10"/>
  <c r="AI118" i="10"/>
  <c r="BH118" i="10" s="1"/>
  <c r="AR118" i="10"/>
  <c r="AF118" i="10"/>
  <c r="AH118" i="10"/>
  <c r="AM118" i="10" s="1"/>
  <c r="AS118" i="10"/>
  <c r="AV118" i="10"/>
  <c r="AL117" i="10"/>
  <c r="AS117" i="10"/>
  <c r="AR117" i="10"/>
  <c r="AF117" i="10"/>
  <c r="AV117" i="10"/>
  <c r="AQ117" i="10"/>
  <c r="AX117" i="10"/>
  <c r="AH117" i="10"/>
  <c r="AM117" i="10" s="1"/>
  <c r="AI117" i="10"/>
  <c r="BH117" i="10" s="1"/>
  <c r="AL116" i="10"/>
  <c r="AV116" i="10"/>
  <c r="AI116" i="10"/>
  <c r="BH116" i="10" s="1"/>
  <c r="AQ116" i="10"/>
  <c r="AH116" i="10"/>
  <c r="AM116" i="10" s="1"/>
  <c r="AF116" i="10"/>
  <c r="AR116" i="10"/>
  <c r="AS116" i="10"/>
  <c r="AL115" i="10"/>
  <c r="AX115" i="10"/>
  <c r="AV115" i="10"/>
  <c r="AS115" i="10"/>
  <c r="AR115" i="10"/>
  <c r="AQ115" i="10"/>
  <c r="AI115" i="10"/>
  <c r="BH115" i="10" s="1"/>
  <c r="AH115" i="10"/>
  <c r="AM115" i="10" s="1"/>
  <c r="AF115" i="10"/>
  <c r="AL114" i="10"/>
  <c r="AX114" i="10"/>
  <c r="AV114" i="10"/>
  <c r="AS114" i="10"/>
  <c r="AR114" i="10"/>
  <c r="AQ114" i="10"/>
  <c r="AI114" i="10"/>
  <c r="BH114" i="10" s="1"/>
  <c r="AH114" i="10"/>
  <c r="AM114" i="10" s="1"/>
  <c r="AF114" i="10"/>
  <c r="AL113" i="10"/>
  <c r="AX113" i="10"/>
  <c r="AV113" i="10"/>
  <c r="AR113" i="10"/>
  <c r="AQ113" i="10"/>
  <c r="AS113" i="10"/>
  <c r="AI113" i="10"/>
  <c r="BH113" i="10" s="1"/>
  <c r="AH113" i="10"/>
  <c r="AM113" i="10" s="1"/>
  <c r="AF113" i="10"/>
  <c r="AL112" i="10"/>
  <c r="AX112" i="10"/>
  <c r="AV112" i="10"/>
  <c r="AS112" i="10"/>
  <c r="AR112" i="10"/>
  <c r="AQ112" i="10"/>
  <c r="AI112" i="10"/>
  <c r="BH112" i="10" s="1"/>
  <c r="AH112" i="10"/>
  <c r="AM112" i="10" s="1"/>
  <c r="AF112" i="10"/>
  <c r="AL111" i="10"/>
  <c r="AX111" i="10"/>
  <c r="AS111" i="10"/>
  <c r="AR111" i="10"/>
  <c r="AQ111" i="10"/>
  <c r="AV111" i="10"/>
  <c r="AI111" i="10"/>
  <c r="BH111" i="10" s="1"/>
  <c r="AH111" i="10"/>
  <c r="AM111" i="10" s="1"/>
  <c r="AF111" i="10"/>
  <c r="AL110" i="10"/>
  <c r="AX110" i="10"/>
  <c r="AV110" i="10"/>
  <c r="AS110" i="10"/>
  <c r="AR110" i="10"/>
  <c r="AQ110" i="10"/>
  <c r="AI110" i="10"/>
  <c r="BH110" i="10" s="1"/>
  <c r="AH110" i="10"/>
  <c r="AM110" i="10" s="1"/>
  <c r="AF110" i="10"/>
  <c r="AL109" i="10"/>
  <c r="AV109" i="10"/>
  <c r="AS109" i="10"/>
  <c r="AR109" i="10"/>
  <c r="AQ109" i="10"/>
  <c r="AX109" i="10"/>
  <c r="AI109" i="10"/>
  <c r="BH109" i="10" s="1"/>
  <c r="AH109" i="10"/>
  <c r="AM109" i="10" s="1"/>
  <c r="AF109" i="10"/>
  <c r="AL108" i="10"/>
  <c r="AI108" i="10"/>
  <c r="BH108" i="10" s="1"/>
  <c r="AQ108" i="10"/>
  <c r="AR108" i="10"/>
  <c r="AS108" i="10"/>
  <c r="AF108" i="10"/>
  <c r="AH108" i="10"/>
  <c r="AM108" i="10" s="1"/>
  <c r="AV108" i="10"/>
  <c r="AX108" i="10"/>
  <c r="AL107" i="10"/>
  <c r="AV107" i="10"/>
  <c r="AX107" i="10"/>
  <c r="AF107" i="10"/>
  <c r="AH107" i="10"/>
  <c r="AM107" i="10" s="1"/>
  <c r="AI107" i="10"/>
  <c r="BH107" i="10" s="1"/>
  <c r="AQ107" i="10"/>
  <c r="AR107" i="10"/>
  <c r="AS107" i="10"/>
  <c r="AL106" i="10"/>
  <c r="AI106" i="10"/>
  <c r="BH106" i="10" s="1"/>
  <c r="AH106" i="10"/>
  <c r="AM106" i="10" s="1"/>
  <c r="AF106" i="10"/>
  <c r="AV106" i="10"/>
  <c r="AQ106" i="10"/>
  <c r="AX106" i="10"/>
  <c r="AS106" i="10"/>
  <c r="AR106" i="10"/>
  <c r="AL105" i="10"/>
  <c r="AR105" i="10"/>
  <c r="AI105" i="10"/>
  <c r="BH105" i="10" s="1"/>
  <c r="AF105" i="10"/>
  <c r="AX105" i="10"/>
  <c r="AS105" i="10"/>
  <c r="AV105" i="10"/>
  <c r="AH105" i="10"/>
  <c r="AM105" i="10" s="1"/>
  <c r="AQ105" i="10"/>
  <c r="AL104" i="10"/>
  <c r="AX104" i="10"/>
  <c r="AV104" i="10"/>
  <c r="AH104" i="10"/>
  <c r="AM104" i="10" s="1"/>
  <c r="AS104" i="10"/>
  <c r="AF104" i="10"/>
  <c r="AI104" i="10"/>
  <c r="BH104" i="10" s="1"/>
  <c r="AR104" i="10"/>
  <c r="AQ104" i="10"/>
  <c r="AL103" i="10"/>
  <c r="AF103" i="10"/>
  <c r="AI103" i="10"/>
  <c r="BH103" i="10" s="1"/>
  <c r="AH103" i="10"/>
  <c r="AM103" i="10" s="1"/>
  <c r="AX103" i="10"/>
  <c r="AV103" i="10"/>
  <c r="AS103" i="10"/>
  <c r="AQ103" i="10"/>
  <c r="AR103" i="10"/>
  <c r="AL102" i="10"/>
  <c r="AQ102" i="10"/>
  <c r="AI102" i="10"/>
  <c r="BH102" i="10" s="1"/>
  <c r="AH102" i="10"/>
  <c r="AM102" i="10" s="1"/>
  <c r="AF102" i="10"/>
  <c r="AX102" i="10"/>
  <c r="AV102" i="10"/>
  <c r="AS102" i="10"/>
  <c r="AR102" i="10"/>
  <c r="AL101" i="10"/>
  <c r="AQ101" i="10"/>
  <c r="AR101" i="10"/>
  <c r="AV101" i="10"/>
  <c r="AX101" i="10"/>
  <c r="AS101" i="10"/>
  <c r="AF101" i="10"/>
  <c r="AH101" i="10"/>
  <c r="AM101" i="10" s="1"/>
  <c r="AI101" i="10"/>
  <c r="BH101" i="10" s="1"/>
  <c r="AL100" i="10"/>
  <c r="AI100" i="10"/>
  <c r="BH100" i="10" s="1"/>
  <c r="AH100" i="10"/>
  <c r="AM100" i="10" s="1"/>
  <c r="AF100" i="10"/>
  <c r="AX100" i="10"/>
  <c r="AV100" i="10"/>
  <c r="AS100" i="10"/>
  <c r="AR100" i="10"/>
  <c r="AQ100" i="10"/>
  <c r="AL99" i="10"/>
  <c r="AX99" i="10"/>
  <c r="AV99" i="10"/>
  <c r="AS99" i="10"/>
  <c r="AR99" i="10"/>
  <c r="AQ99" i="10"/>
  <c r="AI99" i="10"/>
  <c r="BH99" i="10" s="1"/>
  <c r="AH99" i="10"/>
  <c r="AM99" i="10" s="1"/>
  <c r="AF99" i="10"/>
  <c r="AL98" i="10"/>
  <c r="AX98" i="10"/>
  <c r="AV98" i="10"/>
  <c r="AR98" i="10"/>
  <c r="AQ98" i="10"/>
  <c r="AS98" i="10"/>
  <c r="AI98" i="10"/>
  <c r="BH98" i="10" s="1"/>
  <c r="AH98" i="10"/>
  <c r="AM98" i="10" s="1"/>
  <c r="AF98" i="10"/>
  <c r="AL97" i="10"/>
  <c r="AI97" i="10"/>
  <c r="BH97" i="10" s="1"/>
  <c r="AH97" i="10"/>
  <c r="AM97" i="10" s="1"/>
  <c r="AF97" i="10"/>
  <c r="AS97" i="10"/>
  <c r="AR97" i="10"/>
  <c r="AX97" i="10"/>
  <c r="AV97" i="10"/>
  <c r="AQ97" i="10"/>
  <c r="AL96" i="10"/>
  <c r="AS96" i="10"/>
  <c r="AQ96" i="10"/>
  <c r="AR96" i="10"/>
  <c r="AF96" i="10"/>
  <c r="AI96" i="10"/>
  <c r="BH96" i="10" s="1"/>
  <c r="AV96" i="10"/>
  <c r="AX96" i="10"/>
  <c r="AH96" i="10"/>
  <c r="AM96" i="10" s="1"/>
  <c r="AL95" i="10"/>
  <c r="AV95" i="10"/>
  <c r="AH95" i="10"/>
  <c r="AM95" i="10" s="1"/>
  <c r="AI95" i="10"/>
  <c r="BH95" i="10" s="1"/>
  <c r="AQ95" i="10"/>
  <c r="AR95" i="10"/>
  <c r="AX95" i="10"/>
  <c r="AF95" i="10"/>
  <c r="AS95" i="10"/>
  <c r="AL94" i="10"/>
  <c r="AI94" i="10"/>
  <c r="BH94" i="10" s="1"/>
  <c r="AH94" i="10"/>
  <c r="AM94" i="10" s="1"/>
  <c r="AF94" i="10"/>
  <c r="AS94" i="10"/>
  <c r="AV94" i="10"/>
  <c r="AX94" i="10"/>
  <c r="AR94" i="10"/>
  <c r="AQ94" i="10"/>
  <c r="AL93" i="10"/>
  <c r="AF93" i="10"/>
  <c r="AV93" i="10"/>
  <c r="AX93" i="10"/>
  <c r="AI93" i="10"/>
  <c r="BH93" i="10" s="1"/>
  <c r="AH93" i="10"/>
  <c r="AM93" i="10" s="1"/>
  <c r="AQ93" i="10"/>
  <c r="AR93" i="10"/>
  <c r="AS93" i="10"/>
  <c r="AL92" i="10"/>
  <c r="AX92" i="10"/>
  <c r="AV92" i="10"/>
  <c r="AS92" i="10"/>
  <c r="AR92" i="10"/>
  <c r="AQ92" i="10"/>
  <c r="AF92" i="10"/>
  <c r="AH92" i="10"/>
  <c r="AM92" i="10" s="1"/>
  <c r="AI92" i="10"/>
  <c r="BH92" i="10" s="1"/>
  <c r="AL91" i="10"/>
  <c r="AR91" i="10"/>
  <c r="AQ91" i="10"/>
  <c r="AX91" i="10"/>
  <c r="AF91" i="10"/>
  <c r="AH91" i="10"/>
  <c r="AM91" i="10" s="1"/>
  <c r="AI91" i="10"/>
  <c r="BH91" i="10" s="1"/>
  <c r="AV91" i="10"/>
  <c r="AS91" i="10"/>
  <c r="AL90" i="10"/>
  <c r="AR90" i="10"/>
  <c r="AF90" i="10"/>
  <c r="AH90" i="10"/>
  <c r="AM90" i="10" s="1"/>
  <c r="AI90" i="10"/>
  <c r="BH90" i="10" s="1"/>
  <c r="AV90" i="10"/>
  <c r="AQ90" i="10"/>
  <c r="AS90" i="10"/>
  <c r="AX90" i="10"/>
  <c r="AL89" i="10"/>
  <c r="AI89" i="10"/>
  <c r="BH89" i="10" s="1"/>
  <c r="AR89" i="10"/>
  <c r="AX89" i="10"/>
  <c r="AV89" i="10"/>
  <c r="AQ89" i="10"/>
  <c r="AF89" i="10"/>
  <c r="AH89" i="10"/>
  <c r="AM89" i="10" s="1"/>
  <c r="AS89" i="10"/>
  <c r="AL88" i="10"/>
  <c r="AR88" i="10"/>
  <c r="AV88" i="10"/>
  <c r="AS88" i="10"/>
  <c r="AF88" i="10"/>
  <c r="AI88" i="10"/>
  <c r="BH88" i="10" s="1"/>
  <c r="AH88" i="10"/>
  <c r="AM88" i="10" s="1"/>
  <c r="AX88" i="10"/>
  <c r="AQ88" i="10"/>
  <c r="AL87" i="10"/>
  <c r="AV87" i="10"/>
  <c r="AX87" i="10"/>
  <c r="AS87" i="10"/>
  <c r="AR87" i="10"/>
  <c r="AQ87" i="10"/>
  <c r="AI87" i="10"/>
  <c r="BH87" i="10" s="1"/>
  <c r="AH87" i="10"/>
  <c r="AM87" i="10" s="1"/>
  <c r="AF87" i="10"/>
  <c r="AL86" i="10"/>
  <c r="AX86" i="10"/>
  <c r="AV86" i="10"/>
  <c r="AF86" i="10"/>
  <c r="AH86" i="10"/>
  <c r="AM86" i="10" s="1"/>
  <c r="AI86" i="10"/>
  <c r="BH86" i="10" s="1"/>
  <c r="AQ86" i="10"/>
  <c r="AR86" i="10"/>
  <c r="AS86" i="10"/>
  <c r="AL85" i="10"/>
  <c r="AS85" i="10"/>
  <c r="AR85" i="10"/>
  <c r="AQ85" i="10"/>
  <c r="AI85" i="10"/>
  <c r="BH85" i="10" s="1"/>
  <c r="AH85" i="10"/>
  <c r="AM85" i="10" s="1"/>
  <c r="AF85" i="10"/>
  <c r="AX85" i="10"/>
  <c r="AV85" i="10"/>
  <c r="AL84" i="10"/>
  <c r="AF84" i="10"/>
  <c r="AH84" i="10"/>
  <c r="AM84" i="10" s="1"/>
  <c r="AI84" i="10"/>
  <c r="BH84" i="10" s="1"/>
  <c r="AQ84" i="10"/>
  <c r="AR84" i="10"/>
  <c r="AS84" i="10"/>
  <c r="AV84" i="10"/>
  <c r="AX84" i="10"/>
  <c r="AL83" i="10"/>
  <c r="AI83" i="10"/>
  <c r="BH83" i="10" s="1"/>
  <c r="AQ83" i="10"/>
  <c r="AR83" i="10"/>
  <c r="AS83" i="10"/>
  <c r="AV83" i="10"/>
  <c r="AX83" i="10"/>
  <c r="AH83" i="10"/>
  <c r="AM83" i="10" s="1"/>
  <c r="AF83" i="10"/>
  <c r="AL82" i="10"/>
  <c r="AX82" i="10"/>
  <c r="AQ82" i="10"/>
  <c r="AR82" i="10"/>
  <c r="AH82" i="10"/>
  <c r="AM82" i="10" s="1"/>
  <c r="AS82" i="10"/>
  <c r="AF82" i="10"/>
  <c r="AI82" i="10"/>
  <c r="BH82" i="10" s="1"/>
  <c r="AV82" i="10"/>
  <c r="AL81" i="10"/>
  <c r="AV81" i="10"/>
  <c r="AX81" i="10"/>
  <c r="AS81" i="10"/>
  <c r="AR81" i="10"/>
  <c r="AQ81" i="10"/>
  <c r="AI81" i="10"/>
  <c r="BH81" i="10" s="1"/>
  <c r="AH81" i="10"/>
  <c r="AM81" i="10" s="1"/>
  <c r="AF81" i="10"/>
  <c r="AL80" i="10"/>
  <c r="AF80" i="10"/>
  <c r="AH80" i="10"/>
  <c r="AM80" i="10" s="1"/>
  <c r="AR80" i="10"/>
  <c r="AQ80" i="10"/>
  <c r="AI80" i="10"/>
  <c r="BH80" i="10" s="1"/>
  <c r="AS80" i="10"/>
  <c r="AV80" i="10"/>
  <c r="AX80" i="10"/>
  <c r="AL79" i="10"/>
  <c r="AH79" i="10"/>
  <c r="AM79" i="10" s="1"/>
  <c r="AF79" i="10"/>
  <c r="AI79" i="10"/>
  <c r="BH79" i="10" s="1"/>
  <c r="AX79" i="10"/>
  <c r="AQ79" i="10"/>
  <c r="AR79" i="10"/>
  <c r="AS79" i="10"/>
  <c r="AV79" i="10"/>
  <c r="AL78" i="10"/>
  <c r="AV78" i="10"/>
  <c r="AX78" i="10"/>
  <c r="AR78" i="10"/>
  <c r="AQ78" i="10"/>
  <c r="AS78" i="10"/>
  <c r="AI78" i="10"/>
  <c r="BH78" i="10" s="1"/>
  <c r="AH78" i="10"/>
  <c r="AM78" i="10" s="1"/>
  <c r="AF78" i="10"/>
  <c r="AL77" i="10"/>
  <c r="AQ77" i="10"/>
  <c r="AI77" i="10"/>
  <c r="BH77" i="10" s="1"/>
  <c r="AV77" i="10"/>
  <c r="AH77" i="10"/>
  <c r="AM77" i="10" s="1"/>
  <c r="AF77" i="10"/>
  <c r="AS77" i="10"/>
  <c r="AR77" i="10"/>
  <c r="AX77" i="10"/>
  <c r="AL76" i="10"/>
  <c r="AH76" i="10"/>
  <c r="AM76" i="10" s="1"/>
  <c r="AF76" i="10"/>
  <c r="AV76" i="10"/>
  <c r="AX76" i="10"/>
  <c r="AS76" i="10"/>
  <c r="AR76" i="10"/>
  <c r="AQ76" i="10"/>
  <c r="AI76" i="10"/>
  <c r="BH76" i="10" s="1"/>
  <c r="AL75" i="10"/>
  <c r="AI75" i="10"/>
  <c r="BH75" i="10" s="1"/>
  <c r="AQ75" i="10"/>
  <c r="AR75" i="10"/>
  <c r="AS75" i="10"/>
  <c r="AV75" i="10"/>
  <c r="AX75" i="10"/>
  <c r="AF75" i="10"/>
  <c r="AH75" i="10"/>
  <c r="AM75" i="10" s="1"/>
  <c r="AL74" i="10"/>
  <c r="AI74" i="10"/>
  <c r="BH74" i="10" s="1"/>
  <c r="AF74" i="10"/>
  <c r="AH74" i="10"/>
  <c r="AM74" i="10" s="1"/>
  <c r="AX74" i="10"/>
  <c r="AV74" i="10"/>
  <c r="AR74" i="10"/>
  <c r="AQ74" i="10"/>
  <c r="AS74" i="10"/>
  <c r="AL73" i="10"/>
  <c r="AF73" i="10"/>
  <c r="AH73" i="10"/>
  <c r="AM73" i="10" s="1"/>
  <c r="AI73" i="10"/>
  <c r="BH73" i="10" s="1"/>
  <c r="AX73" i="10"/>
  <c r="AV73" i="10"/>
  <c r="AS73" i="10"/>
  <c r="AQ73" i="10"/>
  <c r="AR73" i="10"/>
  <c r="AL72" i="10"/>
  <c r="AS72" i="10"/>
  <c r="AV72" i="10"/>
  <c r="AR72" i="10"/>
  <c r="AQ72" i="10"/>
  <c r="AH72" i="10"/>
  <c r="AM72" i="10" s="1"/>
  <c r="AF72" i="10"/>
  <c r="AI72" i="10"/>
  <c r="BH72" i="10" s="1"/>
  <c r="AX72" i="10"/>
  <c r="AL71" i="10"/>
  <c r="AH71" i="10"/>
  <c r="AM71" i="10" s="1"/>
  <c r="AI71" i="10"/>
  <c r="BH71" i="10" s="1"/>
  <c r="AF71" i="10"/>
  <c r="AQ71" i="10"/>
  <c r="AR71" i="10"/>
  <c r="AS71" i="10"/>
  <c r="AV71" i="10"/>
  <c r="AX71" i="10"/>
  <c r="AL70" i="10"/>
  <c r="AI70" i="10"/>
  <c r="BH70" i="10" s="1"/>
  <c r="AS70" i="10"/>
  <c r="AR70" i="10"/>
  <c r="AQ70" i="10"/>
  <c r="AH70" i="10"/>
  <c r="AM70" i="10" s="1"/>
  <c r="AF70" i="10"/>
  <c r="AX70" i="10"/>
  <c r="AV70" i="10"/>
  <c r="AL69" i="10"/>
  <c r="AI69" i="10"/>
  <c r="BH69" i="10" s="1"/>
  <c r="AF69" i="10"/>
  <c r="AQ69" i="10"/>
  <c r="AV69" i="10"/>
  <c r="AR69" i="10"/>
  <c r="AS69" i="10"/>
  <c r="AH69" i="10"/>
  <c r="AM69" i="10" s="1"/>
  <c r="AX69" i="10"/>
  <c r="AL68" i="10"/>
  <c r="AR68" i="10"/>
  <c r="AV68" i="10"/>
  <c r="AX68" i="10"/>
  <c r="AS68" i="10"/>
  <c r="AQ68" i="10"/>
  <c r="AI68" i="10"/>
  <c r="BH68" i="10" s="1"/>
  <c r="AH68" i="10"/>
  <c r="AM68" i="10" s="1"/>
  <c r="AF68" i="10"/>
  <c r="AL67" i="10"/>
  <c r="AX67" i="10"/>
  <c r="AV67" i="10"/>
  <c r="AH67" i="10"/>
  <c r="AM67" i="10" s="1"/>
  <c r="AQ67" i="10"/>
  <c r="AR67" i="10"/>
  <c r="AS67" i="10"/>
  <c r="AI67" i="10"/>
  <c r="BH67" i="10" s="1"/>
  <c r="AF67" i="10"/>
  <c r="AL66" i="10"/>
  <c r="AR66" i="10"/>
  <c r="AQ66" i="10"/>
  <c r="AV66" i="10"/>
  <c r="AX66" i="10"/>
  <c r="AS66" i="10"/>
  <c r="AI66" i="10"/>
  <c r="BH66" i="10" s="1"/>
  <c r="AH66" i="10"/>
  <c r="AM66" i="10" s="1"/>
  <c r="AF66" i="10"/>
  <c r="AL65" i="10"/>
  <c r="AR65" i="10"/>
  <c r="AX65" i="10"/>
  <c r="AQ65" i="10"/>
  <c r="AI65" i="10"/>
  <c r="BH65" i="10" s="1"/>
  <c r="AF65" i="10"/>
  <c r="AH65" i="10"/>
  <c r="AM65" i="10" s="1"/>
  <c r="AV65" i="10"/>
  <c r="AS65" i="10"/>
  <c r="AL64" i="10"/>
  <c r="AQ64" i="10"/>
  <c r="AX64" i="10"/>
  <c r="AS64" i="10"/>
  <c r="AH64" i="10"/>
  <c r="AM64" i="10" s="1"/>
  <c r="AR64" i="10"/>
  <c r="AI64" i="10"/>
  <c r="BH64" i="10" s="1"/>
  <c r="AV64" i="10"/>
  <c r="AF64" i="10"/>
  <c r="AL63" i="10"/>
  <c r="AL62" i="10"/>
  <c r="AI62" i="10"/>
  <c r="BH62" i="10" s="1"/>
  <c r="AX62" i="10"/>
  <c r="AH62" i="10"/>
  <c r="AM62" i="10" s="1"/>
  <c r="AF62" i="10"/>
  <c r="AV62" i="10"/>
  <c r="AQ62" i="10"/>
  <c r="AR62" i="10"/>
  <c r="AS62" i="10"/>
  <c r="AL61" i="10"/>
  <c r="AI61" i="10"/>
  <c r="BH61" i="10" s="1"/>
  <c r="AV61" i="10"/>
  <c r="AR61" i="10"/>
  <c r="AS61" i="10"/>
  <c r="AX61" i="10"/>
  <c r="AF61" i="10"/>
  <c r="AP61" i="10" s="1"/>
  <c r="AH61" i="10"/>
  <c r="AM61" i="10" s="1"/>
  <c r="AQ61" i="10"/>
  <c r="AL60" i="10"/>
  <c r="AQ60" i="10"/>
  <c r="AR60" i="10"/>
  <c r="AS60" i="10"/>
  <c r="AV60" i="10"/>
  <c r="AX60" i="10"/>
  <c r="AF60" i="10"/>
  <c r="AH60" i="10"/>
  <c r="AM60" i="10" s="1"/>
  <c r="AI60" i="10"/>
  <c r="BH60" i="10" s="1"/>
  <c r="AL59" i="10"/>
  <c r="AX59" i="10"/>
  <c r="AV59" i="10"/>
  <c r="AR59" i="10"/>
  <c r="AQ59" i="10"/>
  <c r="AI59" i="10"/>
  <c r="BH59" i="10" s="1"/>
  <c r="AH59" i="10"/>
  <c r="AM59" i="10" s="1"/>
  <c r="AF59" i="10"/>
  <c r="AS59" i="10"/>
  <c r="AL58" i="10"/>
  <c r="AV58" i="10"/>
  <c r="AS58" i="10"/>
  <c r="AR58" i="10"/>
  <c r="AQ58" i="10"/>
  <c r="AX58" i="10"/>
  <c r="AI58" i="10"/>
  <c r="BH58" i="10" s="1"/>
  <c r="AH58" i="10"/>
  <c r="AM58" i="10" s="1"/>
  <c r="AF58" i="10"/>
  <c r="AL57" i="10"/>
  <c r="AX57" i="10"/>
  <c r="AV57" i="10"/>
  <c r="AS57" i="10"/>
  <c r="AR57" i="10"/>
  <c r="AQ57" i="10"/>
  <c r="AF57" i="10"/>
  <c r="AI57" i="10"/>
  <c r="BH57" i="10" s="1"/>
  <c r="AH57" i="10"/>
  <c r="AM57" i="10" s="1"/>
  <c r="AL56" i="10"/>
  <c r="AF56" i="10"/>
  <c r="AH56" i="10"/>
  <c r="AM56" i="10" s="1"/>
  <c r="AI56" i="10"/>
  <c r="BH56" i="10" s="1"/>
  <c r="AR56" i="10"/>
  <c r="AS56" i="10"/>
  <c r="AV56" i="10"/>
  <c r="AX56" i="10"/>
  <c r="AQ56" i="10"/>
  <c r="AL55" i="10"/>
  <c r="AI55" i="10"/>
  <c r="BH55" i="10" s="1"/>
  <c r="AH55" i="10"/>
  <c r="AM55" i="10" s="1"/>
  <c r="AF55" i="10"/>
  <c r="AV55" i="10"/>
  <c r="AX55" i="10"/>
  <c r="AQ55" i="10"/>
  <c r="AR55" i="10"/>
  <c r="AS55" i="10"/>
  <c r="AL53" i="10"/>
  <c r="AF53" i="10"/>
  <c r="AI53" i="10"/>
  <c r="BH53" i="10" s="1"/>
  <c r="AX53" i="10"/>
  <c r="AV53" i="10"/>
  <c r="AH53" i="10"/>
  <c r="AM53" i="10" s="1"/>
  <c r="AS53" i="10"/>
  <c r="AR53" i="10"/>
  <c r="AQ53" i="10"/>
  <c r="AL52" i="10"/>
  <c r="AX52" i="10"/>
  <c r="AV52" i="10"/>
  <c r="AS52" i="10"/>
  <c r="AR52" i="10"/>
  <c r="AQ52" i="10"/>
  <c r="AH52" i="10"/>
  <c r="AM52" i="10" s="1"/>
  <c r="AF52" i="10"/>
  <c r="AI52" i="10"/>
  <c r="BH52" i="10" s="1"/>
  <c r="AL51" i="10"/>
  <c r="AF51" i="10"/>
  <c r="AH51" i="10"/>
  <c r="AM51" i="10" s="1"/>
  <c r="AS51" i="10"/>
  <c r="AR51" i="10"/>
  <c r="AQ51" i="10"/>
  <c r="AX51" i="10"/>
  <c r="AV51" i="10"/>
  <c r="AI51" i="10"/>
  <c r="BH51" i="10" s="1"/>
  <c r="AL50" i="10"/>
  <c r="AS50" i="10"/>
  <c r="AR50" i="10"/>
  <c r="AQ50" i="10"/>
  <c r="AI50" i="10"/>
  <c r="BH50" i="10" s="1"/>
  <c r="AH50" i="10"/>
  <c r="AM50" i="10" s="1"/>
  <c r="AF50" i="10"/>
  <c r="AX50" i="10"/>
  <c r="AV50" i="10"/>
  <c r="AL49" i="10"/>
  <c r="AQ49" i="10"/>
  <c r="AR49" i="10"/>
  <c r="AV49" i="10"/>
  <c r="AX49" i="10"/>
  <c r="AS49" i="10"/>
  <c r="AF49" i="10"/>
  <c r="AH49" i="10"/>
  <c r="AM49" i="10" s="1"/>
  <c r="AI49" i="10"/>
  <c r="BH49" i="10" s="1"/>
  <c r="AL48" i="10"/>
  <c r="AQ48" i="10"/>
  <c r="AR48" i="10"/>
  <c r="AS48" i="10"/>
  <c r="AV48" i="10"/>
  <c r="AX48" i="10"/>
  <c r="AI48" i="10"/>
  <c r="BH48" i="10" s="1"/>
  <c r="AH48" i="10"/>
  <c r="AM48" i="10" s="1"/>
  <c r="AF48" i="10"/>
  <c r="AL47" i="10"/>
  <c r="AH47" i="10"/>
  <c r="AM47" i="10" s="1"/>
  <c r="AR47" i="10"/>
  <c r="AX47" i="10"/>
  <c r="AV47" i="10"/>
  <c r="AS47" i="10"/>
  <c r="AI47" i="10"/>
  <c r="BH47" i="10" s="1"/>
  <c r="AF47" i="10"/>
  <c r="AQ47" i="10"/>
  <c r="AL46" i="10"/>
  <c r="AF46" i="10"/>
  <c r="AV46" i="10"/>
  <c r="AR46" i="10"/>
  <c r="AQ46" i="10"/>
  <c r="AX46" i="10"/>
  <c r="AS46" i="10"/>
  <c r="AH46" i="10"/>
  <c r="AM46" i="10" s="1"/>
  <c r="AI46" i="10"/>
  <c r="BH46" i="10" s="1"/>
  <c r="AF45" i="10"/>
  <c r="AH45" i="10"/>
  <c r="AM45" i="10" s="1"/>
  <c r="AI45" i="10"/>
  <c r="BH45" i="10" s="1"/>
  <c r="AL44" i="10"/>
  <c r="AS44" i="10"/>
  <c r="AR44" i="10"/>
  <c r="AQ44" i="10"/>
  <c r="AI44" i="10"/>
  <c r="BH44" i="10" s="1"/>
  <c r="AH44" i="10"/>
  <c r="AM44" i="10" s="1"/>
  <c r="AX44" i="10"/>
  <c r="AF44" i="10"/>
  <c r="AV44" i="10"/>
  <c r="AL43" i="10"/>
  <c r="AQ43" i="10"/>
  <c r="AR43" i="10"/>
  <c r="AS43" i="10"/>
  <c r="AV43" i="10"/>
  <c r="AX43" i="10"/>
  <c r="AH43" i="10"/>
  <c r="AM43" i="10" s="1"/>
  <c r="AI43" i="10"/>
  <c r="BH43" i="10" s="1"/>
  <c r="AF43" i="10"/>
  <c r="AL42" i="10"/>
  <c r="AQ42" i="10"/>
  <c r="AX42" i="10"/>
  <c r="AV42" i="10"/>
  <c r="AS42" i="10"/>
  <c r="AR42" i="10"/>
  <c r="AI42" i="10"/>
  <c r="BH42" i="10" s="1"/>
  <c r="AH42" i="10"/>
  <c r="AM42" i="10" s="1"/>
  <c r="AF42" i="10"/>
  <c r="AL41" i="10"/>
  <c r="AF41" i="10"/>
  <c r="AQ41" i="10"/>
  <c r="AR41" i="10"/>
  <c r="AV41" i="10"/>
  <c r="AX41" i="10"/>
  <c r="AS41" i="10"/>
  <c r="AI41" i="10"/>
  <c r="BH41" i="10" s="1"/>
  <c r="AH41" i="10"/>
  <c r="AM41" i="10" s="1"/>
  <c r="AL40" i="10"/>
  <c r="AR40" i="10"/>
  <c r="AS40" i="10"/>
  <c r="AX40" i="10"/>
  <c r="AV40" i="10"/>
  <c r="AH40" i="10"/>
  <c r="AM40" i="10" s="1"/>
  <c r="AI40" i="10"/>
  <c r="BH40" i="10" s="1"/>
  <c r="AQ40" i="10"/>
  <c r="AF40" i="10"/>
  <c r="AL39" i="10"/>
  <c r="AF39" i="10"/>
  <c r="AI39" i="10"/>
  <c r="BH39" i="10" s="1"/>
  <c r="AH39" i="10"/>
  <c r="AM39" i="10" s="1"/>
  <c r="AV39" i="10"/>
  <c r="AQ39" i="10"/>
  <c r="AR39" i="10"/>
  <c r="AS39" i="10"/>
  <c r="AX39" i="10"/>
  <c r="AL38" i="10"/>
  <c r="AF38" i="10"/>
  <c r="AU38" i="10" s="1"/>
  <c r="AS38" i="10"/>
  <c r="AH38" i="10"/>
  <c r="AM38" i="10" s="1"/>
  <c r="AI38" i="10"/>
  <c r="BH38" i="10" s="1"/>
  <c r="AQ38" i="10"/>
  <c r="AR38" i="10"/>
  <c r="AX38" i="10"/>
  <c r="AV38" i="10"/>
  <c r="AL37" i="10"/>
  <c r="AR37" i="10"/>
  <c r="AX37" i="10"/>
  <c r="AV37" i="10"/>
  <c r="AS37" i="10"/>
  <c r="AI37" i="10"/>
  <c r="BH37" i="10" s="1"/>
  <c r="AH37" i="10"/>
  <c r="AM37" i="10" s="1"/>
  <c r="AF37" i="10"/>
  <c r="AQ37" i="10"/>
  <c r="AL36" i="10"/>
  <c r="AF36" i="10"/>
  <c r="AK36" i="10" s="1"/>
  <c r="AH36" i="10"/>
  <c r="AM36" i="10" s="1"/>
  <c r="AI36" i="10"/>
  <c r="BH36" i="10" s="1"/>
  <c r="AL35" i="10"/>
  <c r="AS35" i="10"/>
  <c r="AX35" i="10"/>
  <c r="AV35" i="10"/>
  <c r="AI35" i="10"/>
  <c r="BH35" i="10" s="1"/>
  <c r="AR35" i="10"/>
  <c r="AQ35" i="10"/>
  <c r="AH35" i="10"/>
  <c r="AM35" i="10" s="1"/>
  <c r="AF35" i="10"/>
  <c r="AL34" i="10"/>
  <c r="AR34" i="10"/>
  <c r="AQ34" i="10"/>
  <c r="AH34" i="10"/>
  <c r="AM34" i="10" s="1"/>
  <c r="AI34" i="10"/>
  <c r="BH34" i="10" s="1"/>
  <c r="AF34" i="10"/>
  <c r="AX34" i="10"/>
  <c r="AV34" i="10"/>
  <c r="AS34" i="10"/>
  <c r="AL33" i="10"/>
  <c r="AX33" i="10"/>
  <c r="AV33" i="10"/>
  <c r="AS33" i="10"/>
  <c r="AR33" i="10"/>
  <c r="AQ33" i="10"/>
  <c r="AI33" i="10"/>
  <c r="BH33" i="10" s="1"/>
  <c r="AH33" i="10"/>
  <c r="AM33" i="10" s="1"/>
  <c r="AF33" i="10"/>
  <c r="AL32" i="10"/>
  <c r="AX32" i="10"/>
  <c r="AV32" i="10"/>
  <c r="AS32" i="10"/>
  <c r="AR32" i="10"/>
  <c r="AQ32" i="10"/>
  <c r="AI32" i="10"/>
  <c r="BH32" i="10" s="1"/>
  <c r="AH32" i="10"/>
  <c r="AM32" i="10" s="1"/>
  <c r="AF32" i="10"/>
  <c r="AL31" i="10"/>
  <c r="AH31" i="10"/>
  <c r="AM31" i="10" s="1"/>
  <c r="AI31" i="10"/>
  <c r="BH31" i="10" s="1"/>
  <c r="AQ31" i="10"/>
  <c r="AR31" i="10"/>
  <c r="AS31" i="10"/>
  <c r="AV31" i="10"/>
  <c r="AX31" i="10"/>
  <c r="AF31" i="10"/>
  <c r="AL30" i="10"/>
  <c r="AX30" i="10"/>
  <c r="AV30" i="10"/>
  <c r="AS30" i="10"/>
  <c r="AR30" i="10"/>
  <c r="AQ30" i="10"/>
  <c r="AI30" i="10"/>
  <c r="BH30" i="10" s="1"/>
  <c r="AH30" i="10"/>
  <c r="AM30" i="10" s="1"/>
  <c r="AF30" i="10"/>
  <c r="AL29" i="10"/>
  <c r="AX29" i="10"/>
  <c r="AV29" i="10"/>
  <c r="AS29" i="10"/>
  <c r="AR29" i="10"/>
  <c r="AQ29" i="10"/>
  <c r="AI29" i="10"/>
  <c r="BH29" i="10" s="1"/>
  <c r="AH29" i="10"/>
  <c r="AM29" i="10" s="1"/>
  <c r="AF29" i="10"/>
  <c r="AL28" i="10"/>
  <c r="AS28" i="10"/>
  <c r="AR28" i="10"/>
  <c r="AQ28" i="10"/>
  <c r="AX28" i="10"/>
  <c r="AV28" i="10"/>
  <c r="AI28" i="10"/>
  <c r="BH28" i="10" s="1"/>
  <c r="AH28" i="10"/>
  <c r="AM28" i="10" s="1"/>
  <c r="AF28" i="10"/>
  <c r="AL27" i="10"/>
  <c r="AR27" i="10"/>
  <c r="AF27" i="10"/>
  <c r="AK27" i="10" s="1"/>
  <c r="AQ27" i="10"/>
  <c r="AI27" i="10"/>
  <c r="BH27" i="10" s="1"/>
  <c r="AH27" i="10"/>
  <c r="AM27" i="10" s="1"/>
  <c r="AL26" i="10"/>
  <c r="AI26" i="10"/>
  <c r="BH26" i="10" s="1"/>
  <c r="AX26" i="10"/>
  <c r="AH26" i="10"/>
  <c r="AM26" i="10" s="1"/>
  <c r="AF26" i="10"/>
  <c r="AV26" i="10"/>
  <c r="AS26" i="10"/>
  <c r="AR26" i="10"/>
  <c r="AQ26" i="10"/>
  <c r="AL25" i="10"/>
  <c r="AS25" i="10"/>
  <c r="AR25" i="10"/>
  <c r="AQ25" i="10"/>
  <c r="AI25" i="10"/>
  <c r="BH25" i="10" s="1"/>
  <c r="AH25" i="10"/>
  <c r="AM25" i="10" s="1"/>
  <c r="AF25" i="10"/>
  <c r="AX25" i="10"/>
  <c r="AV25" i="10"/>
  <c r="AL24" i="10"/>
  <c r="AQ24" i="10"/>
  <c r="AR24" i="10"/>
  <c r="AX24" i="10"/>
  <c r="AV24" i="10"/>
  <c r="AS24" i="10"/>
  <c r="AI24" i="10"/>
  <c r="BH24" i="10" s="1"/>
  <c r="AH24" i="10"/>
  <c r="AM24" i="10" s="1"/>
  <c r="AF24" i="10"/>
  <c r="AL23" i="10"/>
  <c r="AS23" i="10"/>
  <c r="AR23" i="10"/>
  <c r="AQ23" i="10"/>
  <c r="AI23" i="10"/>
  <c r="BH23" i="10" s="1"/>
  <c r="AH23" i="10"/>
  <c r="AM23" i="10" s="1"/>
  <c r="AF23" i="10"/>
  <c r="AX23" i="10"/>
  <c r="AV23" i="10"/>
  <c r="AL22" i="10"/>
  <c r="AR22" i="10"/>
  <c r="AS22" i="10"/>
  <c r="AF22" i="10"/>
  <c r="AQ22" i="10"/>
  <c r="AI22" i="10"/>
  <c r="BH22" i="10" s="1"/>
  <c r="AH22" i="10"/>
  <c r="AM22" i="10" s="1"/>
  <c r="AX22" i="10"/>
  <c r="AV22" i="10"/>
  <c r="AL21" i="10"/>
  <c r="AS21" i="10"/>
  <c r="AR21" i="10"/>
  <c r="AQ21" i="10"/>
  <c r="AI21" i="10"/>
  <c r="BH21" i="10" s="1"/>
  <c r="AX21" i="10"/>
  <c r="AV21" i="10"/>
  <c r="AH21" i="10"/>
  <c r="AM21" i="10" s="1"/>
  <c r="AF21" i="10"/>
  <c r="AL20" i="10"/>
  <c r="AX20" i="10"/>
  <c r="AV20" i="10"/>
  <c r="AS20" i="10"/>
  <c r="AR20" i="10"/>
  <c r="AQ20" i="10"/>
  <c r="AI20" i="10"/>
  <c r="BH20" i="10" s="1"/>
  <c r="AH20" i="10"/>
  <c r="AM20" i="10" s="1"/>
  <c r="AF20" i="10"/>
  <c r="AL19" i="10"/>
  <c r="AX19" i="10"/>
  <c r="AV19" i="10"/>
  <c r="AS19" i="10"/>
  <c r="AR19" i="10"/>
  <c r="AQ19" i="10"/>
  <c r="AI19" i="10"/>
  <c r="BH19" i="10" s="1"/>
  <c r="AF19" i="10"/>
  <c r="AH19" i="10"/>
  <c r="AM19" i="10" s="1"/>
  <c r="AL18" i="10"/>
  <c r="AS18" i="10"/>
  <c r="AR18" i="10"/>
  <c r="AQ18" i="10"/>
  <c r="AV18" i="10"/>
  <c r="AI18" i="10"/>
  <c r="BH18" i="10" s="1"/>
  <c r="AH18" i="10"/>
  <c r="AM18" i="10" s="1"/>
  <c r="AF18" i="10"/>
  <c r="AL17" i="10"/>
  <c r="AQ17" i="10"/>
  <c r="AX17" i="10"/>
  <c r="AV17" i="10"/>
  <c r="AS17" i="10"/>
  <c r="AR17" i="10"/>
  <c r="AI17" i="10"/>
  <c r="BH17" i="10" s="1"/>
  <c r="AH17" i="10"/>
  <c r="AM17" i="10" s="1"/>
  <c r="AF17" i="10"/>
  <c r="AL16" i="10"/>
  <c r="AX16" i="10"/>
  <c r="AV16" i="10"/>
  <c r="AS16" i="10"/>
  <c r="AR16" i="10"/>
  <c r="AQ16" i="10"/>
  <c r="AI16" i="10"/>
  <c r="BH16" i="10" s="1"/>
  <c r="AH16" i="10"/>
  <c r="AM16" i="10" s="1"/>
  <c r="AF16" i="10"/>
  <c r="AL15" i="10"/>
  <c r="AS15" i="10"/>
  <c r="AI15" i="10"/>
  <c r="BH15" i="10" s="1"/>
  <c r="AV15" i="10"/>
  <c r="AH15" i="10"/>
  <c r="AM15" i="10" s="1"/>
  <c r="AQ15" i="10"/>
  <c r="AF15" i="10"/>
  <c r="AR15" i="10"/>
  <c r="AX15" i="10"/>
  <c r="AL14" i="10"/>
  <c r="AV14" i="10"/>
  <c r="AH14" i="10"/>
  <c r="AM14" i="10" s="1"/>
  <c r="AR14" i="10"/>
  <c r="AI14" i="10"/>
  <c r="BH14" i="10" s="1"/>
  <c r="AQ14" i="10"/>
  <c r="AX14" i="10"/>
  <c r="AS14" i="10"/>
  <c r="AF14" i="10"/>
  <c r="AL13" i="10"/>
  <c r="AX13" i="10"/>
  <c r="AF13" i="10"/>
  <c r="AR13" i="10"/>
  <c r="AS13" i="10"/>
  <c r="AI13" i="10"/>
  <c r="BH13" i="10" s="1"/>
  <c r="AH13" i="10"/>
  <c r="AM13" i="10" s="1"/>
  <c r="AQ13" i="10"/>
  <c r="AV13" i="10"/>
  <c r="AL12" i="10"/>
  <c r="AF12" i="10"/>
  <c r="AQ12" i="10"/>
  <c r="AH12" i="10"/>
  <c r="AM12" i="10" s="1"/>
  <c r="AV12" i="10"/>
  <c r="AX12" i="10"/>
  <c r="AS12" i="10"/>
  <c r="AR12" i="10"/>
  <c r="AI12" i="10"/>
  <c r="BH12" i="10" s="1"/>
  <c r="AL11" i="10"/>
  <c r="AF11" i="10"/>
  <c r="AH11" i="10"/>
  <c r="AM11" i="10" s="1"/>
  <c r="AS11" i="10"/>
  <c r="AV11" i="10"/>
  <c r="AX11" i="10"/>
  <c r="AR11" i="10"/>
  <c r="AI11" i="10"/>
  <c r="BH11" i="10" s="1"/>
  <c r="AQ11" i="10"/>
  <c r="AL10" i="10"/>
  <c r="AS10" i="10"/>
  <c r="AR10" i="10"/>
  <c r="AF10" i="10"/>
  <c r="AX10" i="10"/>
  <c r="AI10" i="10"/>
  <c r="BH10" i="10" s="1"/>
  <c r="AQ10" i="10"/>
  <c r="AV10" i="10"/>
  <c r="AH10" i="10"/>
  <c r="AM10" i="10" s="1"/>
  <c r="AL9" i="10"/>
  <c r="AS9" i="10"/>
  <c r="AR9" i="10"/>
  <c r="AQ9" i="10"/>
  <c r="AH9" i="10"/>
  <c r="AM9" i="10" s="1"/>
  <c r="AV9" i="10"/>
  <c r="AF9" i="10"/>
  <c r="AI9" i="10"/>
  <c r="BH9" i="10" s="1"/>
  <c r="AX9" i="10"/>
  <c r="AL8" i="10"/>
  <c r="AQ8" i="10"/>
  <c r="AV8" i="10"/>
  <c r="AH8" i="10"/>
  <c r="AM8" i="10" s="1"/>
  <c r="AF8" i="10"/>
  <c r="AI8" i="10"/>
  <c r="BH8" i="10" s="1"/>
  <c r="AX8" i="10"/>
  <c r="AS8" i="10"/>
  <c r="AR8" i="10"/>
  <c r="AL7" i="10"/>
  <c r="AR7" i="10"/>
  <c r="AQ7" i="10"/>
  <c r="AH7" i="10"/>
  <c r="AM7" i="10" s="1"/>
  <c r="AI7" i="10"/>
  <c r="BH7" i="10" s="1"/>
  <c r="AS7" i="10"/>
  <c r="AF7" i="10"/>
  <c r="AX7" i="10"/>
  <c r="AV7" i="10"/>
  <c r="AL6" i="10"/>
  <c r="AH6" i="10"/>
  <c r="AM6" i="10" s="1"/>
  <c r="AI6" i="10"/>
  <c r="BH6" i="10" s="1"/>
  <c r="AQ6" i="10"/>
  <c r="AR6" i="10"/>
  <c r="AS6" i="10"/>
  <c r="AV6" i="10"/>
  <c r="AX6" i="10"/>
  <c r="AF6" i="10"/>
  <c r="AL5" i="10"/>
  <c r="AV5" i="10"/>
  <c r="AI5" i="10"/>
  <c r="BH5" i="10" s="1"/>
  <c r="AH5" i="10"/>
  <c r="AM5" i="10" s="1"/>
  <c r="AS5" i="10"/>
  <c r="AQ5" i="10"/>
  <c r="AR5" i="10"/>
  <c r="AX5" i="10"/>
  <c r="AF5" i="10"/>
  <c r="AL4" i="10"/>
  <c r="AH4" i="10"/>
  <c r="AM4" i="10" s="1"/>
  <c r="AQ4" i="10"/>
  <c r="AR4" i="10"/>
  <c r="AF4" i="10"/>
  <c r="AS4" i="10"/>
  <c r="AI4" i="10"/>
  <c r="BH4" i="10" s="1"/>
  <c r="AX4" i="10"/>
  <c r="AV4" i="10"/>
  <c r="AL3" i="10"/>
  <c r="AI3" i="10"/>
  <c r="BH3" i="10" s="1"/>
  <c r="AX3" i="10"/>
  <c r="AV3" i="10"/>
  <c r="AH3" i="10"/>
  <c r="AM3" i="10" s="1"/>
  <c r="AF3" i="10"/>
  <c r="AQ3" i="10"/>
  <c r="AS3" i="10"/>
  <c r="AR3" i="10"/>
  <c r="AL2" i="10"/>
  <c r="AV2" i="10"/>
  <c r="AS2" i="10"/>
  <c r="AI2" i="10"/>
  <c r="BH2" i="10" s="1"/>
  <c r="AQ2" i="10"/>
  <c r="AF2" i="10"/>
  <c r="AH2" i="10"/>
  <c r="AM2" i="10" s="1"/>
  <c r="AR2" i="10"/>
  <c r="AX2" i="10"/>
  <c r="C87" i="7"/>
  <c r="C95" i="7"/>
  <c r="C91" i="7"/>
  <c r="C84" i="7"/>
  <c r="E53" i="7"/>
  <c r="G239" i="6"/>
  <c r="D239" i="6"/>
  <c r="B240" i="6" a="1"/>
  <c r="B240" i="6" s="1"/>
  <c r="C239" i="6"/>
  <c r="E239" i="6"/>
  <c r="F239" i="6"/>
  <c r="T215" i="6"/>
  <c r="B216" i="6" a="1"/>
  <c r="B216" i="6" s="1"/>
  <c r="AA215" i="6"/>
  <c r="AE215" i="6"/>
  <c r="AD215" i="6"/>
  <c r="D215" i="6"/>
  <c r="K215" i="6"/>
  <c r="H215" i="6"/>
  <c r="Q215" i="6"/>
  <c r="X215" i="6"/>
  <c r="F215" i="6"/>
  <c r="L215" i="6"/>
  <c r="P215" i="6"/>
  <c r="V215" i="6"/>
  <c r="R215" i="6"/>
  <c r="O215" i="6"/>
  <c r="J215" i="6"/>
  <c r="AF215" i="6"/>
  <c r="E215" i="6"/>
  <c r="C215" i="6"/>
  <c r="G215" i="6"/>
  <c r="I215" i="6"/>
  <c r="M215" i="6"/>
  <c r="U215" i="6"/>
  <c r="Y215" i="6"/>
  <c r="AC215" i="6"/>
  <c r="AG215" i="6"/>
  <c r="AB215" i="6"/>
  <c r="N215" i="6"/>
  <c r="S215" i="6"/>
  <c r="W215" i="6"/>
  <c r="Z215" i="6"/>
  <c r="F182" i="6"/>
  <c r="O182" i="6"/>
  <c r="C182" i="6"/>
  <c r="K182" i="6"/>
  <c r="L182" i="6"/>
  <c r="W182" i="6"/>
  <c r="R182" i="6"/>
  <c r="N182" i="6"/>
  <c r="J182" i="6"/>
  <c r="S182" i="6"/>
  <c r="G182" i="6"/>
  <c r="D182" i="6"/>
  <c r="X182" i="6"/>
  <c r="E182" i="6"/>
  <c r="H182" i="6"/>
  <c r="P182" i="6"/>
  <c r="I182" i="6"/>
  <c r="M182" i="6"/>
  <c r="Q182" i="6"/>
  <c r="T182" i="6"/>
  <c r="V182" i="6"/>
  <c r="U182" i="6"/>
  <c r="C100" i="6"/>
  <c r="C102" i="6" s="1"/>
  <c r="F100" i="6"/>
  <c r="F102" i="6" s="1"/>
  <c r="F99" i="6"/>
  <c r="F101" i="6" s="1"/>
  <c r="C99" i="6"/>
  <c r="C101" i="6" s="1"/>
  <c r="C103" i="6" s="1"/>
  <c r="C48" i="6" s="1"/>
  <c r="B35" i="7" s="1"/>
  <c r="B21" i="7"/>
  <c r="B20" i="7"/>
  <c r="C80" i="7" s="1"/>
  <c r="G80" i="7" s="1" a="1"/>
  <c r="G80" i="7" s="1"/>
  <c r="B7" i="7"/>
  <c r="F128" i="6"/>
  <c r="F130" i="6" s="1"/>
  <c r="C145" i="6"/>
  <c r="C147" i="6" s="1"/>
  <c r="C56" i="6"/>
  <c r="B43" i="7" s="1"/>
  <c r="C88" i="6"/>
  <c r="C63" i="6"/>
  <c r="B50" i="7" s="1"/>
  <c r="C127" i="6"/>
  <c r="C129" i="6" s="1"/>
  <c r="L127" i="6"/>
  <c r="L129" i="6" s="1"/>
  <c r="I128" i="6"/>
  <c r="I130" i="6" s="1"/>
  <c r="F144" i="6"/>
  <c r="F146" i="6" s="1"/>
  <c r="F145" i="6"/>
  <c r="F147" i="6" s="1"/>
  <c r="L145" i="6"/>
  <c r="L147" i="6" s="1"/>
  <c r="L144" i="6"/>
  <c r="L146" i="6" s="1"/>
  <c r="L148" i="6" s="1"/>
  <c r="L128" i="6"/>
  <c r="L130" i="6" s="1"/>
  <c r="C57" i="6"/>
  <c r="B44" i="7" s="1"/>
  <c r="F127" i="6"/>
  <c r="F129" i="6" s="1"/>
  <c r="F131" i="6" s="1"/>
  <c r="C55" i="6" s="1"/>
  <c r="B42" i="7" s="1"/>
  <c r="C128" i="6"/>
  <c r="C130" i="6" s="1"/>
  <c r="C131" i="6" s="1"/>
  <c r="I127" i="6"/>
  <c r="I129" i="6" s="1"/>
  <c r="I131" i="6" s="1"/>
  <c r="I144" i="6"/>
  <c r="I146" i="6" s="1"/>
  <c r="I145" i="6"/>
  <c r="I147" i="6" s="1"/>
  <c r="B151" i="6"/>
  <c r="C44" i="6"/>
  <c r="C86" i="6"/>
  <c r="B3" i="7"/>
  <c r="C144" i="6"/>
  <c r="C146" i="6" s="1"/>
  <c r="C148" i="6" s="1"/>
  <c r="AP63" i="10" l="1"/>
  <c r="AT63" i="10" s="1"/>
  <c r="BN63" i="10" s="1"/>
  <c r="AU63" i="10"/>
  <c r="AW63" i="10" s="1"/>
  <c r="BL63" i="10" s="1"/>
  <c r="AK63" i="10"/>
  <c r="AN63" i="10" s="1"/>
  <c r="AW38" i="10"/>
  <c r="BL38" i="10" s="1"/>
  <c r="F148" i="6"/>
  <c r="C60" i="6" s="1"/>
  <c r="B47" i="7" s="1"/>
  <c r="AU54" i="10"/>
  <c r="AW54" i="10" s="1"/>
  <c r="AK54" i="10"/>
  <c r="AN54" i="10" s="1"/>
  <c r="AP54" i="10"/>
  <c r="AT54" i="10" s="1"/>
  <c r="BN54" i="10" s="1"/>
  <c r="AT61" i="10"/>
  <c r="BN61" i="10" s="1"/>
  <c r="I148" i="6"/>
  <c r="L131" i="6"/>
  <c r="D50" i="7"/>
  <c r="F103" i="6"/>
  <c r="AN134" i="10"/>
  <c r="AN36" i="10"/>
  <c r="AN27" i="10"/>
  <c r="AP161" i="10"/>
  <c r="AT161" i="10" s="1"/>
  <c r="BN161" i="10" s="1"/>
  <c r="AK161" i="10"/>
  <c r="AN161" i="10" s="1"/>
  <c r="AU161" i="10"/>
  <c r="AW161" i="10" s="1"/>
  <c r="BL161" i="10" s="1"/>
  <c r="AU152" i="10"/>
  <c r="AW152" i="10" s="1"/>
  <c r="BL152" i="10" s="1"/>
  <c r="AP152" i="10"/>
  <c r="AT152" i="10" s="1"/>
  <c r="BN152" i="10" s="1"/>
  <c r="AK152" i="10"/>
  <c r="AN152" i="10" s="1"/>
  <c r="AK116" i="10"/>
  <c r="AN116" i="10" s="1"/>
  <c r="AU116" i="10"/>
  <c r="AW116" i="10" s="1"/>
  <c r="AP116" i="10"/>
  <c r="AT116" i="10" s="1"/>
  <c r="BN116" i="10" s="1"/>
  <c r="AK65" i="10"/>
  <c r="AN65" i="10" s="1"/>
  <c r="AP65" i="10"/>
  <c r="AT65" i="10" s="1"/>
  <c r="BN65" i="10" s="1"/>
  <c r="AU65" i="10"/>
  <c r="AW65" i="10" s="1"/>
  <c r="AK56" i="10"/>
  <c r="AN56" i="10" s="1"/>
  <c r="AP56" i="10"/>
  <c r="AT56" i="10" s="1"/>
  <c r="BN56" i="10" s="1"/>
  <c r="AU56" i="10"/>
  <c r="AW56" i="10" s="1"/>
  <c r="BL56" i="10" s="1"/>
  <c r="AK38" i="10"/>
  <c r="AN38" i="10" s="1"/>
  <c r="AP38" i="10"/>
  <c r="AT38" i="10" s="1"/>
  <c r="AK29" i="10"/>
  <c r="AN29" i="10" s="1"/>
  <c r="AP29" i="10"/>
  <c r="AT29" i="10" s="1"/>
  <c r="AU29" i="10"/>
  <c r="AW29" i="10" s="1"/>
  <c r="BL29" i="10" s="1"/>
  <c r="AK20" i="10"/>
  <c r="AN20" i="10" s="1"/>
  <c r="AP20" i="10"/>
  <c r="AT20" i="10" s="1"/>
  <c r="AU20" i="10"/>
  <c r="AW20" i="10" s="1"/>
  <c r="AK143" i="10"/>
  <c r="AN143" i="10" s="1"/>
  <c r="AP143" i="10"/>
  <c r="AT143" i="10" s="1"/>
  <c r="BN143" i="10" s="1"/>
  <c r="AU143" i="10"/>
  <c r="AW143" i="10" s="1"/>
  <c r="AU134" i="10"/>
  <c r="AW134" i="10" s="1"/>
  <c r="AP134" i="10"/>
  <c r="AT134" i="10" s="1"/>
  <c r="AP125" i="10"/>
  <c r="AT125" i="10" s="1"/>
  <c r="AU125" i="10"/>
  <c r="AW125" i="10" s="1"/>
  <c r="AP45" i="10"/>
  <c r="AT45" i="10" s="1"/>
  <c r="BN45" i="10" s="1"/>
  <c r="AU45" i="10"/>
  <c r="AW45" i="10" s="1"/>
  <c r="AK45" i="10"/>
  <c r="AN45" i="10" s="1"/>
  <c r="AP36" i="10"/>
  <c r="AT36" i="10" s="1"/>
  <c r="AU36" i="10"/>
  <c r="AW36" i="10" s="1"/>
  <c r="AP27" i="10"/>
  <c r="AT27" i="10" s="1"/>
  <c r="AU27" i="10"/>
  <c r="AW27" i="10" s="1"/>
  <c r="D240" i="6"/>
  <c r="F240" i="6"/>
  <c r="G240" i="6"/>
  <c r="C240" i="6"/>
  <c r="E240" i="6"/>
  <c r="I216" i="6"/>
  <c r="M216" i="6"/>
  <c r="Q216" i="6"/>
  <c r="S216" i="6"/>
  <c r="U216" i="6"/>
  <c r="X216" i="6"/>
  <c r="Z216" i="6"/>
  <c r="AB216" i="6"/>
  <c r="AD216" i="6"/>
  <c r="AG216" i="6"/>
  <c r="G216" i="6"/>
  <c r="O216" i="6"/>
  <c r="Y216" i="6"/>
  <c r="C216" i="6"/>
  <c r="F216" i="6"/>
  <c r="J216" i="6"/>
  <c r="P216" i="6"/>
  <c r="E216" i="6"/>
  <c r="L216" i="6"/>
  <c r="R216" i="6"/>
  <c r="W216" i="6"/>
  <c r="D216" i="6"/>
  <c r="H216" i="6"/>
  <c r="K216" i="6"/>
  <c r="N216" i="6"/>
  <c r="T216" i="6"/>
  <c r="V216" i="6"/>
  <c r="AA216" i="6"/>
  <c r="AC216" i="6"/>
  <c r="AE216" i="6"/>
  <c r="AF216" i="6"/>
  <c r="C85" i="7"/>
  <c r="C93" i="7"/>
  <c r="C107" i="6"/>
  <c r="C109" i="6" s="1"/>
  <c r="C106" i="6"/>
  <c r="C108" i="6" s="1"/>
  <c r="B153" i="6"/>
  <c r="B152" i="6"/>
  <c r="C78" i="6"/>
  <c r="B31" i="7"/>
  <c r="L92" i="6"/>
  <c r="L94" i="6" s="1"/>
  <c r="C120" i="6"/>
  <c r="C122" i="6" s="1"/>
  <c r="C92" i="6"/>
  <c r="C94" i="6" s="1"/>
  <c r="I93" i="6"/>
  <c r="I95" i="6" s="1"/>
  <c r="I92" i="6"/>
  <c r="I94" i="6" s="1"/>
  <c r="I96" i="6" s="1"/>
  <c r="O94" i="6" s="1"/>
  <c r="F93" i="6"/>
  <c r="F95" i="6" s="1"/>
  <c r="I121" i="6"/>
  <c r="I123" i="6" s="1"/>
  <c r="I136" i="6"/>
  <c r="I138" i="6" s="1"/>
  <c r="L93" i="6"/>
  <c r="L95" i="6" s="1"/>
  <c r="L96" i="6" s="1"/>
  <c r="O95" i="6" s="1"/>
  <c r="C121" i="6"/>
  <c r="C123" i="6" s="1"/>
  <c r="C135" i="6"/>
  <c r="C137" i="6" s="1"/>
  <c r="I135" i="6"/>
  <c r="I137" i="6" s="1"/>
  <c r="I139" i="6" s="1"/>
  <c r="L137" i="6" s="1"/>
  <c r="C136" i="6"/>
  <c r="C138" i="6" s="1"/>
  <c r="F92" i="6"/>
  <c r="F94" i="6" s="1"/>
  <c r="F96" i="6" s="1"/>
  <c r="O93" i="6" s="1"/>
  <c r="C47" i="6" s="1"/>
  <c r="C93" i="6"/>
  <c r="C95" i="6" s="1"/>
  <c r="C96" i="6" s="1"/>
  <c r="O92" i="6" s="1"/>
  <c r="I120" i="6"/>
  <c r="I122" i="6" s="1"/>
  <c r="F121" i="6"/>
  <c r="F123" i="6" s="1"/>
  <c r="F120" i="6"/>
  <c r="F122" i="6" s="1"/>
  <c r="F135" i="6"/>
  <c r="F137" i="6" s="1"/>
  <c r="F136" i="6"/>
  <c r="F138" i="6" s="1"/>
  <c r="C83" i="7"/>
  <c r="C88" i="7"/>
  <c r="C92" i="7"/>
  <c r="C96" i="7"/>
  <c r="AP169" i="10"/>
  <c r="AT169" i="10" s="1"/>
  <c r="BN169" i="10" s="1"/>
  <c r="AK169" i="10"/>
  <c r="AN169" i="10" s="1"/>
  <c r="AU169" i="10"/>
  <c r="AW169" i="10" s="1"/>
  <c r="AP168" i="10"/>
  <c r="AT168" i="10" s="1"/>
  <c r="BN168" i="10" s="1"/>
  <c r="AU168" i="10"/>
  <c r="AW168" i="10" s="1"/>
  <c r="AK168" i="10"/>
  <c r="AN168" i="10" s="1"/>
  <c r="AY168" i="10" s="1"/>
  <c r="AU167" i="10"/>
  <c r="AW167" i="10" s="1"/>
  <c r="AP167" i="10"/>
  <c r="AT167" i="10" s="1"/>
  <c r="BN167" i="10" s="1"/>
  <c r="AK167" i="10"/>
  <c r="AN167" i="10" s="1"/>
  <c r="AU166" i="10"/>
  <c r="AW166" i="10" s="1"/>
  <c r="AP166" i="10"/>
  <c r="AT166" i="10" s="1"/>
  <c r="BN166" i="10" s="1"/>
  <c r="AK166" i="10"/>
  <c r="AN166" i="10" s="1"/>
  <c r="AY166" i="10" s="1"/>
  <c r="AP165" i="10"/>
  <c r="AT165" i="10" s="1"/>
  <c r="BN165" i="10" s="1"/>
  <c r="AU165" i="10"/>
  <c r="AW165" i="10" s="1"/>
  <c r="AK165" i="10"/>
  <c r="AN165" i="10" s="1"/>
  <c r="AY165" i="10" s="1"/>
  <c r="AU164" i="10"/>
  <c r="AW164" i="10" s="1"/>
  <c r="AP164" i="10"/>
  <c r="AT164" i="10" s="1"/>
  <c r="BN164" i="10" s="1"/>
  <c r="AK164" i="10"/>
  <c r="AN164" i="10" s="1"/>
  <c r="AP163" i="10"/>
  <c r="AT163" i="10" s="1"/>
  <c r="BN163" i="10" s="1"/>
  <c r="AU163" i="10"/>
  <c r="AW163" i="10" s="1"/>
  <c r="AK163" i="10"/>
  <c r="AN163" i="10" s="1"/>
  <c r="AY163" i="10" s="1"/>
  <c r="AP162" i="10"/>
  <c r="AT162" i="10" s="1"/>
  <c r="BN162" i="10" s="1"/>
  <c r="AU162" i="10"/>
  <c r="AW162" i="10" s="1"/>
  <c r="AK162" i="10"/>
  <c r="AN162" i="10" s="1"/>
  <c r="AY162" i="10" s="1"/>
  <c r="AP160" i="10"/>
  <c r="AT160" i="10" s="1"/>
  <c r="BN160" i="10" s="1"/>
  <c r="AU160" i="10"/>
  <c r="AW160" i="10" s="1"/>
  <c r="AK160" i="10"/>
  <c r="AN160" i="10" s="1"/>
  <c r="AY160" i="10" s="1"/>
  <c r="AP159" i="10"/>
  <c r="AT159" i="10" s="1"/>
  <c r="BN159" i="10" s="1"/>
  <c r="AK159" i="10"/>
  <c r="AN159" i="10" s="1"/>
  <c r="AU159" i="10"/>
  <c r="AW159" i="10" s="1"/>
  <c r="AP158" i="10"/>
  <c r="AT158" i="10" s="1"/>
  <c r="BN158" i="10" s="1"/>
  <c r="AK158" i="10"/>
  <c r="AN158" i="10" s="1"/>
  <c r="AU158" i="10"/>
  <c r="AW158" i="10" s="1"/>
  <c r="AK157" i="10"/>
  <c r="AN157" i="10" s="1"/>
  <c r="AU157" i="10"/>
  <c r="AW157" i="10" s="1"/>
  <c r="AP157" i="10"/>
  <c r="AT157" i="10" s="1"/>
  <c r="BN157" i="10" s="1"/>
  <c r="AK156" i="10"/>
  <c r="AN156" i="10" s="1"/>
  <c r="AU156" i="10"/>
  <c r="AW156" i="10" s="1"/>
  <c r="AP156" i="10"/>
  <c r="AT156" i="10" s="1"/>
  <c r="BN156" i="10" s="1"/>
  <c r="AK155" i="10"/>
  <c r="AN155" i="10" s="1"/>
  <c r="AP155" i="10"/>
  <c r="AT155" i="10" s="1"/>
  <c r="BN155" i="10" s="1"/>
  <c r="AU155" i="10"/>
  <c r="AW155" i="10" s="1"/>
  <c r="AK154" i="10"/>
  <c r="AN154" i="10" s="1"/>
  <c r="AU154" i="10"/>
  <c r="AW154" i="10" s="1"/>
  <c r="AP154" i="10"/>
  <c r="AT154" i="10" s="1"/>
  <c r="BN154" i="10" s="1"/>
  <c r="AP153" i="10"/>
  <c r="AT153" i="10" s="1"/>
  <c r="BN153" i="10" s="1"/>
  <c r="AU153" i="10"/>
  <c r="AW153" i="10" s="1"/>
  <c r="AK153" i="10"/>
  <c r="AN153" i="10" s="1"/>
  <c r="AK151" i="10"/>
  <c r="AN151" i="10" s="1"/>
  <c r="AU151" i="10"/>
  <c r="AW151" i="10" s="1"/>
  <c r="AP151" i="10"/>
  <c r="AT151" i="10" s="1"/>
  <c r="BN151" i="10" s="1"/>
  <c r="AU150" i="10"/>
  <c r="AW150" i="10" s="1"/>
  <c r="AK150" i="10"/>
  <c r="AN150" i="10" s="1"/>
  <c r="AP150" i="10"/>
  <c r="AT150" i="10" s="1"/>
  <c r="BN150" i="10" s="1"/>
  <c r="AP149" i="10"/>
  <c r="AT149" i="10" s="1"/>
  <c r="BN149" i="10" s="1"/>
  <c r="AU149" i="10"/>
  <c r="AW149" i="10" s="1"/>
  <c r="AK149" i="10"/>
  <c r="AN149" i="10" s="1"/>
  <c r="AY149" i="10" s="1"/>
  <c r="AU148" i="10"/>
  <c r="AW148" i="10" s="1"/>
  <c r="AP148" i="10"/>
  <c r="AT148" i="10" s="1"/>
  <c r="BN148" i="10" s="1"/>
  <c r="AK148" i="10"/>
  <c r="AN148" i="10" s="1"/>
  <c r="AY148" i="10" s="1"/>
  <c r="AU147" i="10"/>
  <c r="AW147" i="10" s="1"/>
  <c r="AP147" i="10"/>
  <c r="AT147" i="10" s="1"/>
  <c r="BN147" i="10" s="1"/>
  <c r="AK147" i="10"/>
  <c r="AN147" i="10" s="1"/>
  <c r="AU146" i="10"/>
  <c r="AW146" i="10" s="1"/>
  <c r="AP146" i="10"/>
  <c r="AT146" i="10" s="1"/>
  <c r="BN146" i="10" s="1"/>
  <c r="AK146" i="10"/>
  <c r="AN146" i="10" s="1"/>
  <c r="AP145" i="10"/>
  <c r="AT145" i="10" s="1"/>
  <c r="BN145" i="10" s="1"/>
  <c r="AU145" i="10"/>
  <c r="AW145" i="10" s="1"/>
  <c r="AK145" i="10"/>
  <c r="AN145" i="10" s="1"/>
  <c r="AY145" i="10" s="1"/>
  <c r="AU144" i="10"/>
  <c r="AW144" i="10" s="1"/>
  <c r="AP144" i="10"/>
  <c r="AT144" i="10" s="1"/>
  <c r="BN144" i="10" s="1"/>
  <c r="AK144" i="10"/>
  <c r="AN144" i="10" s="1"/>
  <c r="AP142" i="10"/>
  <c r="AT142" i="10" s="1"/>
  <c r="BN142" i="10" s="1"/>
  <c r="AU142" i="10"/>
  <c r="AW142" i="10" s="1"/>
  <c r="AK142" i="10"/>
  <c r="AN142" i="10" s="1"/>
  <c r="AY142" i="10" s="1"/>
  <c r="AU141" i="10"/>
  <c r="AW141" i="10" s="1"/>
  <c r="AP141" i="10"/>
  <c r="AT141" i="10" s="1"/>
  <c r="BN141" i="10" s="1"/>
  <c r="AK141" i="10"/>
  <c r="AN141" i="10" s="1"/>
  <c r="AK140" i="10"/>
  <c r="AN140" i="10" s="1"/>
  <c r="AP140" i="10"/>
  <c r="AT140" i="10" s="1"/>
  <c r="BN140" i="10" s="1"/>
  <c r="AU140" i="10"/>
  <c r="AW140" i="10" s="1"/>
  <c r="AP139" i="10"/>
  <c r="AT139" i="10" s="1"/>
  <c r="BN139" i="10" s="1"/>
  <c r="AU139" i="10"/>
  <c r="AW139" i="10" s="1"/>
  <c r="AK139" i="10"/>
  <c r="AN139" i="10" s="1"/>
  <c r="AY139" i="10" s="1"/>
  <c r="AK138" i="10"/>
  <c r="AN138" i="10" s="1"/>
  <c r="AP138" i="10"/>
  <c r="AT138" i="10" s="1"/>
  <c r="BN138" i="10" s="1"/>
  <c r="AU138" i="10"/>
  <c r="AW138" i="10" s="1"/>
  <c r="AK137" i="10"/>
  <c r="AN137" i="10" s="1"/>
  <c r="AP137" i="10"/>
  <c r="AT137" i="10" s="1"/>
  <c r="BN137" i="10" s="1"/>
  <c r="AU137" i="10"/>
  <c r="AW137" i="10" s="1"/>
  <c r="AU136" i="10"/>
  <c r="AW136" i="10" s="1"/>
  <c r="AK136" i="10"/>
  <c r="AN136" i="10" s="1"/>
  <c r="AP136" i="10"/>
  <c r="AT136" i="10" s="1"/>
  <c r="BN136" i="10" s="1"/>
  <c r="AK135" i="10"/>
  <c r="AN135" i="10" s="1"/>
  <c r="AU135" i="10"/>
  <c r="AW135" i="10" s="1"/>
  <c r="AP135" i="10"/>
  <c r="AT135" i="10" s="1"/>
  <c r="BN135" i="10" s="1"/>
  <c r="AK133" i="10"/>
  <c r="AN133" i="10" s="1"/>
  <c r="AP133" i="10"/>
  <c r="AT133" i="10" s="1"/>
  <c r="BN133" i="10" s="1"/>
  <c r="AU133" i="10"/>
  <c r="AW133" i="10" s="1"/>
  <c r="AP132" i="10"/>
  <c r="AT132" i="10" s="1"/>
  <c r="BN132" i="10" s="1"/>
  <c r="AU132" i="10"/>
  <c r="AW132" i="10" s="1"/>
  <c r="AK132" i="10"/>
  <c r="AN132" i="10" s="1"/>
  <c r="AY132" i="10" s="1"/>
  <c r="AU131" i="10"/>
  <c r="AW131" i="10" s="1"/>
  <c r="AP131" i="10"/>
  <c r="AT131" i="10" s="1"/>
  <c r="BN131" i="10" s="1"/>
  <c r="AK131" i="10"/>
  <c r="AN131" i="10" s="1"/>
  <c r="AY131" i="10" s="1"/>
  <c r="AP130" i="10"/>
  <c r="AT130" i="10" s="1"/>
  <c r="BN130" i="10" s="1"/>
  <c r="AU130" i="10"/>
  <c r="AW130" i="10" s="1"/>
  <c r="AK130" i="10"/>
  <c r="AN130" i="10" s="1"/>
  <c r="AY130" i="10" s="1"/>
  <c r="AP129" i="10"/>
  <c r="AT129" i="10" s="1"/>
  <c r="BN129" i="10" s="1"/>
  <c r="AK129" i="10"/>
  <c r="AN129" i="10" s="1"/>
  <c r="AU129" i="10"/>
  <c r="AW129" i="10" s="1"/>
  <c r="AK128" i="10"/>
  <c r="AN128" i="10" s="1"/>
  <c r="AP128" i="10"/>
  <c r="AT128" i="10" s="1"/>
  <c r="BN128" i="10" s="1"/>
  <c r="AU128" i="10"/>
  <c r="AW128" i="10" s="1"/>
  <c r="AK127" i="10"/>
  <c r="AN127" i="10" s="1"/>
  <c r="AP127" i="10"/>
  <c r="AT127" i="10" s="1"/>
  <c r="BN127" i="10" s="1"/>
  <c r="AU127" i="10"/>
  <c r="AW127" i="10" s="1"/>
  <c r="AP126" i="10"/>
  <c r="AT126" i="10" s="1"/>
  <c r="BN126" i="10" s="1"/>
  <c r="AK126" i="10"/>
  <c r="AN126" i="10" s="1"/>
  <c r="AU126" i="10"/>
  <c r="AW126" i="10" s="1"/>
  <c r="AU124" i="10"/>
  <c r="AW124" i="10" s="1"/>
  <c r="AP124" i="10"/>
  <c r="AT124" i="10" s="1"/>
  <c r="BN124" i="10" s="1"/>
  <c r="AK124" i="10"/>
  <c r="AN124" i="10" s="1"/>
  <c r="AP123" i="10"/>
  <c r="AT123" i="10" s="1"/>
  <c r="BN123" i="10" s="1"/>
  <c r="AK123" i="10"/>
  <c r="AN123" i="10" s="1"/>
  <c r="AU123" i="10"/>
  <c r="AW123" i="10" s="1"/>
  <c r="AK122" i="10"/>
  <c r="AN122" i="10" s="1"/>
  <c r="AU122" i="10"/>
  <c r="AW122" i="10" s="1"/>
  <c r="AP122" i="10"/>
  <c r="AT122" i="10" s="1"/>
  <c r="BN122" i="10" s="1"/>
  <c r="AK121" i="10"/>
  <c r="AN121" i="10" s="1"/>
  <c r="AP121" i="10"/>
  <c r="AT121" i="10" s="1"/>
  <c r="BN121" i="10" s="1"/>
  <c r="AU121" i="10"/>
  <c r="AW121" i="10" s="1"/>
  <c r="AK120" i="10"/>
  <c r="AN120" i="10" s="1"/>
  <c r="AU120" i="10"/>
  <c r="AW120" i="10" s="1"/>
  <c r="AP120" i="10"/>
  <c r="AT120" i="10" s="1"/>
  <c r="BN120" i="10" s="1"/>
  <c r="AU119" i="10"/>
  <c r="AW119" i="10" s="1"/>
  <c r="AK119" i="10"/>
  <c r="AN119" i="10" s="1"/>
  <c r="AP119" i="10"/>
  <c r="AT119" i="10" s="1"/>
  <c r="BN119" i="10" s="1"/>
  <c r="AU118" i="10"/>
  <c r="AW118" i="10" s="1"/>
  <c r="AK118" i="10"/>
  <c r="AN118" i="10" s="1"/>
  <c r="AP118" i="10"/>
  <c r="AT118" i="10" s="1"/>
  <c r="BN118" i="10" s="1"/>
  <c r="AU117" i="10"/>
  <c r="AW117" i="10" s="1"/>
  <c r="AP117" i="10"/>
  <c r="AT117" i="10" s="1"/>
  <c r="BN117" i="10" s="1"/>
  <c r="AK117" i="10"/>
  <c r="AN117" i="10" s="1"/>
  <c r="AK115" i="10"/>
  <c r="AN115" i="10" s="1"/>
  <c r="AP115" i="10"/>
  <c r="AT115" i="10" s="1"/>
  <c r="BN115" i="10" s="1"/>
  <c r="AU115" i="10"/>
  <c r="AW115" i="10" s="1"/>
  <c r="AU114" i="10"/>
  <c r="AW114" i="10" s="1"/>
  <c r="AP114" i="10"/>
  <c r="AT114" i="10" s="1"/>
  <c r="BN114" i="10" s="1"/>
  <c r="AK114" i="10"/>
  <c r="AN114" i="10" s="1"/>
  <c r="AP113" i="10"/>
  <c r="AT113" i="10" s="1"/>
  <c r="BN113" i="10" s="1"/>
  <c r="AU113" i="10"/>
  <c r="AW113" i="10" s="1"/>
  <c r="AK113" i="10"/>
  <c r="AN113" i="10" s="1"/>
  <c r="AY113" i="10" s="1"/>
  <c r="AU112" i="10"/>
  <c r="AW112" i="10" s="1"/>
  <c r="AP112" i="10"/>
  <c r="AT112" i="10" s="1"/>
  <c r="BN112" i="10" s="1"/>
  <c r="AK112" i="10"/>
  <c r="AN112" i="10" s="1"/>
  <c r="AP111" i="10"/>
  <c r="AT111" i="10" s="1"/>
  <c r="BN111" i="10" s="1"/>
  <c r="AK111" i="10"/>
  <c r="AN111" i="10" s="1"/>
  <c r="AY111" i="10" s="1"/>
  <c r="AU111" i="10"/>
  <c r="AW111" i="10" s="1"/>
  <c r="AU110" i="10"/>
  <c r="AW110" i="10" s="1"/>
  <c r="AK110" i="10"/>
  <c r="AN110" i="10" s="1"/>
  <c r="AP110" i="10"/>
  <c r="AT110" i="10" s="1"/>
  <c r="BN110" i="10" s="1"/>
  <c r="AP109" i="10"/>
  <c r="AT109" i="10" s="1"/>
  <c r="BN109" i="10" s="1"/>
  <c r="AU109" i="10"/>
  <c r="AW109" i="10" s="1"/>
  <c r="AK109" i="10"/>
  <c r="AN109" i="10" s="1"/>
  <c r="AY109" i="10" s="1"/>
  <c r="AK108" i="10"/>
  <c r="AN108" i="10" s="1"/>
  <c r="AU108" i="10"/>
  <c r="AW108" i="10" s="1"/>
  <c r="AP108" i="10"/>
  <c r="AT108" i="10" s="1"/>
  <c r="BN108" i="10" s="1"/>
  <c r="AK107" i="10"/>
  <c r="AN107" i="10" s="1"/>
  <c r="AU107" i="10"/>
  <c r="AW107" i="10" s="1"/>
  <c r="AP107" i="10"/>
  <c r="AT107" i="10" s="1"/>
  <c r="BN107" i="10" s="1"/>
  <c r="AU106" i="10"/>
  <c r="AW106" i="10" s="1"/>
  <c r="AK106" i="10"/>
  <c r="AN106" i="10" s="1"/>
  <c r="AP106" i="10"/>
  <c r="AT106" i="10" s="1"/>
  <c r="BN106" i="10" s="1"/>
  <c r="AU105" i="10"/>
  <c r="AW105" i="10" s="1"/>
  <c r="AP105" i="10"/>
  <c r="AT105" i="10" s="1"/>
  <c r="BN105" i="10" s="1"/>
  <c r="AK105" i="10"/>
  <c r="AN105" i="10" s="1"/>
  <c r="AK104" i="10"/>
  <c r="AN104" i="10" s="1"/>
  <c r="AP104" i="10"/>
  <c r="AT104" i="10" s="1"/>
  <c r="BN104" i="10" s="1"/>
  <c r="AU104" i="10"/>
  <c r="AW104" i="10" s="1"/>
  <c r="AP103" i="10"/>
  <c r="AT103" i="10" s="1"/>
  <c r="BN103" i="10" s="1"/>
  <c r="AU103" i="10"/>
  <c r="AW103" i="10" s="1"/>
  <c r="AK103" i="10"/>
  <c r="AN103" i="10" s="1"/>
  <c r="AK102" i="10"/>
  <c r="AN102" i="10" s="1"/>
  <c r="AU102" i="10"/>
  <c r="AW102" i="10" s="1"/>
  <c r="AP102" i="10"/>
  <c r="AT102" i="10" s="1"/>
  <c r="BN102" i="10" s="1"/>
  <c r="AK101" i="10"/>
  <c r="AN101" i="10" s="1"/>
  <c r="AP101" i="10"/>
  <c r="AT101" i="10" s="1"/>
  <c r="BN101" i="10" s="1"/>
  <c r="AU101" i="10"/>
  <c r="AW101" i="10" s="1"/>
  <c r="AK100" i="10"/>
  <c r="AN100" i="10" s="1"/>
  <c r="AU100" i="10"/>
  <c r="AW100" i="10" s="1"/>
  <c r="AP100" i="10"/>
  <c r="AT100" i="10" s="1"/>
  <c r="BN100" i="10" s="1"/>
  <c r="AP99" i="10"/>
  <c r="AT99" i="10" s="1"/>
  <c r="BN99" i="10" s="1"/>
  <c r="AK99" i="10"/>
  <c r="AN99" i="10" s="1"/>
  <c r="AU99" i="10"/>
  <c r="AW99" i="10" s="1"/>
  <c r="AK98" i="10"/>
  <c r="AN98" i="10" s="1"/>
  <c r="AP98" i="10"/>
  <c r="AT98" i="10" s="1"/>
  <c r="BN98" i="10" s="1"/>
  <c r="AU98" i="10"/>
  <c r="AW98" i="10" s="1"/>
  <c r="AP97" i="10"/>
  <c r="AT97" i="10" s="1"/>
  <c r="BN97" i="10" s="1"/>
  <c r="AU97" i="10"/>
  <c r="AW97" i="10" s="1"/>
  <c r="AK97" i="10"/>
  <c r="AN97" i="10" s="1"/>
  <c r="AP96" i="10"/>
  <c r="AT96" i="10" s="1"/>
  <c r="BN96" i="10" s="1"/>
  <c r="AU96" i="10"/>
  <c r="AW96" i="10" s="1"/>
  <c r="AK96" i="10"/>
  <c r="AN96" i="10" s="1"/>
  <c r="AY96" i="10" s="1"/>
  <c r="AP95" i="10"/>
  <c r="AT95" i="10" s="1"/>
  <c r="BN95" i="10" s="1"/>
  <c r="AU95" i="10"/>
  <c r="AW95" i="10" s="1"/>
  <c r="AK95" i="10"/>
  <c r="AN95" i="10" s="1"/>
  <c r="AY95" i="10" s="1"/>
  <c r="AU94" i="10"/>
  <c r="AW94" i="10" s="1"/>
  <c r="AP94" i="10"/>
  <c r="AT94" i="10" s="1"/>
  <c r="BN94" i="10" s="1"/>
  <c r="AK94" i="10"/>
  <c r="AN94" i="10" s="1"/>
  <c r="AY94" i="10" s="1"/>
  <c r="AP93" i="10"/>
  <c r="AT93" i="10" s="1"/>
  <c r="BN93" i="10" s="1"/>
  <c r="AK93" i="10"/>
  <c r="AN93" i="10" s="1"/>
  <c r="AU93" i="10"/>
  <c r="AW93" i="10" s="1"/>
  <c r="AU92" i="10"/>
  <c r="AW92" i="10" s="1"/>
  <c r="AP92" i="10"/>
  <c r="AT92" i="10" s="1"/>
  <c r="BN92" i="10" s="1"/>
  <c r="AK92" i="10"/>
  <c r="AN92" i="10" s="1"/>
  <c r="AY92" i="10" s="1"/>
  <c r="AP91" i="10"/>
  <c r="AT91" i="10" s="1"/>
  <c r="BN91" i="10" s="1"/>
  <c r="AU91" i="10"/>
  <c r="AW91" i="10" s="1"/>
  <c r="AK91" i="10"/>
  <c r="AN91" i="10" s="1"/>
  <c r="AU90" i="10"/>
  <c r="AW90" i="10" s="1"/>
  <c r="AP90" i="10"/>
  <c r="AT90" i="10" s="1"/>
  <c r="BN90" i="10" s="1"/>
  <c r="AK90" i="10"/>
  <c r="AN90" i="10" s="1"/>
  <c r="AP89" i="10"/>
  <c r="AT89" i="10" s="1"/>
  <c r="BN89" i="10" s="1"/>
  <c r="AU89" i="10"/>
  <c r="AW89" i="10" s="1"/>
  <c r="AK89" i="10"/>
  <c r="AN89" i="10" s="1"/>
  <c r="AY89" i="10" s="1"/>
  <c r="AU88" i="10"/>
  <c r="AW88" i="10" s="1"/>
  <c r="AK88" i="10"/>
  <c r="AN88" i="10" s="1"/>
  <c r="AP88" i="10"/>
  <c r="AT88" i="10" s="1"/>
  <c r="BN88" i="10" s="1"/>
  <c r="AU87" i="10"/>
  <c r="AW87" i="10" s="1"/>
  <c r="AP87" i="10"/>
  <c r="AT87" i="10" s="1"/>
  <c r="BN87" i="10" s="1"/>
  <c r="AK87" i="10"/>
  <c r="AN87" i="10" s="1"/>
  <c r="AU86" i="10"/>
  <c r="AW86" i="10" s="1"/>
  <c r="AP86" i="10"/>
  <c r="AT86" i="10" s="1"/>
  <c r="BN86" i="10" s="1"/>
  <c r="AK86" i="10"/>
  <c r="AN86" i="10" s="1"/>
  <c r="AP85" i="10"/>
  <c r="AT85" i="10" s="1"/>
  <c r="BN85" i="10" s="1"/>
  <c r="AU85" i="10"/>
  <c r="AW85" i="10" s="1"/>
  <c r="AK85" i="10"/>
  <c r="AN85" i="10" s="1"/>
  <c r="AY85" i="10" s="1"/>
  <c r="AU84" i="10"/>
  <c r="AW84" i="10" s="1"/>
  <c r="AP84" i="10"/>
  <c r="AT84" i="10" s="1"/>
  <c r="BN84" i="10" s="1"/>
  <c r="AK84" i="10"/>
  <c r="AN84" i="10" s="1"/>
  <c r="AK83" i="10"/>
  <c r="AN83" i="10" s="1"/>
  <c r="AP83" i="10"/>
  <c r="AT83" i="10" s="1"/>
  <c r="BN83" i="10" s="1"/>
  <c r="AU83" i="10"/>
  <c r="AW83" i="10" s="1"/>
  <c r="AP82" i="10"/>
  <c r="AT82" i="10" s="1"/>
  <c r="BN82" i="10" s="1"/>
  <c r="AK82" i="10"/>
  <c r="AN82" i="10" s="1"/>
  <c r="AU82" i="10"/>
  <c r="AW82" i="10" s="1"/>
  <c r="AP81" i="10"/>
  <c r="AT81" i="10" s="1"/>
  <c r="BN81" i="10" s="1"/>
  <c r="AU81" i="10"/>
  <c r="AW81" i="10" s="1"/>
  <c r="AK81" i="10"/>
  <c r="AN81" i="10" s="1"/>
  <c r="AK80" i="10"/>
  <c r="AN80" i="10" s="1"/>
  <c r="AU80" i="10"/>
  <c r="AW80" i="10" s="1"/>
  <c r="AP80" i="10"/>
  <c r="AT80" i="10" s="1"/>
  <c r="BN80" i="10" s="1"/>
  <c r="AK79" i="10"/>
  <c r="AN79" i="10" s="1"/>
  <c r="AU79" i="10"/>
  <c r="AW79" i="10" s="1"/>
  <c r="AP79" i="10"/>
  <c r="AT79" i="10" s="1"/>
  <c r="BN79" i="10" s="1"/>
  <c r="AP78" i="10"/>
  <c r="AT78" i="10" s="1"/>
  <c r="BN78" i="10" s="1"/>
  <c r="AU78" i="10"/>
  <c r="AW78" i="10" s="1"/>
  <c r="AK78" i="10"/>
  <c r="AN78" i="10" s="1"/>
  <c r="AY78" i="10" s="1"/>
  <c r="AK77" i="10"/>
  <c r="AN77" i="10" s="1"/>
  <c r="AP77" i="10"/>
  <c r="AT77" i="10" s="1"/>
  <c r="BN77" i="10" s="1"/>
  <c r="AU77" i="10"/>
  <c r="AW77" i="10" s="1"/>
  <c r="AK76" i="10"/>
  <c r="AN76" i="10" s="1"/>
  <c r="AU76" i="10"/>
  <c r="AW76" i="10" s="1"/>
  <c r="AP76" i="10"/>
  <c r="AT76" i="10" s="1"/>
  <c r="BN76" i="10" s="1"/>
  <c r="AU75" i="10"/>
  <c r="AW75" i="10" s="1"/>
  <c r="AP75" i="10"/>
  <c r="AT75" i="10" s="1"/>
  <c r="BN75" i="10" s="1"/>
  <c r="AK75" i="10"/>
  <c r="AN75" i="10" s="1"/>
  <c r="AK74" i="10"/>
  <c r="AN74" i="10" s="1"/>
  <c r="AP74" i="10"/>
  <c r="AT74" i="10" s="1"/>
  <c r="BN74" i="10" s="1"/>
  <c r="AU74" i="10"/>
  <c r="AW74" i="10" s="1"/>
  <c r="AU73" i="10"/>
  <c r="AW73" i="10" s="1"/>
  <c r="AK73" i="10"/>
  <c r="AN73" i="10" s="1"/>
  <c r="AP73" i="10"/>
  <c r="AT73" i="10" s="1"/>
  <c r="BN73" i="10" s="1"/>
  <c r="AK72" i="10"/>
  <c r="AN72" i="10" s="1"/>
  <c r="AU72" i="10"/>
  <c r="AW72" i="10" s="1"/>
  <c r="AP72" i="10"/>
  <c r="AT72" i="10" s="1"/>
  <c r="BN72" i="10" s="1"/>
  <c r="AU71" i="10"/>
  <c r="AW71" i="10" s="1"/>
  <c r="AP71" i="10"/>
  <c r="AT71" i="10" s="1"/>
  <c r="BN71" i="10" s="1"/>
  <c r="AK71" i="10"/>
  <c r="AN71" i="10" s="1"/>
  <c r="AU70" i="10"/>
  <c r="AW70" i="10" s="1"/>
  <c r="AP70" i="10"/>
  <c r="AT70" i="10" s="1"/>
  <c r="BN70" i="10" s="1"/>
  <c r="AK70" i="10"/>
  <c r="AN70" i="10" s="1"/>
  <c r="AP69" i="10"/>
  <c r="AT69" i="10" s="1"/>
  <c r="BN69" i="10" s="1"/>
  <c r="AU69" i="10"/>
  <c r="AW69" i="10" s="1"/>
  <c r="AK69" i="10"/>
  <c r="AN69" i="10" s="1"/>
  <c r="AK68" i="10"/>
  <c r="AN68" i="10" s="1"/>
  <c r="AP68" i="10"/>
  <c r="AT68" i="10" s="1"/>
  <c r="BN68" i="10" s="1"/>
  <c r="AU68" i="10"/>
  <c r="AW68" i="10" s="1"/>
  <c r="AK67" i="10"/>
  <c r="AN67" i="10" s="1"/>
  <c r="AP67" i="10"/>
  <c r="AT67" i="10" s="1"/>
  <c r="BN67" i="10" s="1"/>
  <c r="AU67" i="10"/>
  <c r="AW67" i="10" s="1"/>
  <c r="AU66" i="10"/>
  <c r="AW66" i="10" s="1"/>
  <c r="AK66" i="10"/>
  <c r="AN66" i="10" s="1"/>
  <c r="AP66" i="10"/>
  <c r="AT66" i="10" s="1"/>
  <c r="BN66" i="10" s="1"/>
  <c r="AU64" i="10"/>
  <c r="AW64" i="10" s="1"/>
  <c r="AK64" i="10"/>
  <c r="AN64" i="10" s="1"/>
  <c r="AP64" i="10"/>
  <c r="AT64" i="10" s="1"/>
  <c r="BN64" i="10" s="1"/>
  <c r="AU62" i="10"/>
  <c r="AW62" i="10" s="1"/>
  <c r="AP62" i="10"/>
  <c r="AT62" i="10" s="1"/>
  <c r="BN62" i="10" s="1"/>
  <c r="AK62" i="10"/>
  <c r="AN62" i="10" s="1"/>
  <c r="AK61" i="10"/>
  <c r="AN61" i="10" s="1"/>
  <c r="AU61" i="10"/>
  <c r="AW61" i="10" s="1"/>
  <c r="AU60" i="10"/>
  <c r="AW60" i="10" s="1"/>
  <c r="AP60" i="10"/>
  <c r="AT60" i="10" s="1"/>
  <c r="BN60" i="10" s="1"/>
  <c r="AK60" i="10"/>
  <c r="AN60" i="10" s="1"/>
  <c r="AU59" i="10"/>
  <c r="AW59" i="10" s="1"/>
  <c r="AK59" i="10"/>
  <c r="AN59" i="10" s="1"/>
  <c r="AP59" i="10"/>
  <c r="AT59" i="10" s="1"/>
  <c r="BN59" i="10" s="1"/>
  <c r="AU58" i="10"/>
  <c r="AW58" i="10" s="1"/>
  <c r="AP58" i="10"/>
  <c r="AT58" i="10" s="1"/>
  <c r="BN58" i="10" s="1"/>
  <c r="AK58" i="10"/>
  <c r="AN58" i="10" s="1"/>
  <c r="AU57" i="10"/>
  <c r="AW57" i="10" s="1"/>
  <c r="AP57" i="10"/>
  <c r="AT57" i="10" s="1"/>
  <c r="BN57" i="10" s="1"/>
  <c r="AK57" i="10"/>
  <c r="AN57" i="10" s="1"/>
  <c r="AY57" i="10" s="1"/>
  <c r="AK55" i="10"/>
  <c r="AN55" i="10" s="1"/>
  <c r="AU55" i="10"/>
  <c r="AW55" i="10" s="1"/>
  <c r="AP55" i="10"/>
  <c r="AT55" i="10" s="1"/>
  <c r="BN55" i="10" s="1"/>
  <c r="AK53" i="10"/>
  <c r="AN53" i="10" s="1"/>
  <c r="AU53" i="10"/>
  <c r="AW53" i="10" s="1"/>
  <c r="AP53" i="10"/>
  <c r="AT53" i="10" s="1"/>
  <c r="BN53" i="10" s="1"/>
  <c r="AU52" i="10"/>
  <c r="AW52" i="10" s="1"/>
  <c r="AK52" i="10"/>
  <c r="AN52" i="10" s="1"/>
  <c r="AP52" i="10"/>
  <c r="AT52" i="10" s="1"/>
  <c r="BN52" i="10" s="1"/>
  <c r="AK51" i="10"/>
  <c r="AN51" i="10" s="1"/>
  <c r="AU51" i="10"/>
  <c r="AW51" i="10" s="1"/>
  <c r="AP51" i="10"/>
  <c r="AT51" i="10" s="1"/>
  <c r="BN51" i="10" s="1"/>
  <c r="AP50" i="10"/>
  <c r="AT50" i="10" s="1"/>
  <c r="BN50" i="10" s="1"/>
  <c r="AU50" i="10"/>
  <c r="AW50" i="10" s="1"/>
  <c r="AK50" i="10"/>
  <c r="AN50" i="10" s="1"/>
  <c r="AY50" i="10" s="1"/>
  <c r="AU49" i="10"/>
  <c r="AW49" i="10" s="1"/>
  <c r="AP49" i="10"/>
  <c r="AT49" i="10" s="1"/>
  <c r="BN49" i="10" s="1"/>
  <c r="AK49" i="10"/>
  <c r="AN49" i="10" s="1"/>
  <c r="AU48" i="10"/>
  <c r="AW48" i="10" s="1"/>
  <c r="AP48" i="10"/>
  <c r="AT48" i="10" s="1"/>
  <c r="BN48" i="10" s="1"/>
  <c r="AK48" i="10"/>
  <c r="AN48" i="10" s="1"/>
  <c r="AU47" i="10"/>
  <c r="AW47" i="10" s="1"/>
  <c r="AP47" i="10"/>
  <c r="AT47" i="10" s="1"/>
  <c r="BN47" i="10" s="1"/>
  <c r="AK47" i="10"/>
  <c r="AN47" i="10" s="1"/>
  <c r="AP46" i="10"/>
  <c r="AT46" i="10" s="1"/>
  <c r="BN46" i="10" s="1"/>
  <c r="AU46" i="10"/>
  <c r="AW46" i="10" s="1"/>
  <c r="AK46" i="10"/>
  <c r="AN46" i="10" s="1"/>
  <c r="AY46" i="10" s="1"/>
  <c r="AP44" i="10"/>
  <c r="AT44" i="10" s="1"/>
  <c r="BN44" i="10" s="1"/>
  <c r="AK44" i="10"/>
  <c r="AN44" i="10" s="1"/>
  <c r="AU44" i="10"/>
  <c r="AW44" i="10" s="1"/>
  <c r="AK43" i="10"/>
  <c r="AN43" i="10" s="1"/>
  <c r="AP43" i="10"/>
  <c r="AT43" i="10" s="1"/>
  <c r="BN43" i="10" s="1"/>
  <c r="AU43" i="10"/>
  <c r="AW43" i="10" s="1"/>
  <c r="AK42" i="10"/>
  <c r="AN42" i="10" s="1"/>
  <c r="AP42" i="10"/>
  <c r="AT42" i="10" s="1"/>
  <c r="BN42" i="10" s="1"/>
  <c r="AU42" i="10"/>
  <c r="AW42" i="10" s="1"/>
  <c r="AU41" i="10"/>
  <c r="AW41" i="10" s="1"/>
  <c r="AP41" i="10"/>
  <c r="AT41" i="10" s="1"/>
  <c r="BN41" i="10" s="1"/>
  <c r="AK41" i="10"/>
  <c r="AN41" i="10" s="1"/>
  <c r="AK40" i="10"/>
  <c r="AN40" i="10" s="1"/>
  <c r="AU40" i="10"/>
  <c r="AW40" i="10" s="1"/>
  <c r="AP40" i="10"/>
  <c r="AT40" i="10" s="1"/>
  <c r="BN40" i="10" s="1"/>
  <c r="AU39" i="10"/>
  <c r="AW39" i="10" s="1"/>
  <c r="AK39" i="10"/>
  <c r="AN39" i="10" s="1"/>
  <c r="AP39" i="10"/>
  <c r="AT39" i="10" s="1"/>
  <c r="BN39" i="10" s="1"/>
  <c r="AU37" i="10"/>
  <c r="AW37" i="10" s="1"/>
  <c r="AP37" i="10"/>
  <c r="AT37" i="10" s="1"/>
  <c r="BN37" i="10" s="1"/>
  <c r="AK37" i="10"/>
  <c r="AN37" i="10" s="1"/>
  <c r="AY37" i="10" s="1"/>
  <c r="AK35" i="10"/>
  <c r="AN35" i="10" s="1"/>
  <c r="AU35" i="10"/>
  <c r="AW35" i="10" s="1"/>
  <c r="AP35" i="10"/>
  <c r="AT35" i="10" s="1"/>
  <c r="BN35" i="10" s="1"/>
  <c r="AU34" i="10"/>
  <c r="AW34" i="10" s="1"/>
  <c r="AP34" i="10"/>
  <c r="AT34" i="10" s="1"/>
  <c r="BN34" i="10" s="1"/>
  <c r="AK34" i="10"/>
  <c r="AN34" i="10" s="1"/>
  <c r="AU33" i="10"/>
  <c r="AW33" i="10" s="1"/>
  <c r="AP33" i="10"/>
  <c r="AT33" i="10" s="1"/>
  <c r="BN33" i="10" s="1"/>
  <c r="AK33" i="10"/>
  <c r="AN33" i="10" s="1"/>
  <c r="AU32" i="10"/>
  <c r="AW32" i="10" s="1"/>
  <c r="AP32" i="10"/>
  <c r="AT32" i="10" s="1"/>
  <c r="BN32" i="10" s="1"/>
  <c r="AK32" i="10"/>
  <c r="AN32" i="10" s="1"/>
  <c r="AP31" i="10"/>
  <c r="AT31" i="10" s="1"/>
  <c r="BN31" i="10" s="1"/>
  <c r="AU31" i="10"/>
  <c r="AW31" i="10" s="1"/>
  <c r="AK31" i="10"/>
  <c r="AN31" i="10" s="1"/>
  <c r="AY31" i="10" s="1"/>
  <c r="AK30" i="10"/>
  <c r="AN30" i="10" s="1"/>
  <c r="AU30" i="10"/>
  <c r="AW30" i="10" s="1"/>
  <c r="AP30" i="10"/>
  <c r="AT30" i="10" s="1"/>
  <c r="BN30" i="10" s="1"/>
  <c r="AP28" i="10"/>
  <c r="AT28" i="10" s="1"/>
  <c r="BN28" i="10" s="1"/>
  <c r="AU28" i="10"/>
  <c r="AW28" i="10" s="1"/>
  <c r="AK28" i="10"/>
  <c r="AN28" i="10" s="1"/>
  <c r="AU26" i="10"/>
  <c r="AW26" i="10" s="1"/>
  <c r="AK26" i="10"/>
  <c r="AN26" i="10" s="1"/>
  <c r="AP26" i="10"/>
  <c r="AT26" i="10" s="1"/>
  <c r="BN26" i="10" s="1"/>
  <c r="AU25" i="10"/>
  <c r="AW25" i="10" s="1"/>
  <c r="AK25" i="10"/>
  <c r="AN25" i="10" s="1"/>
  <c r="AP25" i="10"/>
  <c r="AT25" i="10" s="1"/>
  <c r="BN25" i="10" s="1"/>
  <c r="AK24" i="10"/>
  <c r="AN24" i="10" s="1"/>
  <c r="AU24" i="10"/>
  <c r="AW24" i="10" s="1"/>
  <c r="AP24" i="10"/>
  <c r="AT24" i="10" s="1"/>
  <c r="BN24" i="10" s="1"/>
  <c r="AK23" i="10"/>
  <c r="AN23" i="10" s="1"/>
  <c r="AU23" i="10"/>
  <c r="AW23" i="10" s="1"/>
  <c r="AP23" i="10"/>
  <c r="AT23" i="10" s="1"/>
  <c r="BN23" i="10" s="1"/>
  <c r="AP22" i="10"/>
  <c r="AT22" i="10" s="1"/>
  <c r="BN22" i="10" s="1"/>
  <c r="AK22" i="10"/>
  <c r="AN22" i="10" s="1"/>
  <c r="AU22" i="10"/>
  <c r="AW22" i="10" s="1"/>
  <c r="AK21" i="10"/>
  <c r="AN21" i="10" s="1"/>
  <c r="AU21" i="10"/>
  <c r="AW21" i="10" s="1"/>
  <c r="AP21" i="10"/>
  <c r="AT21" i="10" s="1"/>
  <c r="BN21" i="10" s="1"/>
  <c r="AU19" i="10"/>
  <c r="AW19" i="10" s="1"/>
  <c r="AP19" i="10"/>
  <c r="AT19" i="10" s="1"/>
  <c r="BN19" i="10" s="1"/>
  <c r="AK19" i="10"/>
  <c r="AN19" i="10" s="1"/>
  <c r="AU18" i="10"/>
  <c r="AW18" i="10" s="1"/>
  <c r="AP18" i="10"/>
  <c r="AT18" i="10" s="1"/>
  <c r="BN18" i="10" s="1"/>
  <c r="AK18" i="10"/>
  <c r="AN18" i="10" s="1"/>
  <c r="AU17" i="10"/>
  <c r="AW17" i="10" s="1"/>
  <c r="AP17" i="10"/>
  <c r="AT17" i="10" s="1"/>
  <c r="BN17" i="10" s="1"/>
  <c r="AK17" i="10"/>
  <c r="AN17" i="10" s="1"/>
  <c r="AU16" i="10"/>
  <c r="AW16" i="10" s="1"/>
  <c r="AP16" i="10"/>
  <c r="AT16" i="10" s="1"/>
  <c r="BN16" i="10" s="1"/>
  <c r="AK16" i="10"/>
  <c r="AN16" i="10" s="1"/>
  <c r="AY16" i="10" s="1"/>
  <c r="AP15" i="10"/>
  <c r="AT15" i="10" s="1"/>
  <c r="BN15" i="10" s="1"/>
  <c r="AK15" i="10"/>
  <c r="AN15" i="10" s="1"/>
  <c r="AU15" i="10"/>
  <c r="AW15" i="10" s="1"/>
  <c r="AU14" i="10"/>
  <c r="AW14" i="10" s="1"/>
  <c r="AP14" i="10"/>
  <c r="AT14" i="10" s="1"/>
  <c r="BN14" i="10" s="1"/>
  <c r="AK14" i="10"/>
  <c r="AN14" i="10" s="1"/>
  <c r="AY14" i="10" s="1"/>
  <c r="AU13" i="10"/>
  <c r="AW13" i="10" s="1"/>
  <c r="AP13" i="10"/>
  <c r="AT13" i="10" s="1"/>
  <c r="BN13" i="10" s="1"/>
  <c r="AK13" i="10"/>
  <c r="AN13" i="10" s="1"/>
  <c r="AU12" i="10"/>
  <c r="AW12" i="10" s="1"/>
  <c r="AP12" i="10"/>
  <c r="AT12" i="10" s="1"/>
  <c r="BN12" i="10" s="1"/>
  <c r="AK12" i="10"/>
  <c r="AN12" i="10" s="1"/>
  <c r="AP11" i="10"/>
  <c r="AT11" i="10" s="1"/>
  <c r="BN11" i="10" s="1"/>
  <c r="AK11" i="10"/>
  <c r="AN11" i="10" s="1"/>
  <c r="AY11" i="10" s="1"/>
  <c r="AU11" i="10"/>
  <c r="AW11" i="10" s="1"/>
  <c r="AK10" i="10"/>
  <c r="AN10" i="10" s="1"/>
  <c r="AU10" i="10"/>
  <c r="AW10" i="10" s="1"/>
  <c r="AP10" i="10"/>
  <c r="AT10" i="10" s="1"/>
  <c r="BN10" i="10" s="1"/>
  <c r="AK9" i="10"/>
  <c r="AN9" i="10" s="1"/>
  <c r="AP9" i="10"/>
  <c r="AT9" i="10" s="1"/>
  <c r="BN9" i="10" s="1"/>
  <c r="AU9" i="10"/>
  <c r="AW9" i="10" s="1"/>
  <c r="AU8" i="10"/>
  <c r="AW8" i="10" s="1"/>
  <c r="AP8" i="10"/>
  <c r="AT8" i="10" s="1"/>
  <c r="BN8" i="10" s="1"/>
  <c r="AK8" i="10"/>
  <c r="AN8" i="10" s="1"/>
  <c r="AP7" i="10"/>
  <c r="AT7" i="10" s="1"/>
  <c r="BN7" i="10" s="1"/>
  <c r="AU7" i="10"/>
  <c r="AW7" i="10" s="1"/>
  <c r="AK7" i="10"/>
  <c r="AN7" i="10" s="1"/>
  <c r="AP6" i="10"/>
  <c r="AT6" i="10" s="1"/>
  <c r="BN6" i="10" s="1"/>
  <c r="AU6" i="10"/>
  <c r="AW6" i="10" s="1"/>
  <c r="AK6" i="10"/>
  <c r="AN6" i="10" s="1"/>
  <c r="AY6" i="10" s="1"/>
  <c r="AU5" i="10"/>
  <c r="AW5" i="10" s="1"/>
  <c r="AK5" i="10"/>
  <c r="AN5" i="10" s="1"/>
  <c r="AP5" i="10"/>
  <c r="AT5" i="10" s="1"/>
  <c r="BN5" i="10" s="1"/>
  <c r="AU4" i="10"/>
  <c r="AW4" i="10" s="1"/>
  <c r="AK4" i="10"/>
  <c r="AN4" i="10" s="1"/>
  <c r="AP4" i="10"/>
  <c r="AT4" i="10" s="1"/>
  <c r="BN4" i="10" s="1"/>
  <c r="AK3" i="10"/>
  <c r="AN3" i="10" s="1"/>
  <c r="AU3" i="10"/>
  <c r="AW3" i="10" s="1"/>
  <c r="AP3" i="10"/>
  <c r="AT3" i="10" s="1"/>
  <c r="BN3" i="10" s="1"/>
  <c r="AK2" i="10"/>
  <c r="AN2" i="10" s="1"/>
  <c r="AU2" i="10"/>
  <c r="AW2" i="10" s="1"/>
  <c r="AP2" i="10"/>
  <c r="AT2" i="10" s="1"/>
  <c r="BN2" i="10" s="1"/>
  <c r="D31" i="7"/>
  <c r="C94" i="7"/>
  <c r="E50" i="7"/>
  <c r="C82" i="7"/>
  <c r="C81" i="7"/>
  <c r="G81" i="7" s="1" a="1"/>
  <c r="G81" i="7" s="1"/>
  <c r="L35" i="7" s="1" a="1"/>
  <c r="E31" i="7"/>
  <c r="C86" i="7"/>
  <c r="AY167" i="10" l="1"/>
  <c r="AY112" i="10"/>
  <c r="AY126" i="10"/>
  <c r="AY153" i="10"/>
  <c r="AY124" i="10"/>
  <c r="AY87" i="10"/>
  <c r="AY158" i="10"/>
  <c r="AY7" i="10"/>
  <c r="AY164" i="10"/>
  <c r="AY15" i="10"/>
  <c r="C110" i="6"/>
  <c r="C49" i="6" s="1"/>
  <c r="I124" i="6"/>
  <c r="L122" i="6" s="1"/>
  <c r="AY17" i="10"/>
  <c r="AY81" i="10"/>
  <c r="AY32" i="10"/>
  <c r="AY159" i="10"/>
  <c r="AY82" i="10"/>
  <c r="AY33" i="10"/>
  <c r="AY105" i="10"/>
  <c r="AY91" i="10"/>
  <c r="AY34" i="10"/>
  <c r="AY70" i="10"/>
  <c r="AY141" i="10"/>
  <c r="AY48" i="10"/>
  <c r="AY22" i="10"/>
  <c r="AY99" i="10"/>
  <c r="AY71" i="10"/>
  <c r="AY47" i="10"/>
  <c r="AY49" i="10"/>
  <c r="AY161" i="10"/>
  <c r="AZ161" i="10"/>
  <c r="BB161" i="10" s="1"/>
  <c r="BJ161" i="10" s="1"/>
  <c r="F124" i="6"/>
  <c r="L121" i="6" s="1"/>
  <c r="C54" i="6" s="1"/>
  <c r="AZ38" i="10"/>
  <c r="AY117" i="10"/>
  <c r="AY13" i="10"/>
  <c r="AY61" i="10"/>
  <c r="AZ54" i="10"/>
  <c r="BL54" i="10"/>
  <c r="AY63" i="10"/>
  <c r="AZ63" i="10"/>
  <c r="AY62" i="10"/>
  <c r="AY54" i="10"/>
  <c r="BB54" i="10" s="1"/>
  <c r="BJ54" i="10" s="1"/>
  <c r="AY44" i="10"/>
  <c r="AY41" i="10"/>
  <c r="AZ56" i="10"/>
  <c r="AZ29" i="10"/>
  <c r="C124" i="6"/>
  <c r="L120" i="6" s="1"/>
  <c r="AY19" i="10"/>
  <c r="AY97" i="10"/>
  <c r="AY60" i="10"/>
  <c r="BL116" i="10"/>
  <c r="AZ116" i="10"/>
  <c r="AZ65" i="10"/>
  <c r="BL65" i="10"/>
  <c r="BL20" i="10"/>
  <c r="AZ20" i="10"/>
  <c r="AY86" i="10"/>
  <c r="AY69" i="10"/>
  <c r="AY8" i="10"/>
  <c r="AY103" i="10"/>
  <c r="AY123" i="10"/>
  <c r="AY84" i="10"/>
  <c r="F139" i="6"/>
  <c r="L136" i="6" s="1"/>
  <c r="C59" i="6" s="1"/>
  <c r="AY18" i="10"/>
  <c r="AY152" i="10"/>
  <c r="AZ152" i="10"/>
  <c r="AY38" i="10"/>
  <c r="BN38" i="10"/>
  <c r="AY29" i="10"/>
  <c r="BN29" i="10"/>
  <c r="AY20" i="10"/>
  <c r="BN20" i="10"/>
  <c r="AY75" i="10"/>
  <c r="AY56" i="10"/>
  <c r="AY147" i="10"/>
  <c r="AY144" i="10"/>
  <c r="AY45" i="10"/>
  <c r="AY146" i="10"/>
  <c r="AY116" i="10"/>
  <c r="AY65" i="10"/>
  <c r="AY114" i="10"/>
  <c r="AY42" i="10"/>
  <c r="C139" i="6"/>
  <c r="L135" i="6" s="1"/>
  <c r="AY138" i="10"/>
  <c r="AY79" i="10"/>
  <c r="AY52" i="10"/>
  <c r="AY28" i="10"/>
  <c r="AY24" i="10"/>
  <c r="V21" i="10"/>
  <c r="V22" i="10"/>
  <c r="V23" i="10"/>
  <c r="V24" i="10"/>
  <c r="V25" i="10"/>
  <c r="V26" i="10"/>
  <c r="V27" i="10"/>
  <c r="V28" i="10"/>
  <c r="V29" i="10"/>
  <c r="V30" i="10"/>
  <c r="V31" i="10"/>
  <c r="V32" i="10"/>
  <c r="V33" i="10"/>
  <c r="V34" i="10"/>
  <c r="V35" i="10"/>
  <c r="V36" i="10"/>
  <c r="V20" i="10"/>
  <c r="V37" i="10"/>
  <c r="V38" i="10"/>
  <c r="V39" i="10"/>
  <c r="V40" i="10"/>
  <c r="V41" i="10"/>
  <c r="V42" i="10"/>
  <c r="V43" i="10"/>
  <c r="V44" i="10"/>
  <c r="V45" i="10"/>
  <c r="V46" i="10"/>
  <c r="V47" i="10"/>
  <c r="V48" i="10"/>
  <c r="V49" i="10"/>
  <c r="V50" i="10"/>
  <c r="V51" i="10"/>
  <c r="V52" i="10"/>
  <c r="V53" i="10"/>
  <c r="V54" i="10"/>
  <c r="V55" i="10"/>
  <c r="V56" i="10"/>
  <c r="V57" i="10"/>
  <c r="V58" i="10"/>
  <c r="V59" i="10"/>
  <c r="V60" i="10"/>
  <c r="V61" i="10"/>
  <c r="V62" i="10"/>
  <c r="V63" i="10"/>
  <c r="V14" i="10"/>
  <c r="V68" i="10"/>
  <c r="V71" i="10"/>
  <c r="V74" i="10"/>
  <c r="V75" i="10"/>
  <c r="V76" i="10"/>
  <c r="V77" i="10"/>
  <c r="V78" i="10"/>
  <c r="V79" i="10"/>
  <c r="V80" i="10"/>
  <c r="V15" i="10"/>
  <c r="V19" i="10"/>
  <c r="V123" i="10"/>
  <c r="V124" i="10"/>
  <c r="V125" i="10"/>
  <c r="V121" i="10"/>
  <c r="V122" i="10"/>
  <c r="V126" i="10"/>
  <c r="V127" i="10"/>
  <c r="V128" i="10"/>
  <c r="V129" i="10"/>
  <c r="V130" i="10"/>
  <c r="V131" i="10"/>
  <c r="V132" i="10"/>
  <c r="V133" i="10"/>
  <c r="V134" i="10"/>
  <c r="V117" i="10"/>
  <c r="V120" i="10"/>
  <c r="V135" i="10"/>
  <c r="V136" i="10"/>
  <c r="V137" i="10"/>
  <c r="V138" i="10"/>
  <c r="V139" i="10"/>
  <c r="V140" i="10"/>
  <c r="V141" i="10"/>
  <c r="V142" i="10"/>
  <c r="V143" i="10"/>
  <c r="V118" i="10"/>
  <c r="V119" i="10"/>
  <c r="V144" i="10"/>
  <c r="V145" i="10"/>
  <c r="V146" i="10"/>
  <c r="V147" i="10"/>
  <c r="V148" i="10"/>
  <c r="V149" i="10"/>
  <c r="V150" i="10"/>
  <c r="V151" i="10"/>
  <c r="V152" i="10"/>
  <c r="V154" i="10"/>
  <c r="V155" i="10"/>
  <c r="V156" i="10"/>
  <c r="V157" i="10"/>
  <c r="V158" i="10"/>
  <c r="V159" i="10"/>
  <c r="V160" i="10"/>
  <c r="V161" i="10"/>
  <c r="V153" i="10"/>
  <c r="V162" i="10"/>
  <c r="V163" i="10"/>
  <c r="V164" i="10"/>
  <c r="V165" i="10"/>
  <c r="V166" i="10"/>
  <c r="V167" i="10"/>
  <c r="V168" i="10"/>
  <c r="V169" i="10"/>
  <c r="V3" i="10"/>
  <c r="V4" i="10"/>
  <c r="V5" i="10"/>
  <c r="V6" i="10"/>
  <c r="V7" i="10"/>
  <c r="V8" i="10"/>
  <c r="V9" i="10"/>
  <c r="V10" i="10"/>
  <c r="V16" i="10"/>
  <c r="V17" i="10"/>
  <c r="V18" i="10"/>
  <c r="C17" i="6"/>
  <c r="AZ143" i="10"/>
  <c r="BL143" i="10"/>
  <c r="AZ134" i="10"/>
  <c r="BL134" i="10"/>
  <c r="AY134" i="10"/>
  <c r="BN134" i="10"/>
  <c r="AY125" i="10"/>
  <c r="BN125" i="10"/>
  <c r="AZ125" i="10"/>
  <c r="BL125" i="10"/>
  <c r="AZ45" i="10"/>
  <c r="BL45" i="10"/>
  <c r="AY36" i="10"/>
  <c r="BN36" i="10"/>
  <c r="AZ36" i="10"/>
  <c r="BL36" i="10"/>
  <c r="AY27" i="10"/>
  <c r="BN27" i="10"/>
  <c r="AZ27" i="10"/>
  <c r="BL27" i="10"/>
  <c r="B66" i="7"/>
  <c r="B72" i="7"/>
  <c r="B34" i="7"/>
  <c r="BL169" i="10"/>
  <c r="AZ169" i="10"/>
  <c r="BL168" i="10"/>
  <c r="AZ168" i="10"/>
  <c r="BB168" i="10" s="1"/>
  <c r="BJ168" i="10" s="1"/>
  <c r="BL167" i="10"/>
  <c r="AZ167" i="10"/>
  <c r="BL166" i="10"/>
  <c r="AZ166" i="10"/>
  <c r="BB166" i="10" s="1"/>
  <c r="BJ166" i="10" s="1"/>
  <c r="BL165" i="10"/>
  <c r="AZ165" i="10"/>
  <c r="BB165" i="10" s="1"/>
  <c r="BJ165" i="10" s="1"/>
  <c r="BL164" i="10"/>
  <c r="AZ164" i="10"/>
  <c r="BL163" i="10"/>
  <c r="AZ163" i="10"/>
  <c r="BB163" i="10" s="1"/>
  <c r="BJ163" i="10" s="1"/>
  <c r="BL162" i="10"/>
  <c r="AZ162" i="10"/>
  <c r="BB162" i="10" s="1"/>
  <c r="BJ162" i="10" s="1"/>
  <c r="BL160" i="10"/>
  <c r="AZ160" i="10"/>
  <c r="BB160" i="10" s="1"/>
  <c r="BJ160" i="10" s="1"/>
  <c r="BL159" i="10"/>
  <c r="AZ159" i="10"/>
  <c r="BL158" i="10"/>
  <c r="AZ158" i="10"/>
  <c r="BL157" i="10"/>
  <c r="AZ157" i="10"/>
  <c r="BL156" i="10"/>
  <c r="AZ156" i="10"/>
  <c r="BL155" i="10"/>
  <c r="AZ155" i="10"/>
  <c r="BL154" i="10"/>
  <c r="AZ154" i="10"/>
  <c r="AZ153" i="10"/>
  <c r="BL153" i="10"/>
  <c r="BL151" i="10"/>
  <c r="AZ151" i="10"/>
  <c r="BL150" i="10"/>
  <c r="AZ150" i="10"/>
  <c r="BL149" i="10"/>
  <c r="AZ149" i="10"/>
  <c r="BB149" i="10" s="1"/>
  <c r="BJ149" i="10" s="1"/>
  <c r="BL148" i="10"/>
  <c r="AZ148" i="10"/>
  <c r="BB148" i="10" s="1"/>
  <c r="BJ148" i="10" s="1"/>
  <c r="BL147" i="10"/>
  <c r="AZ147" i="10"/>
  <c r="BL146" i="10"/>
  <c r="AZ146" i="10"/>
  <c r="BL145" i="10"/>
  <c r="AZ145" i="10"/>
  <c r="BB145" i="10" s="1"/>
  <c r="BJ145" i="10" s="1"/>
  <c r="BL144" i="10"/>
  <c r="AZ144" i="10"/>
  <c r="BL142" i="10"/>
  <c r="AZ142" i="10"/>
  <c r="BB142" i="10" s="1"/>
  <c r="BJ142" i="10" s="1"/>
  <c r="BL141" i="10"/>
  <c r="AZ141" i="10"/>
  <c r="BL140" i="10"/>
  <c r="AZ140" i="10"/>
  <c r="BL139" i="10"/>
  <c r="AZ139" i="10"/>
  <c r="BB139" i="10" s="1"/>
  <c r="BJ139" i="10" s="1"/>
  <c r="BL138" i="10"/>
  <c r="AZ138" i="10"/>
  <c r="BL137" i="10"/>
  <c r="AZ137" i="10"/>
  <c r="BL136" i="10"/>
  <c r="AZ136" i="10"/>
  <c r="BL135" i="10"/>
  <c r="AZ135" i="10"/>
  <c r="BL133" i="10"/>
  <c r="AZ133" i="10"/>
  <c r="BL132" i="10"/>
  <c r="AZ132" i="10"/>
  <c r="BB132" i="10" s="1"/>
  <c r="BJ132" i="10" s="1"/>
  <c r="BL131" i="10"/>
  <c r="AZ131" i="10"/>
  <c r="BB131" i="10" s="1"/>
  <c r="BJ131" i="10" s="1"/>
  <c r="BL130" i="10"/>
  <c r="AZ130" i="10"/>
  <c r="BB130" i="10" s="1"/>
  <c r="BJ130" i="10" s="1"/>
  <c r="BL129" i="10"/>
  <c r="AZ129" i="10"/>
  <c r="BL128" i="10"/>
  <c r="AZ128" i="10"/>
  <c r="BL127" i="10"/>
  <c r="AZ127" i="10"/>
  <c r="BL126" i="10"/>
  <c r="AZ126" i="10"/>
  <c r="BL124" i="10"/>
  <c r="AZ124" i="10"/>
  <c r="BL123" i="10"/>
  <c r="AZ123" i="10"/>
  <c r="AZ122" i="10"/>
  <c r="BL122" i="10"/>
  <c r="BL121" i="10"/>
  <c r="AZ121" i="10"/>
  <c r="BL120" i="10"/>
  <c r="AZ120" i="10"/>
  <c r="BL119" i="10"/>
  <c r="AZ119" i="10"/>
  <c r="AZ118" i="10"/>
  <c r="BL118" i="10"/>
  <c r="BL117" i="10"/>
  <c r="AZ117" i="10"/>
  <c r="BL115" i="10"/>
  <c r="AZ115" i="10"/>
  <c r="BL114" i="10"/>
  <c r="AZ114" i="10"/>
  <c r="BL113" i="10"/>
  <c r="AZ113" i="10"/>
  <c r="BB113" i="10" s="1"/>
  <c r="BJ113" i="10" s="1"/>
  <c r="BL112" i="10"/>
  <c r="AZ112" i="10"/>
  <c r="BL111" i="10"/>
  <c r="AZ111" i="10"/>
  <c r="BB111" i="10" s="1"/>
  <c r="BJ111" i="10" s="1"/>
  <c r="BL110" i="10"/>
  <c r="AZ110" i="10"/>
  <c r="BL109" i="10"/>
  <c r="AZ109" i="10"/>
  <c r="BB109" i="10" s="1"/>
  <c r="BJ109" i="10" s="1"/>
  <c r="BL108" i="10"/>
  <c r="AZ108" i="10"/>
  <c r="BL107" i="10"/>
  <c r="AZ107" i="10"/>
  <c r="BL106" i="10"/>
  <c r="AZ106" i="10"/>
  <c r="BL105" i="10"/>
  <c r="AZ105" i="10"/>
  <c r="BL104" i="10"/>
  <c r="AZ104" i="10"/>
  <c r="BL103" i="10"/>
  <c r="AZ103" i="10"/>
  <c r="BL102" i="10"/>
  <c r="AZ102" i="10"/>
  <c r="BL101" i="10"/>
  <c r="AZ101" i="10"/>
  <c r="BL100" i="10"/>
  <c r="AZ100" i="10"/>
  <c r="BL99" i="10"/>
  <c r="AZ99" i="10"/>
  <c r="BL98" i="10"/>
  <c r="AZ98" i="10"/>
  <c r="BL97" i="10"/>
  <c r="AZ97" i="10"/>
  <c r="BL96" i="10"/>
  <c r="AZ96" i="10"/>
  <c r="BB96" i="10" s="1"/>
  <c r="BJ96" i="10" s="1"/>
  <c r="BL95" i="10"/>
  <c r="AZ95" i="10"/>
  <c r="BB95" i="10" s="1"/>
  <c r="BJ95" i="10" s="1"/>
  <c r="BL94" i="10"/>
  <c r="AZ94" i="10"/>
  <c r="BB94" i="10" s="1"/>
  <c r="BJ94" i="10" s="1"/>
  <c r="BL93" i="10"/>
  <c r="AZ93" i="10"/>
  <c r="BL92" i="10"/>
  <c r="AZ92" i="10"/>
  <c r="BB92" i="10" s="1"/>
  <c r="BJ92" i="10" s="1"/>
  <c r="BL91" i="10"/>
  <c r="AZ91" i="10"/>
  <c r="BL90" i="10"/>
  <c r="AZ90" i="10"/>
  <c r="BL89" i="10"/>
  <c r="AZ89" i="10"/>
  <c r="BB89" i="10" s="1"/>
  <c r="BJ89" i="10" s="1"/>
  <c r="BL88" i="10"/>
  <c r="AZ88" i="10"/>
  <c r="BL87" i="10"/>
  <c r="AZ87" i="10"/>
  <c r="BL86" i="10"/>
  <c r="AZ86" i="10"/>
  <c r="BL85" i="10"/>
  <c r="AZ85" i="10"/>
  <c r="BB85" i="10" s="1"/>
  <c r="BJ85" i="10" s="1"/>
  <c r="BL84" i="10"/>
  <c r="AZ84" i="10"/>
  <c r="BL83" i="10"/>
  <c r="AZ83" i="10"/>
  <c r="BL82" i="10"/>
  <c r="AZ82" i="10"/>
  <c r="BL81" i="10"/>
  <c r="AZ81" i="10"/>
  <c r="BL80" i="10"/>
  <c r="AZ80" i="10"/>
  <c r="BL79" i="10"/>
  <c r="AZ79" i="10"/>
  <c r="BL78" i="10"/>
  <c r="AZ78" i="10"/>
  <c r="BB78" i="10" s="1"/>
  <c r="BJ78" i="10" s="1"/>
  <c r="BL77" i="10"/>
  <c r="AZ77" i="10"/>
  <c r="BL76" i="10"/>
  <c r="AZ76" i="10"/>
  <c r="BL75" i="10"/>
  <c r="AZ75" i="10"/>
  <c r="BL74" i="10"/>
  <c r="AZ74" i="10"/>
  <c r="BL73" i="10"/>
  <c r="AZ73" i="10"/>
  <c r="BL72" i="10"/>
  <c r="AZ72" i="10"/>
  <c r="BL71" i="10"/>
  <c r="AZ71" i="10"/>
  <c r="BL70" i="10"/>
  <c r="AZ70" i="10"/>
  <c r="BL69" i="10"/>
  <c r="AZ69" i="10"/>
  <c r="BL68" i="10"/>
  <c r="AZ68" i="10"/>
  <c r="BL67" i="10"/>
  <c r="AZ67" i="10"/>
  <c r="BL66" i="10"/>
  <c r="AZ66" i="10"/>
  <c r="BL64" i="10"/>
  <c r="AZ64" i="10"/>
  <c r="BL62" i="10"/>
  <c r="AZ62" i="10"/>
  <c r="BL61" i="10"/>
  <c r="AZ61" i="10"/>
  <c r="BL60" i="10"/>
  <c r="AZ60" i="10"/>
  <c r="BL59" i="10"/>
  <c r="AZ59" i="10"/>
  <c r="BL58" i="10"/>
  <c r="AZ58" i="10"/>
  <c r="BL57" i="10"/>
  <c r="AZ57" i="10"/>
  <c r="BB57" i="10" s="1"/>
  <c r="BJ57" i="10" s="1"/>
  <c r="BL55" i="10"/>
  <c r="AZ55" i="10"/>
  <c r="BL53" i="10"/>
  <c r="AZ53" i="10"/>
  <c r="BL52" i="10"/>
  <c r="AZ52" i="10"/>
  <c r="BL51" i="10"/>
  <c r="AZ51" i="10"/>
  <c r="BL50" i="10"/>
  <c r="AZ50" i="10"/>
  <c r="BB50" i="10" s="1"/>
  <c r="BJ50" i="10" s="1"/>
  <c r="BL49" i="10"/>
  <c r="AZ49" i="10"/>
  <c r="BL48" i="10"/>
  <c r="AZ48" i="10"/>
  <c r="BL47" i="10"/>
  <c r="AZ47" i="10"/>
  <c r="BL46" i="10"/>
  <c r="AZ46" i="10"/>
  <c r="BB46" i="10" s="1"/>
  <c r="BJ46" i="10" s="1"/>
  <c r="BL44" i="10"/>
  <c r="AZ44" i="10"/>
  <c r="BL43" i="10"/>
  <c r="AZ43" i="10"/>
  <c r="BL42" i="10"/>
  <c r="AZ42" i="10"/>
  <c r="BL41" i="10"/>
  <c r="AZ41" i="10"/>
  <c r="BL40" i="10"/>
  <c r="AZ40" i="10"/>
  <c r="BL39" i="10"/>
  <c r="AZ39" i="10"/>
  <c r="BL37" i="10"/>
  <c r="AZ37" i="10"/>
  <c r="BB37" i="10" s="1"/>
  <c r="BJ37" i="10" s="1"/>
  <c r="BL35" i="10"/>
  <c r="AZ35" i="10"/>
  <c r="BL34" i="10"/>
  <c r="AZ34" i="10"/>
  <c r="BL33" i="10"/>
  <c r="AZ33" i="10"/>
  <c r="BL32" i="10"/>
  <c r="AZ32" i="10"/>
  <c r="BL31" i="10"/>
  <c r="AZ31" i="10"/>
  <c r="BB31" i="10" s="1"/>
  <c r="BJ31" i="10" s="1"/>
  <c r="BL30" i="10"/>
  <c r="AZ30" i="10"/>
  <c r="BL28" i="10"/>
  <c r="AZ28" i="10"/>
  <c r="BL26" i="10"/>
  <c r="AZ26" i="10"/>
  <c r="BL25" i="10"/>
  <c r="AZ25" i="10"/>
  <c r="BL24" i="10"/>
  <c r="AZ24" i="10"/>
  <c r="BL23" i="10"/>
  <c r="AZ23" i="10"/>
  <c r="BL22" i="10"/>
  <c r="AZ22" i="10"/>
  <c r="BL21" i="10"/>
  <c r="AZ21" i="10"/>
  <c r="BL19" i="10"/>
  <c r="AZ19" i="10"/>
  <c r="BL18" i="10"/>
  <c r="AZ18" i="10"/>
  <c r="BL17" i="10"/>
  <c r="AZ17" i="10"/>
  <c r="BL16" i="10"/>
  <c r="AZ16" i="10"/>
  <c r="BB16" i="10" s="1"/>
  <c r="BJ16" i="10" s="1"/>
  <c r="BL15" i="10"/>
  <c r="AZ15" i="10"/>
  <c r="BL14" i="10"/>
  <c r="AZ14" i="10"/>
  <c r="BB14" i="10" s="1"/>
  <c r="BJ14" i="10" s="1"/>
  <c r="AZ13" i="10"/>
  <c r="BL13" i="10"/>
  <c r="AZ12" i="10"/>
  <c r="BL12" i="10"/>
  <c r="AZ11" i="10"/>
  <c r="BB11" i="10" s="1"/>
  <c r="BJ11" i="10" s="1"/>
  <c r="BL11" i="10"/>
  <c r="AZ10" i="10"/>
  <c r="BL10" i="10"/>
  <c r="BL9" i="10"/>
  <c r="AZ9" i="10"/>
  <c r="BL8" i="10"/>
  <c r="AZ8" i="10"/>
  <c r="BL7" i="10"/>
  <c r="AZ7" i="10"/>
  <c r="BL6" i="10"/>
  <c r="AZ6" i="10"/>
  <c r="BB6" i="10" s="1"/>
  <c r="BJ6" i="10" s="1"/>
  <c r="BL5" i="10"/>
  <c r="AZ5" i="10"/>
  <c r="BL4" i="10"/>
  <c r="AZ4" i="10"/>
  <c r="BL3" i="10"/>
  <c r="AZ3" i="10"/>
  <c r="BL2" i="10"/>
  <c r="AZ2" i="10"/>
  <c r="M36" i="7"/>
  <c r="L38" i="7"/>
  <c r="N36" i="7"/>
  <c r="L37" i="7"/>
  <c r="N37" i="7"/>
  <c r="M38" i="7"/>
  <c r="L36" i="7"/>
  <c r="N35" i="7"/>
  <c r="M37" i="7"/>
  <c r="N38" i="7"/>
  <c r="L35" i="7"/>
  <c r="M35" i="7"/>
  <c r="AY143" i="10"/>
  <c r="AY83" i="10"/>
  <c r="AY53" i="10"/>
  <c r="AY157" i="10"/>
  <c r="AY156" i="10"/>
  <c r="AY151" i="10"/>
  <c r="AY127" i="10"/>
  <c r="AY115" i="10"/>
  <c r="AY169" i="10"/>
  <c r="AY128" i="10"/>
  <c r="AY40" i="10"/>
  <c r="AY155" i="10"/>
  <c r="AY154" i="10"/>
  <c r="AY129" i="10"/>
  <c r="AY102" i="10"/>
  <c r="AY55" i="10"/>
  <c r="AY150" i="10"/>
  <c r="AY140" i="10"/>
  <c r="AY80" i="10"/>
  <c r="AY137" i="10"/>
  <c r="AY136" i="10"/>
  <c r="AY135" i="10"/>
  <c r="AY133" i="10"/>
  <c r="AY93" i="10"/>
  <c r="AY122" i="10"/>
  <c r="AY121" i="10"/>
  <c r="AY120" i="10"/>
  <c r="AY119" i="10"/>
  <c r="AY118" i="10"/>
  <c r="AY110" i="10"/>
  <c r="AY108" i="10"/>
  <c r="AY107" i="10"/>
  <c r="AY106" i="10"/>
  <c r="AY104" i="10"/>
  <c r="AY88" i="10"/>
  <c r="AY101" i="10"/>
  <c r="AY100" i="10"/>
  <c r="AY98" i="10"/>
  <c r="AY90" i="10"/>
  <c r="AY77" i="10"/>
  <c r="AY76" i="10"/>
  <c r="AY74" i="10"/>
  <c r="AY73" i="10"/>
  <c r="AY72" i="10"/>
  <c r="AY68" i="10"/>
  <c r="AY67" i="10"/>
  <c r="AY66" i="10"/>
  <c r="AY64" i="10"/>
  <c r="AY59" i="10"/>
  <c r="AY58" i="10"/>
  <c r="AY51" i="10"/>
  <c r="AY43" i="10"/>
  <c r="AY39" i="10"/>
  <c r="AY35" i="10"/>
  <c r="AY30" i="10"/>
  <c r="AY26" i="10"/>
  <c r="AY25" i="10"/>
  <c r="AY23" i="10"/>
  <c r="AY21" i="10"/>
  <c r="AY12" i="10"/>
  <c r="AY10" i="10"/>
  <c r="AY9" i="10"/>
  <c r="AY5" i="10"/>
  <c r="AY4" i="10"/>
  <c r="AY3" i="10"/>
  <c r="AY2" i="10"/>
  <c r="V65" i="10"/>
  <c r="V67" i="10"/>
  <c r="V69" i="10"/>
  <c r="V70" i="10"/>
  <c r="V72" i="10"/>
  <c r="V73" i="10"/>
  <c r="V81" i="10"/>
  <c r="V82" i="10"/>
  <c r="V83" i="10"/>
  <c r="V84" i="10"/>
  <c r="V85" i="10"/>
  <c r="V86" i="10"/>
  <c r="V87" i="10"/>
  <c r="V88" i="10"/>
  <c r="V89" i="10"/>
  <c r="V11" i="10"/>
  <c r="V12" i="10"/>
  <c r="V13" i="10"/>
  <c r="V66" i="10"/>
  <c r="V91" i="10"/>
  <c r="V92" i="10"/>
  <c r="V93" i="10"/>
  <c r="V94" i="10"/>
  <c r="V95" i="10"/>
  <c r="V96" i="10"/>
  <c r="V97" i="10"/>
  <c r="V98" i="10"/>
  <c r="V99" i="10"/>
  <c r="V100" i="10"/>
  <c r="V101" i="10"/>
  <c r="V102" i="10"/>
  <c r="V103" i="10"/>
  <c r="V104" i="10"/>
  <c r="V105" i="10"/>
  <c r="V106" i="10"/>
  <c r="V107" i="10"/>
  <c r="V2" i="10"/>
  <c r="V64" i="10"/>
  <c r="V90" i="10"/>
  <c r="V108" i="10"/>
  <c r="V109" i="10"/>
  <c r="V110" i="10"/>
  <c r="V111" i="10"/>
  <c r="V112" i="10"/>
  <c r="V113" i="10"/>
  <c r="V114" i="10"/>
  <c r="V115" i="10"/>
  <c r="V116" i="10"/>
  <c r="B36" i="7" l="1"/>
  <c r="E37" i="7" s="1"/>
  <c r="C50" i="6"/>
  <c r="BB167" i="10"/>
  <c r="BJ167" i="10" s="1"/>
  <c r="BB112" i="10"/>
  <c r="BJ112" i="10" s="1"/>
  <c r="BB87" i="10"/>
  <c r="BJ87" i="10" s="1"/>
  <c r="BB153" i="10"/>
  <c r="BJ153" i="10" s="1"/>
  <c r="BB126" i="10"/>
  <c r="BJ126" i="10" s="1"/>
  <c r="BB124" i="10"/>
  <c r="BJ124" i="10" s="1"/>
  <c r="BB15" i="10"/>
  <c r="BJ15" i="10" s="1"/>
  <c r="BB164" i="10"/>
  <c r="BJ164" i="10" s="1"/>
  <c r="BB158" i="10"/>
  <c r="BJ158" i="10" s="1"/>
  <c r="BB7" i="10"/>
  <c r="BJ7" i="10" s="1"/>
  <c r="BB159" i="10"/>
  <c r="BJ159" i="10" s="1"/>
  <c r="BB141" i="10"/>
  <c r="BJ141" i="10" s="1"/>
  <c r="BB105" i="10"/>
  <c r="BJ105" i="10" s="1"/>
  <c r="BB91" i="10"/>
  <c r="BJ91" i="10" s="1"/>
  <c r="BB82" i="10"/>
  <c r="BJ82" i="10" s="1"/>
  <c r="BB81" i="10"/>
  <c r="BJ81" i="10" s="1"/>
  <c r="BB70" i="10"/>
  <c r="BJ70" i="10" s="1"/>
  <c r="BB49" i="10"/>
  <c r="BJ49" i="10" s="1"/>
  <c r="BB48" i="10"/>
  <c r="BJ48" i="10" s="1"/>
  <c r="BB47" i="10"/>
  <c r="BJ47" i="10" s="1"/>
  <c r="BB34" i="10"/>
  <c r="BJ34" i="10" s="1"/>
  <c r="BB33" i="10"/>
  <c r="BJ33" i="10" s="1"/>
  <c r="BB32" i="10"/>
  <c r="BJ32" i="10" s="1"/>
  <c r="BB17" i="10"/>
  <c r="BJ17" i="10" s="1"/>
  <c r="BB152" i="10"/>
  <c r="BJ152" i="10" s="1"/>
  <c r="BB71" i="10"/>
  <c r="BJ71" i="10" s="1"/>
  <c r="BB99" i="10"/>
  <c r="BJ99" i="10" s="1"/>
  <c r="BB63" i="10"/>
  <c r="BJ63" i="10" s="1"/>
  <c r="BB117" i="10"/>
  <c r="BJ117" i="10" s="1"/>
  <c r="BB22" i="10"/>
  <c r="BJ22" i="10" s="1"/>
  <c r="BB13" i="10"/>
  <c r="BJ13" i="10" s="1"/>
  <c r="BB38" i="10"/>
  <c r="BJ38" i="10" s="1"/>
  <c r="BB61" i="10"/>
  <c r="BJ61" i="10" s="1"/>
  <c r="B41" i="7"/>
  <c r="E45" i="7" s="1"/>
  <c r="C58" i="6"/>
  <c r="BB45" i="10"/>
  <c r="BJ45" i="10" s="1"/>
  <c r="BB138" i="10"/>
  <c r="BJ138" i="10" s="1"/>
  <c r="BB123" i="10"/>
  <c r="BJ123" i="10" s="1"/>
  <c r="BB114" i="10"/>
  <c r="BJ114" i="10" s="1"/>
  <c r="BB62" i="10"/>
  <c r="BJ62" i="10" s="1"/>
  <c r="BB8" i="10"/>
  <c r="BJ8" i="10" s="1"/>
  <c r="BB79" i="10"/>
  <c r="BJ79" i="10" s="1"/>
  <c r="BB19" i="10"/>
  <c r="BJ19" i="10" s="1"/>
  <c r="BB60" i="10"/>
  <c r="BJ60" i="10" s="1"/>
  <c r="BB52" i="10"/>
  <c r="BJ52" i="10" s="1"/>
  <c r="BB44" i="10"/>
  <c r="BJ44" i="10" s="1"/>
  <c r="BB42" i="10"/>
  <c r="BJ42" i="10" s="1"/>
  <c r="BB41" i="10"/>
  <c r="BJ41" i="10" s="1"/>
  <c r="BB28" i="10"/>
  <c r="BJ28" i="10" s="1"/>
  <c r="BB24" i="10"/>
  <c r="BJ24" i="10" s="1"/>
  <c r="E51" i="7"/>
  <c r="BB29" i="10"/>
  <c r="BJ29" i="10" s="1"/>
  <c r="BB56" i="10"/>
  <c r="BJ56" i="10" s="1"/>
  <c r="BB53" i="10"/>
  <c r="BJ53" i="10" s="1"/>
  <c r="BB155" i="10"/>
  <c r="BJ155" i="10" s="1"/>
  <c r="BB20" i="10"/>
  <c r="BJ20" i="10" s="1"/>
  <c r="BB116" i="10"/>
  <c r="BJ116" i="10" s="1"/>
  <c r="BB65" i="10"/>
  <c r="BJ65" i="10" s="1"/>
  <c r="BB144" i="10"/>
  <c r="BJ144" i="10" s="1"/>
  <c r="BB103" i="10"/>
  <c r="BJ103" i="10" s="1"/>
  <c r="BB97" i="10"/>
  <c r="BJ97" i="10" s="1"/>
  <c r="BB86" i="10"/>
  <c r="BJ86" i="10" s="1"/>
  <c r="BB84" i="10"/>
  <c r="BJ84" i="10" s="1"/>
  <c r="BB69" i="10"/>
  <c r="BJ69" i="10" s="1"/>
  <c r="BB18" i="10"/>
  <c r="BJ18" i="10" s="1"/>
  <c r="BB83" i="10"/>
  <c r="BJ83" i="10" s="1"/>
  <c r="BB151" i="10"/>
  <c r="BJ151" i="10" s="1"/>
  <c r="BB127" i="10"/>
  <c r="BJ127" i="10" s="1"/>
  <c r="BB115" i="10"/>
  <c r="BJ115" i="10" s="1"/>
  <c r="BB128" i="10"/>
  <c r="BJ128" i="10" s="1"/>
  <c r="BB40" i="10"/>
  <c r="BJ40" i="10" s="1"/>
  <c r="BB147" i="10"/>
  <c r="BJ147" i="10" s="1"/>
  <c r="BB146" i="10"/>
  <c r="BJ146" i="10" s="1"/>
  <c r="B46" i="7"/>
  <c r="E48" i="7" s="1"/>
  <c r="E52" i="7" s="1"/>
  <c r="C61" i="6"/>
  <c r="AJ21" i="10"/>
  <c r="BI21" i="10" s="1"/>
  <c r="BC21" i="10"/>
  <c r="BK21" i="10" s="1"/>
  <c r="BE21" i="10"/>
  <c r="BG21" i="10" s="1"/>
  <c r="BO21" i="10" s="1"/>
  <c r="BS21" i="10" s="1"/>
  <c r="BD21" i="10"/>
  <c r="BF21" i="10" s="1"/>
  <c r="BM21" i="10" s="1"/>
  <c r="BR21" i="10" s="1"/>
  <c r="BD22" i="10"/>
  <c r="BF22" i="10" s="1"/>
  <c r="BM22" i="10" s="1"/>
  <c r="BR22" i="10" s="1"/>
  <c r="BE22" i="10"/>
  <c r="BG22" i="10" s="1"/>
  <c r="BO22" i="10" s="1"/>
  <c r="BS22" i="10" s="1"/>
  <c r="AJ22" i="10"/>
  <c r="BI22" i="10" s="1"/>
  <c r="BC22" i="10"/>
  <c r="BK22" i="10" s="1"/>
  <c r="BD23" i="10"/>
  <c r="BF23" i="10" s="1"/>
  <c r="BM23" i="10" s="1"/>
  <c r="BR23" i="10" s="1"/>
  <c r="BE23" i="10"/>
  <c r="BG23" i="10" s="1"/>
  <c r="BO23" i="10" s="1"/>
  <c r="BS23" i="10" s="1"/>
  <c r="AJ23" i="10"/>
  <c r="BI23" i="10" s="1"/>
  <c r="BC23" i="10"/>
  <c r="BK23" i="10" s="1"/>
  <c r="AJ24" i="10"/>
  <c r="BI24" i="10" s="1"/>
  <c r="BC24" i="10"/>
  <c r="BK24" i="10" s="1"/>
  <c r="BD24" i="10"/>
  <c r="BF24" i="10" s="1"/>
  <c r="BM24" i="10" s="1"/>
  <c r="BR24" i="10" s="1"/>
  <c r="BE24" i="10"/>
  <c r="BG24" i="10" s="1"/>
  <c r="BO24" i="10" s="1"/>
  <c r="BS24" i="10" s="1"/>
  <c r="AJ25" i="10"/>
  <c r="BI25" i="10" s="1"/>
  <c r="BD25" i="10"/>
  <c r="BF25" i="10" s="1"/>
  <c r="BM25" i="10" s="1"/>
  <c r="BR25" i="10" s="1"/>
  <c r="BE25" i="10"/>
  <c r="BG25" i="10" s="1"/>
  <c r="BO25" i="10" s="1"/>
  <c r="BS25" i="10" s="1"/>
  <c r="BC25" i="10"/>
  <c r="BK25" i="10" s="1"/>
  <c r="AJ26" i="10"/>
  <c r="BI26" i="10" s="1"/>
  <c r="BD26" i="10"/>
  <c r="BF26" i="10" s="1"/>
  <c r="BM26" i="10" s="1"/>
  <c r="BR26" i="10" s="1"/>
  <c r="BE26" i="10"/>
  <c r="BG26" i="10" s="1"/>
  <c r="BO26" i="10" s="1"/>
  <c r="BS26" i="10" s="1"/>
  <c r="BC26" i="10"/>
  <c r="BK26" i="10" s="1"/>
  <c r="AJ27" i="10"/>
  <c r="BI27" i="10" s="1"/>
  <c r="BP27" i="10" s="1"/>
  <c r="BC27" i="10"/>
  <c r="BK27" i="10" s="1"/>
  <c r="BD27" i="10"/>
  <c r="BF27" i="10" s="1"/>
  <c r="BM27" i="10" s="1"/>
  <c r="BR27" i="10" s="1"/>
  <c r="BE27" i="10"/>
  <c r="BG27" i="10" s="1"/>
  <c r="BO27" i="10" s="1"/>
  <c r="BS27" i="10" s="1"/>
  <c r="BC28" i="10"/>
  <c r="BK28" i="10" s="1"/>
  <c r="BD28" i="10"/>
  <c r="BF28" i="10" s="1"/>
  <c r="BM28" i="10" s="1"/>
  <c r="BR28" i="10" s="1"/>
  <c r="BE28" i="10"/>
  <c r="BG28" i="10" s="1"/>
  <c r="BO28" i="10" s="1"/>
  <c r="BS28" i="10" s="1"/>
  <c r="AJ28" i="10"/>
  <c r="BI28" i="10" s="1"/>
  <c r="AJ29" i="10"/>
  <c r="BI29" i="10" s="1"/>
  <c r="BC29" i="10"/>
  <c r="BK29" i="10" s="1"/>
  <c r="BB75" i="10"/>
  <c r="BJ75" i="10" s="1"/>
  <c r="BB154" i="10"/>
  <c r="BJ154" i="10" s="1"/>
  <c r="BB129" i="10"/>
  <c r="BJ129" i="10" s="1"/>
  <c r="BB102" i="10"/>
  <c r="BJ102" i="10" s="1"/>
  <c r="BB55" i="10"/>
  <c r="BJ55" i="10" s="1"/>
  <c r="BB150" i="10"/>
  <c r="BJ150" i="10" s="1"/>
  <c r="BB140" i="10"/>
  <c r="BJ140" i="10" s="1"/>
  <c r="BB80" i="10"/>
  <c r="BJ80" i="10" s="1"/>
  <c r="BB137" i="10"/>
  <c r="BJ137" i="10" s="1"/>
  <c r="BB136" i="10"/>
  <c r="BJ136" i="10" s="1"/>
  <c r="BB135" i="10"/>
  <c r="BJ135" i="10" s="1"/>
  <c r="BB133" i="10"/>
  <c r="BJ133" i="10" s="1"/>
  <c r="BB93" i="10"/>
  <c r="BJ93" i="10" s="1"/>
  <c r="BB122" i="10"/>
  <c r="BJ122" i="10" s="1"/>
  <c r="BB121" i="10"/>
  <c r="BJ121" i="10" s="1"/>
  <c r="BB120" i="10"/>
  <c r="BJ120" i="10" s="1"/>
  <c r="BB119" i="10"/>
  <c r="BJ119" i="10" s="1"/>
  <c r="BB118" i="10"/>
  <c r="BJ118" i="10" s="1"/>
  <c r="BB110" i="10"/>
  <c r="BJ110" i="10" s="1"/>
  <c r="BB108" i="10"/>
  <c r="BJ108" i="10" s="1"/>
  <c r="BB107" i="10"/>
  <c r="BJ107" i="10" s="1"/>
  <c r="BB106" i="10"/>
  <c r="BJ106" i="10" s="1"/>
  <c r="BB104" i="10"/>
  <c r="BJ104" i="10" s="1"/>
  <c r="BB88" i="10"/>
  <c r="BJ88" i="10" s="1"/>
  <c r="BB101" i="10"/>
  <c r="BJ101" i="10" s="1"/>
  <c r="BB100" i="10"/>
  <c r="BJ100" i="10" s="1"/>
  <c r="BB98" i="10"/>
  <c r="BJ98" i="10" s="1"/>
  <c r="BB90" i="10"/>
  <c r="BJ90" i="10" s="1"/>
  <c r="BB77" i="10"/>
  <c r="BJ77" i="10" s="1"/>
  <c r="BB76" i="10"/>
  <c r="BJ76" i="10" s="1"/>
  <c r="BB74" i="10"/>
  <c r="BJ74" i="10" s="1"/>
  <c r="BB73" i="10"/>
  <c r="BJ73" i="10" s="1"/>
  <c r="BB72" i="10"/>
  <c r="BJ72" i="10" s="1"/>
  <c r="BB68" i="10"/>
  <c r="BJ68" i="10" s="1"/>
  <c r="BB67" i="10"/>
  <c r="BJ67" i="10" s="1"/>
  <c r="BB66" i="10"/>
  <c r="BJ66" i="10" s="1"/>
  <c r="BB64" i="10"/>
  <c r="BJ64" i="10" s="1"/>
  <c r="BB59" i="10"/>
  <c r="BJ59" i="10" s="1"/>
  <c r="BB58" i="10"/>
  <c r="BJ58" i="10" s="1"/>
  <c r="BB51" i="10"/>
  <c r="BJ51" i="10" s="1"/>
  <c r="BB43" i="10"/>
  <c r="BJ43" i="10" s="1"/>
  <c r="BB39" i="10"/>
  <c r="BJ39" i="10" s="1"/>
  <c r="BB35" i="10"/>
  <c r="BJ35" i="10" s="1"/>
  <c r="BB30" i="10"/>
  <c r="BJ30" i="10" s="1"/>
  <c r="BB26" i="10"/>
  <c r="BJ26" i="10" s="1"/>
  <c r="BB25" i="10"/>
  <c r="BJ25" i="10" s="1"/>
  <c r="BB23" i="10"/>
  <c r="BJ23" i="10" s="1"/>
  <c r="BB21" i="10"/>
  <c r="BJ21" i="10" s="1"/>
  <c r="BB12" i="10"/>
  <c r="BJ12" i="10" s="1"/>
  <c r="BB10" i="10"/>
  <c r="BJ10" i="10" s="1"/>
  <c r="BB9" i="10"/>
  <c r="BJ9" i="10" s="1"/>
  <c r="BB5" i="10"/>
  <c r="BJ5" i="10" s="1"/>
  <c r="BB4" i="10"/>
  <c r="BJ4" i="10" s="1"/>
  <c r="BB3" i="10"/>
  <c r="BJ3" i="10" s="1"/>
  <c r="BB2" i="10"/>
  <c r="BJ2" i="10" s="1"/>
  <c r="BD29" i="10"/>
  <c r="BF29" i="10" s="1"/>
  <c r="BM29" i="10" s="1"/>
  <c r="BR29" i="10" s="1"/>
  <c r="BE29" i="10"/>
  <c r="BG29" i="10" s="1"/>
  <c r="BO29" i="10" s="1"/>
  <c r="BS29" i="10" s="1"/>
  <c r="AJ30" i="10"/>
  <c r="BI30" i="10" s="1"/>
  <c r="BC30" i="10"/>
  <c r="BK30" i="10" s="1"/>
  <c r="BD30" i="10"/>
  <c r="BF30" i="10" s="1"/>
  <c r="BM30" i="10" s="1"/>
  <c r="BR30" i="10" s="1"/>
  <c r="BE30" i="10"/>
  <c r="BG30" i="10" s="1"/>
  <c r="BO30" i="10" s="1"/>
  <c r="BS30" i="10" s="1"/>
  <c r="AJ31" i="10"/>
  <c r="BI31" i="10" s="1"/>
  <c r="BC31" i="10"/>
  <c r="BK31" i="10" s="1"/>
  <c r="BQ31" i="10" s="1"/>
  <c r="BD31" i="10"/>
  <c r="BF31" i="10" s="1"/>
  <c r="BM31" i="10" s="1"/>
  <c r="BR31" i="10" s="1"/>
  <c r="BE31" i="10"/>
  <c r="BG31" i="10" s="1"/>
  <c r="BO31" i="10" s="1"/>
  <c r="BS31" i="10" s="1"/>
  <c r="AJ32" i="10"/>
  <c r="BI32" i="10" s="1"/>
  <c r="BC32" i="10"/>
  <c r="BK32" i="10" s="1"/>
  <c r="BD32" i="10"/>
  <c r="BF32" i="10" s="1"/>
  <c r="BM32" i="10" s="1"/>
  <c r="BR32" i="10" s="1"/>
  <c r="BE32" i="10"/>
  <c r="BG32" i="10" s="1"/>
  <c r="BO32" i="10" s="1"/>
  <c r="BS32" i="10" s="1"/>
  <c r="AJ33" i="10"/>
  <c r="BI33" i="10" s="1"/>
  <c r="BC33" i="10"/>
  <c r="BK33" i="10" s="1"/>
  <c r="BD33" i="10"/>
  <c r="BF33" i="10" s="1"/>
  <c r="BM33" i="10" s="1"/>
  <c r="BR33" i="10" s="1"/>
  <c r="BE33" i="10"/>
  <c r="BG33" i="10" s="1"/>
  <c r="BO33" i="10" s="1"/>
  <c r="BS33" i="10" s="1"/>
  <c r="AJ34" i="10"/>
  <c r="BI34" i="10" s="1"/>
  <c r="BC34" i="10"/>
  <c r="BK34" i="10" s="1"/>
  <c r="BD34" i="10"/>
  <c r="BF34" i="10" s="1"/>
  <c r="BM34" i="10" s="1"/>
  <c r="BR34" i="10" s="1"/>
  <c r="BE34" i="10"/>
  <c r="BG34" i="10" s="1"/>
  <c r="BO34" i="10" s="1"/>
  <c r="BS34" i="10" s="1"/>
  <c r="AJ35" i="10"/>
  <c r="BI35" i="10" s="1"/>
  <c r="BC35" i="10"/>
  <c r="BK35" i="10" s="1"/>
  <c r="BD35" i="10"/>
  <c r="BF35" i="10" s="1"/>
  <c r="BM35" i="10" s="1"/>
  <c r="BR35" i="10" s="1"/>
  <c r="BE35" i="10"/>
  <c r="BG35" i="10" s="1"/>
  <c r="BO35" i="10" s="1"/>
  <c r="BS35" i="10" s="1"/>
  <c r="AJ36" i="10"/>
  <c r="BI36" i="10" s="1"/>
  <c r="BP36" i="10" s="1"/>
  <c r="BC36" i="10"/>
  <c r="BK36" i="10" s="1"/>
  <c r="BD36" i="10"/>
  <c r="BF36" i="10" s="1"/>
  <c r="BM36" i="10" s="1"/>
  <c r="BR36" i="10" s="1"/>
  <c r="BE36" i="10"/>
  <c r="BG36" i="10" s="1"/>
  <c r="BO36" i="10" s="1"/>
  <c r="BS36" i="10" s="1"/>
  <c r="AJ20" i="10"/>
  <c r="BI20" i="10" s="1"/>
  <c r="BC20" i="10"/>
  <c r="BK20" i="10" s="1"/>
  <c r="BD20" i="10"/>
  <c r="BF20" i="10" s="1"/>
  <c r="BM20" i="10" s="1"/>
  <c r="BR20" i="10" s="1"/>
  <c r="BE20" i="10"/>
  <c r="BG20" i="10" s="1"/>
  <c r="BO20" i="10" s="1"/>
  <c r="BS20" i="10" s="1"/>
  <c r="AJ37" i="10"/>
  <c r="BI37" i="10" s="1"/>
  <c r="BC37" i="10"/>
  <c r="BK37" i="10" s="1"/>
  <c r="BQ37" i="10" s="1"/>
  <c r="BD37" i="10"/>
  <c r="BF37" i="10" s="1"/>
  <c r="BM37" i="10" s="1"/>
  <c r="BR37" i="10" s="1"/>
  <c r="BE37" i="10"/>
  <c r="BG37" i="10" s="1"/>
  <c r="BO37" i="10" s="1"/>
  <c r="BS37" i="10" s="1"/>
  <c r="AJ38" i="10"/>
  <c r="BI38" i="10" s="1"/>
  <c r="BC38" i="10"/>
  <c r="BK38" i="10" s="1"/>
  <c r="BD38" i="10"/>
  <c r="BF38" i="10" s="1"/>
  <c r="BM38" i="10" s="1"/>
  <c r="BR38" i="10" s="1"/>
  <c r="BE38" i="10"/>
  <c r="BG38" i="10" s="1"/>
  <c r="BO38" i="10" s="1"/>
  <c r="BS38" i="10" s="1"/>
  <c r="AJ39" i="10"/>
  <c r="BI39" i="10" s="1"/>
  <c r="BC39" i="10"/>
  <c r="BK39" i="10" s="1"/>
  <c r="BD39" i="10"/>
  <c r="BF39" i="10" s="1"/>
  <c r="BM39" i="10" s="1"/>
  <c r="BR39" i="10" s="1"/>
  <c r="BE39" i="10"/>
  <c r="BG39" i="10" s="1"/>
  <c r="BO39" i="10" s="1"/>
  <c r="BS39" i="10" s="1"/>
  <c r="AJ40" i="10"/>
  <c r="BI40" i="10" s="1"/>
  <c r="BC40" i="10"/>
  <c r="BK40" i="10" s="1"/>
  <c r="BD40" i="10"/>
  <c r="BF40" i="10" s="1"/>
  <c r="BM40" i="10" s="1"/>
  <c r="BR40" i="10" s="1"/>
  <c r="BE40" i="10"/>
  <c r="BG40" i="10" s="1"/>
  <c r="BO40" i="10" s="1"/>
  <c r="BS40" i="10" s="1"/>
  <c r="AJ41" i="10"/>
  <c r="BI41" i="10" s="1"/>
  <c r="BC41" i="10"/>
  <c r="BK41" i="10" s="1"/>
  <c r="BD41" i="10"/>
  <c r="BF41" i="10" s="1"/>
  <c r="BM41" i="10" s="1"/>
  <c r="BR41" i="10" s="1"/>
  <c r="BE41" i="10"/>
  <c r="BG41" i="10" s="1"/>
  <c r="BO41" i="10" s="1"/>
  <c r="BS41" i="10" s="1"/>
  <c r="AJ42" i="10"/>
  <c r="BI42" i="10" s="1"/>
  <c r="BC42" i="10"/>
  <c r="BK42" i="10" s="1"/>
  <c r="BD42" i="10"/>
  <c r="BF42" i="10" s="1"/>
  <c r="BM42" i="10" s="1"/>
  <c r="BR42" i="10" s="1"/>
  <c r="BE42" i="10"/>
  <c r="BG42" i="10" s="1"/>
  <c r="BO42" i="10" s="1"/>
  <c r="BS42" i="10" s="1"/>
  <c r="AJ43" i="10"/>
  <c r="BI43" i="10" s="1"/>
  <c r="BC43" i="10"/>
  <c r="BK43" i="10" s="1"/>
  <c r="BD43" i="10"/>
  <c r="BF43" i="10" s="1"/>
  <c r="BM43" i="10" s="1"/>
  <c r="BR43" i="10" s="1"/>
  <c r="BE43" i="10"/>
  <c r="BG43" i="10" s="1"/>
  <c r="BO43" i="10" s="1"/>
  <c r="BS43" i="10" s="1"/>
  <c r="AJ44" i="10"/>
  <c r="BI44" i="10" s="1"/>
  <c r="BC44" i="10"/>
  <c r="BK44" i="10" s="1"/>
  <c r="BD44" i="10"/>
  <c r="BF44" i="10" s="1"/>
  <c r="BM44" i="10" s="1"/>
  <c r="BR44" i="10" s="1"/>
  <c r="BE44" i="10"/>
  <c r="BG44" i="10" s="1"/>
  <c r="BO44" i="10" s="1"/>
  <c r="BS44" i="10" s="1"/>
  <c r="BC45" i="10"/>
  <c r="BK45" i="10" s="1"/>
  <c r="BD45" i="10"/>
  <c r="BF45" i="10" s="1"/>
  <c r="BM45" i="10" s="1"/>
  <c r="BR45" i="10" s="1"/>
  <c r="BE45" i="10"/>
  <c r="BG45" i="10" s="1"/>
  <c r="BO45" i="10" s="1"/>
  <c r="BS45" i="10" s="1"/>
  <c r="AJ45" i="10"/>
  <c r="BI45" i="10" s="1"/>
  <c r="AJ46" i="10"/>
  <c r="BI46" i="10" s="1"/>
  <c r="BC46" i="10"/>
  <c r="BK46" i="10" s="1"/>
  <c r="BQ46" i="10" s="1"/>
  <c r="BD46" i="10"/>
  <c r="BF46" i="10" s="1"/>
  <c r="BM46" i="10" s="1"/>
  <c r="BR46" i="10" s="1"/>
  <c r="BE46" i="10"/>
  <c r="BG46" i="10" s="1"/>
  <c r="BO46" i="10" s="1"/>
  <c r="BS46" i="10" s="1"/>
  <c r="AJ47" i="10"/>
  <c r="BI47" i="10" s="1"/>
  <c r="BC47" i="10"/>
  <c r="BK47" i="10" s="1"/>
  <c r="BD47" i="10"/>
  <c r="BF47" i="10" s="1"/>
  <c r="BM47" i="10" s="1"/>
  <c r="BR47" i="10" s="1"/>
  <c r="BE47" i="10"/>
  <c r="BG47" i="10" s="1"/>
  <c r="BO47" i="10" s="1"/>
  <c r="BS47" i="10" s="1"/>
  <c r="AJ48" i="10"/>
  <c r="BI48" i="10" s="1"/>
  <c r="BC48" i="10"/>
  <c r="BK48" i="10" s="1"/>
  <c r="BD48" i="10"/>
  <c r="BF48" i="10" s="1"/>
  <c r="BM48" i="10" s="1"/>
  <c r="BR48" i="10" s="1"/>
  <c r="BE48" i="10"/>
  <c r="BG48" i="10" s="1"/>
  <c r="BO48" i="10" s="1"/>
  <c r="BS48" i="10" s="1"/>
  <c r="AJ49" i="10"/>
  <c r="BI49" i="10" s="1"/>
  <c r="BC49" i="10"/>
  <c r="BK49" i="10" s="1"/>
  <c r="BD49" i="10"/>
  <c r="BF49" i="10" s="1"/>
  <c r="BM49" i="10" s="1"/>
  <c r="BR49" i="10" s="1"/>
  <c r="BE49" i="10"/>
  <c r="BG49" i="10" s="1"/>
  <c r="BO49" i="10" s="1"/>
  <c r="BS49" i="10" s="1"/>
  <c r="AJ50" i="10"/>
  <c r="BI50" i="10" s="1"/>
  <c r="BC50" i="10"/>
  <c r="BK50" i="10" s="1"/>
  <c r="BQ50" i="10" s="1"/>
  <c r="BD50" i="10"/>
  <c r="BF50" i="10" s="1"/>
  <c r="BM50" i="10" s="1"/>
  <c r="BR50" i="10" s="1"/>
  <c r="BE50" i="10"/>
  <c r="BG50" i="10" s="1"/>
  <c r="BO50" i="10" s="1"/>
  <c r="BS50" i="10" s="1"/>
  <c r="AJ51" i="10"/>
  <c r="BI51" i="10" s="1"/>
  <c r="BC51" i="10"/>
  <c r="BK51" i="10" s="1"/>
  <c r="BD51" i="10"/>
  <c r="BF51" i="10" s="1"/>
  <c r="BM51" i="10" s="1"/>
  <c r="BR51" i="10" s="1"/>
  <c r="BE51" i="10"/>
  <c r="BG51" i="10" s="1"/>
  <c r="BO51" i="10" s="1"/>
  <c r="BS51" i="10" s="1"/>
  <c r="AJ52" i="10"/>
  <c r="BI52" i="10" s="1"/>
  <c r="BC52" i="10"/>
  <c r="BK52" i="10" s="1"/>
  <c r="BD52" i="10"/>
  <c r="BF52" i="10" s="1"/>
  <c r="BM52" i="10" s="1"/>
  <c r="BR52" i="10" s="1"/>
  <c r="BE52" i="10"/>
  <c r="BG52" i="10" s="1"/>
  <c r="BO52" i="10" s="1"/>
  <c r="BS52" i="10" s="1"/>
  <c r="AJ53" i="10"/>
  <c r="BI53" i="10" s="1"/>
  <c r="BC53" i="10"/>
  <c r="BK53" i="10" s="1"/>
  <c r="BD53" i="10"/>
  <c r="BF53" i="10" s="1"/>
  <c r="BM53" i="10" s="1"/>
  <c r="BR53" i="10" s="1"/>
  <c r="BE53" i="10"/>
  <c r="BG53" i="10" s="1"/>
  <c r="BO53" i="10" s="1"/>
  <c r="BS53" i="10" s="1"/>
  <c r="AJ54" i="10"/>
  <c r="BI54" i="10" s="1"/>
  <c r="BC54" i="10"/>
  <c r="BK54" i="10" s="1"/>
  <c r="BQ54" i="10" s="1"/>
  <c r="BD54" i="10"/>
  <c r="BF54" i="10" s="1"/>
  <c r="BM54" i="10" s="1"/>
  <c r="BR54" i="10" s="1"/>
  <c r="BE54" i="10"/>
  <c r="BG54" i="10" s="1"/>
  <c r="BO54" i="10" s="1"/>
  <c r="BS54" i="10" s="1"/>
  <c r="AJ55" i="10"/>
  <c r="BI55" i="10" s="1"/>
  <c r="BP55" i="10" s="1"/>
  <c r="BC55" i="10"/>
  <c r="BK55" i="10" s="1"/>
  <c r="BD55" i="10"/>
  <c r="BF55" i="10" s="1"/>
  <c r="BM55" i="10" s="1"/>
  <c r="BR55" i="10" s="1"/>
  <c r="BE55" i="10"/>
  <c r="BG55" i="10" s="1"/>
  <c r="BO55" i="10" s="1"/>
  <c r="BS55" i="10" s="1"/>
  <c r="AJ56" i="10"/>
  <c r="BI56" i="10" s="1"/>
  <c r="BC56" i="10"/>
  <c r="BK56" i="10" s="1"/>
  <c r="BD56" i="10"/>
  <c r="BF56" i="10" s="1"/>
  <c r="BM56" i="10" s="1"/>
  <c r="BR56" i="10" s="1"/>
  <c r="BE56" i="10"/>
  <c r="BG56" i="10" s="1"/>
  <c r="BO56" i="10" s="1"/>
  <c r="BS56" i="10" s="1"/>
  <c r="AJ57" i="10"/>
  <c r="BI57" i="10" s="1"/>
  <c r="BC57" i="10"/>
  <c r="BK57" i="10" s="1"/>
  <c r="BQ57" i="10" s="1"/>
  <c r="BD57" i="10"/>
  <c r="BF57" i="10" s="1"/>
  <c r="BM57" i="10" s="1"/>
  <c r="BR57" i="10" s="1"/>
  <c r="BE57" i="10"/>
  <c r="BG57" i="10" s="1"/>
  <c r="BO57" i="10" s="1"/>
  <c r="BS57" i="10" s="1"/>
  <c r="AJ58" i="10"/>
  <c r="BI58" i="10" s="1"/>
  <c r="BC58" i="10"/>
  <c r="BK58" i="10" s="1"/>
  <c r="BD58" i="10"/>
  <c r="BF58" i="10" s="1"/>
  <c r="BM58" i="10" s="1"/>
  <c r="BR58" i="10" s="1"/>
  <c r="BE58" i="10"/>
  <c r="BG58" i="10" s="1"/>
  <c r="BO58" i="10" s="1"/>
  <c r="BS58" i="10" s="1"/>
  <c r="AJ59" i="10"/>
  <c r="BI59" i="10" s="1"/>
  <c r="BC59" i="10"/>
  <c r="BK59" i="10" s="1"/>
  <c r="BD59" i="10"/>
  <c r="BF59" i="10" s="1"/>
  <c r="BM59" i="10" s="1"/>
  <c r="BR59" i="10" s="1"/>
  <c r="BE59" i="10"/>
  <c r="BG59" i="10" s="1"/>
  <c r="BO59" i="10" s="1"/>
  <c r="BS59" i="10" s="1"/>
  <c r="AJ60" i="10"/>
  <c r="BI60" i="10" s="1"/>
  <c r="BC60" i="10"/>
  <c r="BK60" i="10" s="1"/>
  <c r="BD60" i="10"/>
  <c r="BF60" i="10" s="1"/>
  <c r="BM60" i="10" s="1"/>
  <c r="BR60" i="10" s="1"/>
  <c r="BE60" i="10"/>
  <c r="BG60" i="10" s="1"/>
  <c r="BO60" i="10" s="1"/>
  <c r="BS60" i="10" s="1"/>
  <c r="AJ61" i="10"/>
  <c r="BI61" i="10" s="1"/>
  <c r="BC61" i="10"/>
  <c r="BK61" i="10" s="1"/>
  <c r="BD61" i="10"/>
  <c r="BF61" i="10" s="1"/>
  <c r="BM61" i="10" s="1"/>
  <c r="BR61" i="10" s="1"/>
  <c r="BE61" i="10"/>
  <c r="BG61" i="10" s="1"/>
  <c r="BO61" i="10" s="1"/>
  <c r="BS61" i="10" s="1"/>
  <c r="AJ62" i="10"/>
  <c r="BI62" i="10" s="1"/>
  <c r="BC62" i="10"/>
  <c r="BK62" i="10" s="1"/>
  <c r="BD62" i="10"/>
  <c r="BF62" i="10" s="1"/>
  <c r="BM62" i="10" s="1"/>
  <c r="BR62" i="10" s="1"/>
  <c r="BE62" i="10"/>
  <c r="BG62" i="10" s="1"/>
  <c r="BO62" i="10" s="1"/>
  <c r="BS62" i="10" s="1"/>
  <c r="AJ63" i="10"/>
  <c r="BI63" i="10" s="1"/>
  <c r="BE63" i="10"/>
  <c r="BG63" i="10" s="1"/>
  <c r="BO63" i="10" s="1"/>
  <c r="BS63" i="10" s="1"/>
  <c r="BC63" i="10"/>
  <c r="BK63" i="10" s="1"/>
  <c r="BD63" i="10"/>
  <c r="BF63" i="10" s="1"/>
  <c r="BM63" i="10" s="1"/>
  <c r="BR63" i="10" s="1"/>
  <c r="AJ14" i="10"/>
  <c r="BI14" i="10" s="1"/>
  <c r="BD14" i="10"/>
  <c r="BF14" i="10" s="1"/>
  <c r="BM14" i="10" s="1"/>
  <c r="BR14" i="10" s="1"/>
  <c r="BC14" i="10"/>
  <c r="BK14" i="10" s="1"/>
  <c r="BQ14" i="10" s="1"/>
  <c r="BE14" i="10"/>
  <c r="BG14" i="10" s="1"/>
  <c r="BO14" i="10" s="1"/>
  <c r="BS14" i="10" s="1"/>
  <c r="AJ68" i="10"/>
  <c r="BI68" i="10" s="1"/>
  <c r="BP68" i="10" s="1"/>
  <c r="BE68" i="10"/>
  <c r="BG68" i="10" s="1"/>
  <c r="BO68" i="10" s="1"/>
  <c r="BS68" i="10" s="1"/>
  <c r="BC68" i="10"/>
  <c r="BK68" i="10" s="1"/>
  <c r="BD68" i="10"/>
  <c r="BF68" i="10" s="1"/>
  <c r="BM68" i="10" s="1"/>
  <c r="BR68" i="10" s="1"/>
  <c r="AJ71" i="10"/>
  <c r="BI71" i="10" s="1"/>
  <c r="BC71" i="10"/>
  <c r="BK71" i="10" s="1"/>
  <c r="BD71" i="10"/>
  <c r="BF71" i="10" s="1"/>
  <c r="BM71" i="10" s="1"/>
  <c r="BR71" i="10" s="1"/>
  <c r="BE71" i="10"/>
  <c r="BG71" i="10" s="1"/>
  <c r="BO71" i="10" s="1"/>
  <c r="BS71" i="10" s="1"/>
  <c r="AJ74" i="10"/>
  <c r="BI74" i="10" s="1"/>
  <c r="BC74" i="10"/>
  <c r="BK74" i="10" s="1"/>
  <c r="BD74" i="10"/>
  <c r="BF74" i="10" s="1"/>
  <c r="BM74" i="10" s="1"/>
  <c r="BR74" i="10" s="1"/>
  <c r="BE74" i="10"/>
  <c r="BG74" i="10" s="1"/>
  <c r="BO74" i="10" s="1"/>
  <c r="BS74" i="10" s="1"/>
  <c r="AJ75" i="10"/>
  <c r="BI75" i="10" s="1"/>
  <c r="BC75" i="10"/>
  <c r="BK75" i="10" s="1"/>
  <c r="BD75" i="10"/>
  <c r="BF75" i="10" s="1"/>
  <c r="BM75" i="10" s="1"/>
  <c r="BR75" i="10" s="1"/>
  <c r="BE75" i="10"/>
  <c r="BG75" i="10" s="1"/>
  <c r="BO75" i="10" s="1"/>
  <c r="BS75" i="10" s="1"/>
  <c r="AJ76" i="10"/>
  <c r="BI76" i="10" s="1"/>
  <c r="BE76" i="10"/>
  <c r="BG76" i="10" s="1"/>
  <c r="BO76" i="10" s="1"/>
  <c r="BS76" i="10" s="1"/>
  <c r="BD76" i="10"/>
  <c r="BF76" i="10" s="1"/>
  <c r="BM76" i="10" s="1"/>
  <c r="BR76" i="10" s="1"/>
  <c r="BC76" i="10"/>
  <c r="BK76" i="10" s="1"/>
  <c r="BE77" i="10"/>
  <c r="BG77" i="10" s="1"/>
  <c r="BO77" i="10" s="1"/>
  <c r="BS77" i="10" s="1"/>
  <c r="AJ77" i="10"/>
  <c r="BI77" i="10" s="1"/>
  <c r="BC77" i="10"/>
  <c r="BK77" i="10" s="1"/>
  <c r="BD77" i="10"/>
  <c r="BF77" i="10" s="1"/>
  <c r="BM77" i="10" s="1"/>
  <c r="BR77" i="10" s="1"/>
  <c r="AJ78" i="10"/>
  <c r="BI78" i="10" s="1"/>
  <c r="BC78" i="10"/>
  <c r="BK78" i="10" s="1"/>
  <c r="BQ78" i="10" s="1"/>
  <c r="BD78" i="10"/>
  <c r="BF78" i="10" s="1"/>
  <c r="BM78" i="10" s="1"/>
  <c r="BR78" i="10" s="1"/>
  <c r="BE78" i="10"/>
  <c r="BG78" i="10" s="1"/>
  <c r="BO78" i="10" s="1"/>
  <c r="BS78" i="10" s="1"/>
  <c r="BD79" i="10"/>
  <c r="BF79" i="10" s="1"/>
  <c r="BM79" i="10" s="1"/>
  <c r="BR79" i="10" s="1"/>
  <c r="BC79" i="10"/>
  <c r="BK79" i="10" s="1"/>
  <c r="AJ79" i="10"/>
  <c r="BI79" i="10" s="1"/>
  <c r="BE79" i="10"/>
  <c r="BG79" i="10" s="1"/>
  <c r="BO79" i="10" s="1"/>
  <c r="BS79" i="10" s="1"/>
  <c r="AJ80" i="10"/>
  <c r="BI80" i="10" s="1"/>
  <c r="BC80" i="10"/>
  <c r="BK80" i="10" s="1"/>
  <c r="BD80" i="10"/>
  <c r="BF80" i="10" s="1"/>
  <c r="BM80" i="10" s="1"/>
  <c r="BR80" i="10" s="1"/>
  <c r="BE80" i="10"/>
  <c r="BG80" i="10" s="1"/>
  <c r="BO80" i="10" s="1"/>
  <c r="BS80" i="10" s="1"/>
  <c r="AJ15" i="10"/>
  <c r="BI15" i="10" s="1"/>
  <c r="BC15" i="10"/>
  <c r="BK15" i="10" s="1"/>
  <c r="BD15" i="10"/>
  <c r="BF15" i="10" s="1"/>
  <c r="BM15" i="10" s="1"/>
  <c r="BR15" i="10" s="1"/>
  <c r="BE15" i="10"/>
  <c r="BG15" i="10" s="1"/>
  <c r="BO15" i="10" s="1"/>
  <c r="BS15" i="10" s="1"/>
  <c r="BE19" i="10"/>
  <c r="BG19" i="10" s="1"/>
  <c r="BO19" i="10" s="1"/>
  <c r="BS19" i="10" s="1"/>
  <c r="BD19" i="10"/>
  <c r="BF19" i="10" s="1"/>
  <c r="BM19" i="10" s="1"/>
  <c r="BR19" i="10" s="1"/>
  <c r="BC19" i="10"/>
  <c r="BK19" i="10" s="1"/>
  <c r="AJ19" i="10"/>
  <c r="BI19" i="10" s="1"/>
  <c r="BD123" i="10"/>
  <c r="BF123" i="10" s="1"/>
  <c r="BM123" i="10" s="1"/>
  <c r="BR123" i="10" s="1"/>
  <c r="BC123" i="10"/>
  <c r="BK123" i="10" s="1"/>
  <c r="BE123" i="10"/>
  <c r="BG123" i="10" s="1"/>
  <c r="BO123" i="10" s="1"/>
  <c r="BS123" i="10" s="1"/>
  <c r="AJ123" i="10"/>
  <c r="BI123" i="10" s="1"/>
  <c r="BE124" i="10"/>
  <c r="BG124" i="10" s="1"/>
  <c r="BO124" i="10" s="1"/>
  <c r="BS124" i="10" s="1"/>
  <c r="BD124" i="10"/>
  <c r="BF124" i="10" s="1"/>
  <c r="BM124" i="10" s="1"/>
  <c r="BR124" i="10" s="1"/>
  <c r="BC124" i="10"/>
  <c r="BK124" i="10" s="1"/>
  <c r="AJ124" i="10"/>
  <c r="BI124" i="10" s="1"/>
  <c r="BC125" i="10"/>
  <c r="BK125" i="10" s="1"/>
  <c r="BD125" i="10"/>
  <c r="BF125" i="10" s="1"/>
  <c r="BM125" i="10" s="1"/>
  <c r="BR125" i="10" s="1"/>
  <c r="AJ125" i="10"/>
  <c r="BI125" i="10" s="1"/>
  <c r="BP125" i="10" s="1"/>
  <c r="BE125" i="10"/>
  <c r="BG125" i="10" s="1"/>
  <c r="BO125" i="10" s="1"/>
  <c r="BS125" i="10" s="1"/>
  <c r="AJ121" i="10"/>
  <c r="BI121" i="10" s="1"/>
  <c r="BD121" i="10"/>
  <c r="BF121" i="10" s="1"/>
  <c r="BM121" i="10" s="1"/>
  <c r="BR121" i="10" s="1"/>
  <c r="BE121" i="10"/>
  <c r="BG121" i="10" s="1"/>
  <c r="BO121" i="10" s="1"/>
  <c r="BS121" i="10" s="1"/>
  <c r="BC121" i="10"/>
  <c r="BK121" i="10" s="1"/>
  <c r="BE122" i="10"/>
  <c r="BG122" i="10" s="1"/>
  <c r="BO122" i="10" s="1"/>
  <c r="BS122" i="10" s="1"/>
  <c r="BD122" i="10"/>
  <c r="BF122" i="10" s="1"/>
  <c r="BM122" i="10" s="1"/>
  <c r="BR122" i="10" s="1"/>
  <c r="AJ122" i="10"/>
  <c r="BI122" i="10" s="1"/>
  <c r="BC122" i="10"/>
  <c r="BK122" i="10" s="1"/>
  <c r="BD126" i="10"/>
  <c r="BF126" i="10" s="1"/>
  <c r="BM126" i="10" s="1"/>
  <c r="BR126" i="10" s="1"/>
  <c r="AJ126" i="10"/>
  <c r="BI126" i="10" s="1"/>
  <c r="BC126" i="10"/>
  <c r="BK126" i="10" s="1"/>
  <c r="BE126" i="10"/>
  <c r="BG126" i="10" s="1"/>
  <c r="BO126" i="10" s="1"/>
  <c r="BS126" i="10" s="1"/>
  <c r="AJ127" i="10"/>
  <c r="BI127" i="10" s="1"/>
  <c r="BC127" i="10"/>
  <c r="BK127" i="10" s="1"/>
  <c r="BD127" i="10"/>
  <c r="BF127" i="10" s="1"/>
  <c r="BM127" i="10" s="1"/>
  <c r="BR127" i="10" s="1"/>
  <c r="BE127" i="10"/>
  <c r="BG127" i="10" s="1"/>
  <c r="BO127" i="10" s="1"/>
  <c r="BS127" i="10" s="1"/>
  <c r="BD128" i="10"/>
  <c r="BF128" i="10" s="1"/>
  <c r="BM128" i="10" s="1"/>
  <c r="BR128" i="10" s="1"/>
  <c r="BC128" i="10"/>
  <c r="BK128" i="10" s="1"/>
  <c r="AJ128" i="10"/>
  <c r="BI128" i="10" s="1"/>
  <c r="BE128" i="10"/>
  <c r="BG128" i="10" s="1"/>
  <c r="BO128" i="10" s="1"/>
  <c r="BS128" i="10" s="1"/>
  <c r="BE129" i="10"/>
  <c r="BG129" i="10" s="1"/>
  <c r="BO129" i="10" s="1"/>
  <c r="BS129" i="10" s="1"/>
  <c r="AJ129" i="10"/>
  <c r="BI129" i="10" s="1"/>
  <c r="BC129" i="10"/>
  <c r="BK129" i="10" s="1"/>
  <c r="BD129" i="10"/>
  <c r="BF129" i="10" s="1"/>
  <c r="BM129" i="10" s="1"/>
  <c r="BR129" i="10" s="1"/>
  <c r="AJ130" i="10"/>
  <c r="BI130" i="10" s="1"/>
  <c r="BC130" i="10"/>
  <c r="BK130" i="10" s="1"/>
  <c r="BQ130" i="10" s="1"/>
  <c r="BD130" i="10"/>
  <c r="BF130" i="10" s="1"/>
  <c r="BM130" i="10" s="1"/>
  <c r="BR130" i="10" s="1"/>
  <c r="BE130" i="10"/>
  <c r="BG130" i="10" s="1"/>
  <c r="BO130" i="10" s="1"/>
  <c r="BS130" i="10" s="1"/>
  <c r="BC131" i="10"/>
  <c r="BK131" i="10" s="1"/>
  <c r="BQ131" i="10" s="1"/>
  <c r="AJ131" i="10"/>
  <c r="BI131" i="10" s="1"/>
  <c r="BD131" i="10"/>
  <c r="BF131" i="10" s="1"/>
  <c r="BM131" i="10" s="1"/>
  <c r="BR131" i="10" s="1"/>
  <c r="BE131" i="10"/>
  <c r="BG131" i="10" s="1"/>
  <c r="BO131" i="10" s="1"/>
  <c r="BS131" i="10" s="1"/>
  <c r="AJ132" i="10"/>
  <c r="BI132" i="10" s="1"/>
  <c r="BC132" i="10"/>
  <c r="BK132" i="10" s="1"/>
  <c r="BQ132" i="10" s="1"/>
  <c r="BD132" i="10"/>
  <c r="BF132" i="10" s="1"/>
  <c r="BM132" i="10" s="1"/>
  <c r="BR132" i="10" s="1"/>
  <c r="BE132" i="10"/>
  <c r="BG132" i="10" s="1"/>
  <c r="BO132" i="10" s="1"/>
  <c r="BS132" i="10" s="1"/>
  <c r="BE133" i="10"/>
  <c r="BG133" i="10" s="1"/>
  <c r="BO133" i="10" s="1"/>
  <c r="BS133" i="10" s="1"/>
  <c r="AJ133" i="10"/>
  <c r="BI133" i="10" s="1"/>
  <c r="BC133" i="10"/>
  <c r="BK133" i="10" s="1"/>
  <c r="BD133" i="10"/>
  <c r="BF133" i="10" s="1"/>
  <c r="BM133" i="10" s="1"/>
  <c r="BR133" i="10" s="1"/>
  <c r="AJ134" i="10"/>
  <c r="BI134" i="10" s="1"/>
  <c r="BC134" i="10"/>
  <c r="BK134" i="10" s="1"/>
  <c r="BD134" i="10"/>
  <c r="BF134" i="10" s="1"/>
  <c r="BM134" i="10" s="1"/>
  <c r="BR134" i="10" s="1"/>
  <c r="BE134" i="10"/>
  <c r="BG134" i="10" s="1"/>
  <c r="BO134" i="10" s="1"/>
  <c r="BS134" i="10" s="1"/>
  <c r="AJ117" i="10"/>
  <c r="BI117" i="10" s="1"/>
  <c r="BC117" i="10"/>
  <c r="BK117" i="10" s="1"/>
  <c r="BD117" i="10"/>
  <c r="BF117" i="10" s="1"/>
  <c r="BM117" i="10" s="1"/>
  <c r="BR117" i="10" s="1"/>
  <c r="BE117" i="10"/>
  <c r="BG117" i="10" s="1"/>
  <c r="BO117" i="10" s="1"/>
  <c r="BS117" i="10" s="1"/>
  <c r="BC120" i="10"/>
  <c r="BK120" i="10" s="1"/>
  <c r="AJ120" i="10"/>
  <c r="BI120" i="10" s="1"/>
  <c r="BE120" i="10"/>
  <c r="BG120" i="10" s="1"/>
  <c r="BO120" i="10" s="1"/>
  <c r="BS120" i="10" s="1"/>
  <c r="BD120" i="10"/>
  <c r="BF120" i="10" s="1"/>
  <c r="BM120" i="10" s="1"/>
  <c r="BR120" i="10" s="1"/>
  <c r="AJ135" i="10"/>
  <c r="BI135" i="10" s="1"/>
  <c r="BC135" i="10"/>
  <c r="BK135" i="10" s="1"/>
  <c r="BD135" i="10"/>
  <c r="BF135" i="10" s="1"/>
  <c r="BM135" i="10" s="1"/>
  <c r="BR135" i="10" s="1"/>
  <c r="BE135" i="10"/>
  <c r="BG135" i="10" s="1"/>
  <c r="BO135" i="10" s="1"/>
  <c r="BS135" i="10" s="1"/>
  <c r="BE136" i="10"/>
  <c r="BG136" i="10" s="1"/>
  <c r="BO136" i="10" s="1"/>
  <c r="BS136" i="10" s="1"/>
  <c r="AJ136" i="10"/>
  <c r="BI136" i="10" s="1"/>
  <c r="BC136" i="10"/>
  <c r="BK136" i="10" s="1"/>
  <c r="BD136" i="10"/>
  <c r="BF136" i="10" s="1"/>
  <c r="BM136" i="10" s="1"/>
  <c r="BR136" i="10" s="1"/>
  <c r="AJ137" i="10"/>
  <c r="BI137" i="10" s="1"/>
  <c r="BC137" i="10"/>
  <c r="BK137" i="10" s="1"/>
  <c r="BD137" i="10"/>
  <c r="BF137" i="10" s="1"/>
  <c r="BM137" i="10" s="1"/>
  <c r="BR137" i="10" s="1"/>
  <c r="BE137" i="10"/>
  <c r="BG137" i="10" s="1"/>
  <c r="BO137" i="10" s="1"/>
  <c r="BS137" i="10" s="1"/>
  <c r="BC138" i="10"/>
  <c r="BK138" i="10" s="1"/>
  <c r="AJ138" i="10"/>
  <c r="BI138" i="10" s="1"/>
  <c r="BD138" i="10"/>
  <c r="BF138" i="10" s="1"/>
  <c r="BM138" i="10" s="1"/>
  <c r="BR138" i="10" s="1"/>
  <c r="BE138" i="10"/>
  <c r="BG138" i="10" s="1"/>
  <c r="BO138" i="10" s="1"/>
  <c r="BS138" i="10" s="1"/>
  <c r="BE139" i="10"/>
  <c r="BG139" i="10" s="1"/>
  <c r="BO139" i="10" s="1"/>
  <c r="BS139" i="10" s="1"/>
  <c r="AJ139" i="10"/>
  <c r="BI139" i="10" s="1"/>
  <c r="BC139" i="10"/>
  <c r="BK139" i="10" s="1"/>
  <c r="BQ139" i="10" s="1"/>
  <c r="BD139" i="10"/>
  <c r="BF139" i="10" s="1"/>
  <c r="BM139" i="10" s="1"/>
  <c r="BR139" i="10" s="1"/>
  <c r="AJ140" i="10"/>
  <c r="BI140" i="10" s="1"/>
  <c r="BC140" i="10"/>
  <c r="BK140" i="10" s="1"/>
  <c r="BD140" i="10"/>
  <c r="BF140" i="10" s="1"/>
  <c r="BM140" i="10" s="1"/>
  <c r="BR140" i="10" s="1"/>
  <c r="BE140" i="10"/>
  <c r="BG140" i="10" s="1"/>
  <c r="BO140" i="10" s="1"/>
  <c r="BS140" i="10" s="1"/>
  <c r="BE141" i="10"/>
  <c r="BG141" i="10" s="1"/>
  <c r="BO141" i="10" s="1"/>
  <c r="BS141" i="10" s="1"/>
  <c r="AJ141" i="10"/>
  <c r="BI141" i="10" s="1"/>
  <c r="BC141" i="10"/>
  <c r="BK141" i="10" s="1"/>
  <c r="BD141" i="10"/>
  <c r="BF141" i="10" s="1"/>
  <c r="BM141" i="10" s="1"/>
  <c r="BR141" i="10" s="1"/>
  <c r="AJ142" i="10"/>
  <c r="BI142" i="10" s="1"/>
  <c r="BC142" i="10"/>
  <c r="BK142" i="10" s="1"/>
  <c r="BQ142" i="10" s="1"/>
  <c r="BD142" i="10"/>
  <c r="BF142" i="10" s="1"/>
  <c r="BM142" i="10" s="1"/>
  <c r="BR142" i="10" s="1"/>
  <c r="BE142" i="10"/>
  <c r="BG142" i="10" s="1"/>
  <c r="BO142" i="10" s="1"/>
  <c r="BS142" i="10" s="1"/>
  <c r="AJ143" i="10"/>
  <c r="BI143" i="10" s="1"/>
  <c r="BP143" i="10" s="1"/>
  <c r="BC143" i="10"/>
  <c r="BK143" i="10" s="1"/>
  <c r="BD143" i="10"/>
  <c r="BF143" i="10" s="1"/>
  <c r="BM143" i="10" s="1"/>
  <c r="BR143" i="10" s="1"/>
  <c r="BE143" i="10"/>
  <c r="BG143" i="10" s="1"/>
  <c r="BO143" i="10" s="1"/>
  <c r="BS143" i="10" s="1"/>
  <c r="AJ118" i="10"/>
  <c r="BI118" i="10" s="1"/>
  <c r="BP118" i="10" s="1"/>
  <c r="BE118" i="10"/>
  <c r="BG118" i="10" s="1"/>
  <c r="BO118" i="10" s="1"/>
  <c r="BS118" i="10" s="1"/>
  <c r="BC118" i="10"/>
  <c r="BK118" i="10" s="1"/>
  <c r="BD118" i="10"/>
  <c r="BF118" i="10" s="1"/>
  <c r="BM118" i="10" s="1"/>
  <c r="BR118" i="10" s="1"/>
  <c r="AJ119" i="10"/>
  <c r="BI119" i="10" s="1"/>
  <c r="BP119" i="10" s="1"/>
  <c r="BD119" i="10"/>
  <c r="BF119" i="10" s="1"/>
  <c r="BM119" i="10" s="1"/>
  <c r="BR119" i="10" s="1"/>
  <c r="BC119" i="10"/>
  <c r="BK119" i="10" s="1"/>
  <c r="BE119" i="10"/>
  <c r="BG119" i="10" s="1"/>
  <c r="BO119" i="10" s="1"/>
  <c r="BS119" i="10" s="1"/>
  <c r="AJ144" i="10"/>
  <c r="BI144" i="10" s="1"/>
  <c r="BC144" i="10"/>
  <c r="BK144" i="10" s="1"/>
  <c r="BD144" i="10"/>
  <c r="BF144" i="10" s="1"/>
  <c r="BM144" i="10" s="1"/>
  <c r="BR144" i="10" s="1"/>
  <c r="BE144" i="10"/>
  <c r="BG144" i="10" s="1"/>
  <c r="BO144" i="10" s="1"/>
  <c r="BS144" i="10" s="1"/>
  <c r="AJ145" i="10"/>
  <c r="BI145" i="10" s="1"/>
  <c r="BE145" i="10"/>
  <c r="BG145" i="10" s="1"/>
  <c r="BO145" i="10" s="1"/>
  <c r="BS145" i="10" s="1"/>
  <c r="BC145" i="10"/>
  <c r="BK145" i="10" s="1"/>
  <c r="BQ145" i="10" s="1"/>
  <c r="BD145" i="10"/>
  <c r="BF145" i="10" s="1"/>
  <c r="BM145" i="10" s="1"/>
  <c r="BR145" i="10" s="1"/>
  <c r="BC146" i="10"/>
  <c r="BK146" i="10" s="1"/>
  <c r="BE146" i="10"/>
  <c r="BG146" i="10" s="1"/>
  <c r="BO146" i="10" s="1"/>
  <c r="BS146" i="10" s="1"/>
  <c r="AJ146" i="10"/>
  <c r="BI146" i="10" s="1"/>
  <c r="BD146" i="10"/>
  <c r="BF146" i="10" s="1"/>
  <c r="BM146" i="10" s="1"/>
  <c r="BR146" i="10" s="1"/>
  <c r="BC147" i="10"/>
  <c r="BK147" i="10" s="1"/>
  <c r="BE147" i="10"/>
  <c r="BG147" i="10" s="1"/>
  <c r="BO147" i="10" s="1"/>
  <c r="BS147" i="10" s="1"/>
  <c r="BD147" i="10"/>
  <c r="BF147" i="10" s="1"/>
  <c r="BM147" i="10" s="1"/>
  <c r="BR147" i="10" s="1"/>
  <c r="AJ147" i="10"/>
  <c r="BI147" i="10" s="1"/>
  <c r="AJ148" i="10"/>
  <c r="BI148" i="10" s="1"/>
  <c r="BD148" i="10"/>
  <c r="BF148" i="10" s="1"/>
  <c r="BM148" i="10" s="1"/>
  <c r="BR148" i="10" s="1"/>
  <c r="BE148" i="10"/>
  <c r="BG148" i="10" s="1"/>
  <c r="BO148" i="10" s="1"/>
  <c r="BS148" i="10" s="1"/>
  <c r="BC148" i="10"/>
  <c r="BK148" i="10" s="1"/>
  <c r="BQ148" i="10" s="1"/>
  <c r="BE149" i="10"/>
  <c r="BG149" i="10" s="1"/>
  <c r="BO149" i="10" s="1"/>
  <c r="BS149" i="10" s="1"/>
  <c r="AJ149" i="10"/>
  <c r="BI149" i="10" s="1"/>
  <c r="BD149" i="10"/>
  <c r="BF149" i="10" s="1"/>
  <c r="BM149" i="10" s="1"/>
  <c r="BR149" i="10" s="1"/>
  <c r="BC149" i="10"/>
  <c r="BK149" i="10" s="1"/>
  <c r="BQ149" i="10" s="1"/>
  <c r="BC150" i="10"/>
  <c r="BK150" i="10" s="1"/>
  <c r="BD150" i="10"/>
  <c r="BF150" i="10" s="1"/>
  <c r="BM150" i="10" s="1"/>
  <c r="BR150" i="10" s="1"/>
  <c r="BE150" i="10"/>
  <c r="BG150" i="10" s="1"/>
  <c r="BO150" i="10" s="1"/>
  <c r="BS150" i="10" s="1"/>
  <c r="AJ150" i="10"/>
  <c r="BI150" i="10" s="1"/>
  <c r="BE151" i="10"/>
  <c r="BG151" i="10" s="1"/>
  <c r="BO151" i="10" s="1"/>
  <c r="BS151" i="10" s="1"/>
  <c r="AJ151" i="10"/>
  <c r="BI151" i="10" s="1"/>
  <c r="BC151" i="10"/>
  <c r="BK151" i="10" s="1"/>
  <c r="BD151" i="10"/>
  <c r="BF151" i="10" s="1"/>
  <c r="BM151" i="10" s="1"/>
  <c r="BR151" i="10" s="1"/>
  <c r="BE152" i="10"/>
  <c r="BG152" i="10" s="1"/>
  <c r="BO152" i="10" s="1"/>
  <c r="BS152" i="10" s="1"/>
  <c r="AJ152" i="10"/>
  <c r="BI152" i="10" s="1"/>
  <c r="BD152" i="10"/>
  <c r="BF152" i="10" s="1"/>
  <c r="BM152" i="10" s="1"/>
  <c r="BR152" i="10" s="1"/>
  <c r="BC152" i="10"/>
  <c r="BK152" i="10" s="1"/>
  <c r="BC154" i="10"/>
  <c r="BK154" i="10" s="1"/>
  <c r="BE154" i="10"/>
  <c r="BG154" i="10" s="1"/>
  <c r="BO154" i="10" s="1"/>
  <c r="BS154" i="10" s="1"/>
  <c r="AJ154" i="10"/>
  <c r="BI154" i="10" s="1"/>
  <c r="BD154" i="10"/>
  <c r="BF154" i="10" s="1"/>
  <c r="BM154" i="10" s="1"/>
  <c r="BR154" i="10" s="1"/>
  <c r="BE155" i="10"/>
  <c r="BG155" i="10" s="1"/>
  <c r="BO155" i="10" s="1"/>
  <c r="BS155" i="10" s="1"/>
  <c r="BD155" i="10"/>
  <c r="BF155" i="10" s="1"/>
  <c r="BM155" i="10" s="1"/>
  <c r="BR155" i="10" s="1"/>
  <c r="BC155" i="10"/>
  <c r="BK155" i="10" s="1"/>
  <c r="AJ155" i="10"/>
  <c r="BI155" i="10" s="1"/>
  <c r="BD156" i="10"/>
  <c r="BF156" i="10" s="1"/>
  <c r="BM156" i="10" s="1"/>
  <c r="BR156" i="10" s="1"/>
  <c r="BE156" i="10"/>
  <c r="BG156" i="10" s="1"/>
  <c r="BO156" i="10" s="1"/>
  <c r="BS156" i="10" s="1"/>
  <c r="BC156" i="10"/>
  <c r="BK156" i="10" s="1"/>
  <c r="AJ156" i="10"/>
  <c r="BI156" i="10" s="1"/>
  <c r="AJ157" i="10"/>
  <c r="BI157" i="10" s="1"/>
  <c r="BE157" i="10"/>
  <c r="BG157" i="10" s="1"/>
  <c r="BO157" i="10" s="1"/>
  <c r="BS157" i="10" s="1"/>
  <c r="BD157" i="10"/>
  <c r="BF157" i="10" s="1"/>
  <c r="BM157" i="10" s="1"/>
  <c r="BR157" i="10" s="1"/>
  <c r="BC157" i="10"/>
  <c r="BK157" i="10" s="1"/>
  <c r="BD158" i="10"/>
  <c r="BF158" i="10" s="1"/>
  <c r="BM158" i="10" s="1"/>
  <c r="BR158" i="10" s="1"/>
  <c r="BE158" i="10"/>
  <c r="BG158" i="10" s="1"/>
  <c r="BO158" i="10" s="1"/>
  <c r="BS158" i="10" s="1"/>
  <c r="AJ158" i="10"/>
  <c r="BI158" i="10" s="1"/>
  <c r="BC158" i="10"/>
  <c r="BK158" i="10" s="1"/>
  <c r="BD159" i="10"/>
  <c r="BF159" i="10" s="1"/>
  <c r="BM159" i="10" s="1"/>
  <c r="BR159" i="10" s="1"/>
  <c r="BC159" i="10"/>
  <c r="BK159" i="10" s="1"/>
  <c r="AJ159" i="10"/>
  <c r="BI159" i="10" s="1"/>
  <c r="BE159" i="10"/>
  <c r="BG159" i="10" s="1"/>
  <c r="BO159" i="10" s="1"/>
  <c r="BS159" i="10" s="1"/>
  <c r="BD160" i="10"/>
  <c r="BF160" i="10" s="1"/>
  <c r="BM160" i="10" s="1"/>
  <c r="BR160" i="10" s="1"/>
  <c r="AJ160" i="10"/>
  <c r="BI160" i="10" s="1"/>
  <c r="BE160" i="10"/>
  <c r="BG160" i="10" s="1"/>
  <c r="BO160" i="10" s="1"/>
  <c r="BS160" i="10" s="1"/>
  <c r="BC160" i="10"/>
  <c r="BK160" i="10" s="1"/>
  <c r="BQ160" i="10" s="1"/>
  <c r="BE161" i="10"/>
  <c r="BG161" i="10" s="1"/>
  <c r="BO161" i="10" s="1"/>
  <c r="BS161" i="10" s="1"/>
  <c r="BC161" i="10"/>
  <c r="BK161" i="10" s="1"/>
  <c r="BQ161" i="10" s="1"/>
  <c r="BD161" i="10"/>
  <c r="BF161" i="10" s="1"/>
  <c r="BM161" i="10" s="1"/>
  <c r="BR161" i="10" s="1"/>
  <c r="AJ161" i="10"/>
  <c r="BI161" i="10" s="1"/>
  <c r="AJ153" i="10"/>
  <c r="BI153" i="10" s="1"/>
  <c r="BD153" i="10"/>
  <c r="BF153" i="10" s="1"/>
  <c r="BM153" i="10" s="1"/>
  <c r="BR153" i="10" s="1"/>
  <c r="BC153" i="10"/>
  <c r="BK153" i="10" s="1"/>
  <c r="BE153" i="10"/>
  <c r="BG153" i="10" s="1"/>
  <c r="BO153" i="10" s="1"/>
  <c r="BS153" i="10" s="1"/>
  <c r="BE162" i="10"/>
  <c r="BG162" i="10" s="1"/>
  <c r="BO162" i="10" s="1"/>
  <c r="BS162" i="10" s="1"/>
  <c r="BC162" i="10"/>
  <c r="BK162" i="10" s="1"/>
  <c r="BQ162" i="10" s="1"/>
  <c r="AJ162" i="10"/>
  <c r="BI162" i="10" s="1"/>
  <c r="BD162" i="10"/>
  <c r="BF162" i="10" s="1"/>
  <c r="BM162" i="10" s="1"/>
  <c r="BR162" i="10" s="1"/>
  <c r="BD163" i="10"/>
  <c r="BF163" i="10" s="1"/>
  <c r="BM163" i="10" s="1"/>
  <c r="BR163" i="10" s="1"/>
  <c r="AJ163" i="10"/>
  <c r="BI163" i="10" s="1"/>
  <c r="BC163" i="10"/>
  <c r="BK163" i="10" s="1"/>
  <c r="BQ163" i="10" s="1"/>
  <c r="BE163" i="10"/>
  <c r="BG163" i="10" s="1"/>
  <c r="BO163" i="10" s="1"/>
  <c r="BS163" i="10" s="1"/>
  <c r="BE164" i="10"/>
  <c r="BG164" i="10" s="1"/>
  <c r="BO164" i="10" s="1"/>
  <c r="BS164" i="10" s="1"/>
  <c r="BD164" i="10"/>
  <c r="BF164" i="10" s="1"/>
  <c r="BM164" i="10" s="1"/>
  <c r="BR164" i="10" s="1"/>
  <c r="BC164" i="10"/>
  <c r="BK164" i="10" s="1"/>
  <c r="AJ164" i="10"/>
  <c r="BI164" i="10" s="1"/>
  <c r="BD165" i="10"/>
  <c r="BF165" i="10" s="1"/>
  <c r="BM165" i="10" s="1"/>
  <c r="BR165" i="10" s="1"/>
  <c r="BC165" i="10"/>
  <c r="BK165" i="10" s="1"/>
  <c r="BQ165" i="10" s="1"/>
  <c r="AJ165" i="10"/>
  <c r="BI165" i="10" s="1"/>
  <c r="BE165" i="10"/>
  <c r="BG165" i="10" s="1"/>
  <c r="BO165" i="10" s="1"/>
  <c r="BS165" i="10" s="1"/>
  <c r="BC166" i="10"/>
  <c r="BK166" i="10" s="1"/>
  <c r="BQ166" i="10" s="1"/>
  <c r="BD166" i="10"/>
  <c r="BF166" i="10" s="1"/>
  <c r="BM166" i="10" s="1"/>
  <c r="BR166" i="10" s="1"/>
  <c r="BE166" i="10"/>
  <c r="BG166" i="10" s="1"/>
  <c r="BO166" i="10" s="1"/>
  <c r="BS166" i="10" s="1"/>
  <c r="AJ166" i="10"/>
  <c r="BI166" i="10" s="1"/>
  <c r="AJ167" i="10"/>
  <c r="BI167" i="10" s="1"/>
  <c r="BC167" i="10"/>
  <c r="BK167" i="10" s="1"/>
  <c r="BD167" i="10"/>
  <c r="BF167" i="10" s="1"/>
  <c r="BM167" i="10" s="1"/>
  <c r="BR167" i="10" s="1"/>
  <c r="BE167" i="10"/>
  <c r="BG167" i="10" s="1"/>
  <c r="BO167" i="10" s="1"/>
  <c r="BS167" i="10" s="1"/>
  <c r="BE168" i="10"/>
  <c r="BG168" i="10" s="1"/>
  <c r="BO168" i="10" s="1"/>
  <c r="BS168" i="10" s="1"/>
  <c r="BC168" i="10"/>
  <c r="BK168" i="10" s="1"/>
  <c r="BQ168" i="10" s="1"/>
  <c r="BD168" i="10"/>
  <c r="BF168" i="10" s="1"/>
  <c r="BM168" i="10" s="1"/>
  <c r="BR168" i="10" s="1"/>
  <c r="AJ168" i="10"/>
  <c r="BI168" i="10" s="1"/>
  <c r="BD169" i="10"/>
  <c r="BF169" i="10" s="1"/>
  <c r="BM169" i="10" s="1"/>
  <c r="BR169" i="10" s="1"/>
  <c r="BE169" i="10"/>
  <c r="BG169" i="10" s="1"/>
  <c r="BO169" i="10" s="1"/>
  <c r="BS169" i="10" s="1"/>
  <c r="AJ169" i="10"/>
  <c r="BI169" i="10" s="1"/>
  <c r="BC169" i="10"/>
  <c r="BK169" i="10" s="1"/>
  <c r="AJ3" i="10"/>
  <c r="BI3" i="10" s="1"/>
  <c r="BD3" i="10"/>
  <c r="BF3" i="10" s="1"/>
  <c r="BM3" i="10" s="1"/>
  <c r="BR3" i="10" s="1"/>
  <c r="BC3" i="10"/>
  <c r="BK3" i="10" s="1"/>
  <c r="BE3" i="10"/>
  <c r="BG3" i="10" s="1"/>
  <c r="BO3" i="10" s="1"/>
  <c r="BS3" i="10" s="1"/>
  <c r="AJ4" i="10"/>
  <c r="BI4" i="10" s="1"/>
  <c r="BE4" i="10"/>
  <c r="BG4" i="10" s="1"/>
  <c r="BO4" i="10" s="1"/>
  <c r="BS4" i="10" s="1"/>
  <c r="BD4" i="10"/>
  <c r="BF4" i="10" s="1"/>
  <c r="BM4" i="10" s="1"/>
  <c r="BR4" i="10" s="1"/>
  <c r="BC4" i="10"/>
  <c r="BK4" i="10" s="1"/>
  <c r="BD5" i="10"/>
  <c r="BF5" i="10" s="1"/>
  <c r="BM5" i="10" s="1"/>
  <c r="BR5" i="10" s="1"/>
  <c r="BE5" i="10"/>
  <c r="BG5" i="10" s="1"/>
  <c r="BO5" i="10" s="1"/>
  <c r="BS5" i="10" s="1"/>
  <c r="BC5" i="10"/>
  <c r="BK5" i="10" s="1"/>
  <c r="AJ5" i="10"/>
  <c r="BI5" i="10" s="1"/>
  <c r="BD6" i="10"/>
  <c r="BF6" i="10" s="1"/>
  <c r="BM6" i="10" s="1"/>
  <c r="BR6" i="10" s="1"/>
  <c r="BC6" i="10"/>
  <c r="BK6" i="10" s="1"/>
  <c r="BQ6" i="10" s="1"/>
  <c r="BE6" i="10"/>
  <c r="BG6" i="10" s="1"/>
  <c r="BO6" i="10" s="1"/>
  <c r="BS6" i="10" s="1"/>
  <c r="AJ6" i="10"/>
  <c r="BI6" i="10" s="1"/>
  <c r="BD7" i="10"/>
  <c r="BF7" i="10" s="1"/>
  <c r="BM7" i="10" s="1"/>
  <c r="BR7" i="10" s="1"/>
  <c r="AJ7" i="10"/>
  <c r="BI7" i="10" s="1"/>
  <c r="BE7" i="10"/>
  <c r="BG7" i="10" s="1"/>
  <c r="BO7" i="10" s="1"/>
  <c r="BS7" i="10" s="1"/>
  <c r="BC7" i="10"/>
  <c r="BK7" i="10" s="1"/>
  <c r="BE8" i="10"/>
  <c r="BG8" i="10" s="1"/>
  <c r="BO8" i="10" s="1"/>
  <c r="BS8" i="10" s="1"/>
  <c r="AJ8" i="10"/>
  <c r="BI8" i="10" s="1"/>
  <c r="BD8" i="10"/>
  <c r="BF8" i="10" s="1"/>
  <c r="BM8" i="10" s="1"/>
  <c r="BR8" i="10" s="1"/>
  <c r="BC8" i="10"/>
  <c r="BK8" i="10" s="1"/>
  <c r="BC9" i="10"/>
  <c r="BK9" i="10" s="1"/>
  <c r="AJ9" i="10"/>
  <c r="BI9" i="10" s="1"/>
  <c r="BD9" i="10"/>
  <c r="BF9" i="10" s="1"/>
  <c r="BM9" i="10" s="1"/>
  <c r="BR9" i="10" s="1"/>
  <c r="BE9" i="10"/>
  <c r="BG9" i="10" s="1"/>
  <c r="BO9" i="10" s="1"/>
  <c r="BS9" i="10" s="1"/>
  <c r="BE10" i="10"/>
  <c r="BG10" i="10" s="1"/>
  <c r="BO10" i="10" s="1"/>
  <c r="BS10" i="10" s="1"/>
  <c r="AJ10" i="10"/>
  <c r="BI10" i="10" s="1"/>
  <c r="BC10" i="10"/>
  <c r="BK10" i="10" s="1"/>
  <c r="BD10" i="10"/>
  <c r="BF10" i="10" s="1"/>
  <c r="BM10" i="10" s="1"/>
  <c r="BR10" i="10" s="1"/>
  <c r="AJ16" i="10"/>
  <c r="BI16" i="10" s="1"/>
  <c r="BE16" i="10"/>
  <c r="BG16" i="10" s="1"/>
  <c r="BO16" i="10" s="1"/>
  <c r="BS16" i="10" s="1"/>
  <c r="BC16" i="10"/>
  <c r="BK16" i="10" s="1"/>
  <c r="BQ16" i="10" s="1"/>
  <c r="BD16" i="10"/>
  <c r="BF16" i="10" s="1"/>
  <c r="BM16" i="10" s="1"/>
  <c r="BR16" i="10" s="1"/>
  <c r="BC17" i="10"/>
  <c r="BK17" i="10" s="1"/>
  <c r="BD17" i="10"/>
  <c r="BF17" i="10" s="1"/>
  <c r="BM17" i="10" s="1"/>
  <c r="BR17" i="10" s="1"/>
  <c r="AJ17" i="10"/>
  <c r="BI17" i="10" s="1"/>
  <c r="BE17" i="10"/>
  <c r="BG17" i="10" s="1"/>
  <c r="BO17" i="10" s="1"/>
  <c r="BS17" i="10" s="1"/>
  <c r="BE18" i="10"/>
  <c r="BG18" i="10" s="1"/>
  <c r="BO18" i="10" s="1"/>
  <c r="BS18" i="10" s="1"/>
  <c r="AJ18" i="10"/>
  <c r="BI18" i="10" s="1"/>
  <c r="BC18" i="10"/>
  <c r="BK18" i="10" s="1"/>
  <c r="BD18" i="10"/>
  <c r="BF18" i="10" s="1"/>
  <c r="BM18" i="10" s="1"/>
  <c r="BR18" i="10" s="1"/>
  <c r="C69" i="6"/>
  <c r="B5" i="7"/>
  <c r="C71" i="6"/>
  <c r="C45" i="6"/>
  <c r="C72" i="6"/>
  <c r="B37" i="7"/>
  <c r="D37" i="7" s="1"/>
  <c r="BC65" i="10"/>
  <c r="BK65" i="10" s="1"/>
  <c r="BE65" i="10"/>
  <c r="BG65" i="10" s="1"/>
  <c r="BO65" i="10" s="1"/>
  <c r="BS65" i="10" s="1"/>
  <c r="BD65" i="10"/>
  <c r="BF65" i="10" s="1"/>
  <c r="BM65" i="10" s="1"/>
  <c r="BR65" i="10" s="1"/>
  <c r="AJ65" i="10"/>
  <c r="BI65" i="10" s="1"/>
  <c r="BC67" i="10"/>
  <c r="BK67" i="10" s="1"/>
  <c r="BE67" i="10"/>
  <c r="BG67" i="10" s="1"/>
  <c r="BO67" i="10" s="1"/>
  <c r="BS67" i="10" s="1"/>
  <c r="BD67" i="10"/>
  <c r="BF67" i="10" s="1"/>
  <c r="BM67" i="10" s="1"/>
  <c r="BR67" i="10" s="1"/>
  <c r="AJ67" i="10"/>
  <c r="BI67" i="10" s="1"/>
  <c r="BD69" i="10"/>
  <c r="BF69" i="10" s="1"/>
  <c r="BM69" i="10" s="1"/>
  <c r="BR69" i="10" s="1"/>
  <c r="BE69" i="10"/>
  <c r="BG69" i="10" s="1"/>
  <c r="BO69" i="10" s="1"/>
  <c r="BS69" i="10" s="1"/>
  <c r="BC69" i="10"/>
  <c r="BK69" i="10" s="1"/>
  <c r="AJ69" i="10"/>
  <c r="BI69" i="10" s="1"/>
  <c r="BE70" i="10"/>
  <c r="BG70" i="10" s="1"/>
  <c r="BO70" i="10" s="1"/>
  <c r="BS70" i="10" s="1"/>
  <c r="BD70" i="10"/>
  <c r="BF70" i="10" s="1"/>
  <c r="BM70" i="10" s="1"/>
  <c r="BR70" i="10" s="1"/>
  <c r="BC70" i="10"/>
  <c r="BK70" i="10" s="1"/>
  <c r="AJ70" i="10"/>
  <c r="BI70" i="10" s="1"/>
  <c r="BC72" i="10"/>
  <c r="BK72" i="10" s="1"/>
  <c r="BE72" i="10"/>
  <c r="BG72" i="10" s="1"/>
  <c r="BO72" i="10" s="1"/>
  <c r="BS72" i="10" s="1"/>
  <c r="BD72" i="10"/>
  <c r="BF72" i="10" s="1"/>
  <c r="BM72" i="10" s="1"/>
  <c r="BR72" i="10" s="1"/>
  <c r="AJ72" i="10"/>
  <c r="BI72" i="10" s="1"/>
  <c r="BE73" i="10"/>
  <c r="BG73" i="10" s="1"/>
  <c r="BO73" i="10" s="1"/>
  <c r="BS73" i="10" s="1"/>
  <c r="BD73" i="10"/>
  <c r="BF73" i="10" s="1"/>
  <c r="BM73" i="10" s="1"/>
  <c r="BR73" i="10" s="1"/>
  <c r="BC73" i="10"/>
  <c r="BK73" i="10" s="1"/>
  <c r="AJ73" i="10"/>
  <c r="BI73" i="10" s="1"/>
  <c r="BE81" i="10"/>
  <c r="BG81" i="10" s="1"/>
  <c r="BO81" i="10" s="1"/>
  <c r="BS81" i="10" s="1"/>
  <c r="BD81" i="10"/>
  <c r="BF81" i="10" s="1"/>
  <c r="BM81" i="10" s="1"/>
  <c r="BR81" i="10" s="1"/>
  <c r="BC81" i="10"/>
  <c r="BK81" i="10" s="1"/>
  <c r="AJ81" i="10"/>
  <c r="BI81" i="10" s="1"/>
  <c r="BE82" i="10"/>
  <c r="BG82" i="10" s="1"/>
  <c r="BO82" i="10" s="1"/>
  <c r="BS82" i="10" s="1"/>
  <c r="BD82" i="10"/>
  <c r="BF82" i="10" s="1"/>
  <c r="BM82" i="10" s="1"/>
  <c r="BR82" i="10" s="1"/>
  <c r="BC82" i="10"/>
  <c r="BK82" i="10" s="1"/>
  <c r="AJ82" i="10"/>
  <c r="BI82" i="10" s="1"/>
  <c r="BE83" i="10"/>
  <c r="BG83" i="10" s="1"/>
  <c r="BO83" i="10" s="1"/>
  <c r="BS83" i="10" s="1"/>
  <c r="BD83" i="10"/>
  <c r="BF83" i="10" s="1"/>
  <c r="BM83" i="10" s="1"/>
  <c r="BR83" i="10" s="1"/>
  <c r="BC83" i="10"/>
  <c r="BK83" i="10" s="1"/>
  <c r="AJ83" i="10"/>
  <c r="BI83" i="10" s="1"/>
  <c r="BE84" i="10"/>
  <c r="BG84" i="10" s="1"/>
  <c r="BO84" i="10" s="1"/>
  <c r="BS84" i="10" s="1"/>
  <c r="BD84" i="10"/>
  <c r="BF84" i="10" s="1"/>
  <c r="BM84" i="10" s="1"/>
  <c r="BR84" i="10" s="1"/>
  <c r="BC84" i="10"/>
  <c r="BK84" i="10" s="1"/>
  <c r="AJ84" i="10"/>
  <c r="BI84" i="10" s="1"/>
  <c r="BE85" i="10"/>
  <c r="BG85" i="10" s="1"/>
  <c r="BO85" i="10" s="1"/>
  <c r="BS85" i="10" s="1"/>
  <c r="BD85" i="10"/>
  <c r="BF85" i="10" s="1"/>
  <c r="BM85" i="10" s="1"/>
  <c r="BR85" i="10" s="1"/>
  <c r="BC85" i="10"/>
  <c r="BK85" i="10" s="1"/>
  <c r="BQ85" i="10" s="1"/>
  <c r="AJ85" i="10"/>
  <c r="BI85" i="10" s="1"/>
  <c r="BE86" i="10"/>
  <c r="BG86" i="10" s="1"/>
  <c r="BO86" i="10" s="1"/>
  <c r="BS86" i="10" s="1"/>
  <c r="BD86" i="10"/>
  <c r="BF86" i="10" s="1"/>
  <c r="BM86" i="10" s="1"/>
  <c r="BR86" i="10" s="1"/>
  <c r="BC86" i="10"/>
  <c r="BK86" i="10" s="1"/>
  <c r="AJ86" i="10"/>
  <c r="BI86" i="10" s="1"/>
  <c r="BE87" i="10"/>
  <c r="BG87" i="10" s="1"/>
  <c r="BO87" i="10" s="1"/>
  <c r="BS87" i="10" s="1"/>
  <c r="BD87" i="10"/>
  <c r="BF87" i="10" s="1"/>
  <c r="BM87" i="10" s="1"/>
  <c r="BR87" i="10" s="1"/>
  <c r="BC87" i="10"/>
  <c r="BK87" i="10" s="1"/>
  <c r="AJ87" i="10"/>
  <c r="BI87" i="10" s="1"/>
  <c r="BE88" i="10"/>
  <c r="BG88" i="10" s="1"/>
  <c r="BO88" i="10" s="1"/>
  <c r="BS88" i="10" s="1"/>
  <c r="BD88" i="10"/>
  <c r="BF88" i="10" s="1"/>
  <c r="BM88" i="10" s="1"/>
  <c r="BR88" i="10" s="1"/>
  <c r="BC88" i="10"/>
  <c r="BK88" i="10" s="1"/>
  <c r="AJ88" i="10"/>
  <c r="BI88" i="10" s="1"/>
  <c r="BE89" i="10"/>
  <c r="BG89" i="10" s="1"/>
  <c r="BO89" i="10" s="1"/>
  <c r="BS89" i="10" s="1"/>
  <c r="BD89" i="10"/>
  <c r="BF89" i="10" s="1"/>
  <c r="BM89" i="10" s="1"/>
  <c r="BR89" i="10" s="1"/>
  <c r="BC89" i="10"/>
  <c r="BK89" i="10" s="1"/>
  <c r="BQ89" i="10" s="1"/>
  <c r="AJ89" i="10"/>
  <c r="BI89" i="10" s="1"/>
  <c r="BE11" i="10"/>
  <c r="BG11" i="10" s="1"/>
  <c r="BO11" i="10" s="1"/>
  <c r="BS11" i="10" s="1"/>
  <c r="BC11" i="10"/>
  <c r="BK11" i="10" s="1"/>
  <c r="BQ11" i="10" s="1"/>
  <c r="BD11" i="10"/>
  <c r="BF11" i="10" s="1"/>
  <c r="BM11" i="10" s="1"/>
  <c r="BR11" i="10" s="1"/>
  <c r="AJ11" i="10"/>
  <c r="BI11" i="10" s="1"/>
  <c r="BD12" i="10"/>
  <c r="BF12" i="10" s="1"/>
  <c r="BM12" i="10" s="1"/>
  <c r="BR12" i="10" s="1"/>
  <c r="BE12" i="10"/>
  <c r="BG12" i="10" s="1"/>
  <c r="BO12" i="10" s="1"/>
  <c r="BS12" i="10" s="1"/>
  <c r="BC12" i="10"/>
  <c r="BK12" i="10" s="1"/>
  <c r="AJ12" i="10"/>
  <c r="BI12" i="10" s="1"/>
  <c r="BC13" i="10"/>
  <c r="BK13" i="10" s="1"/>
  <c r="BD13" i="10"/>
  <c r="BF13" i="10" s="1"/>
  <c r="BM13" i="10" s="1"/>
  <c r="BR13" i="10" s="1"/>
  <c r="BE13" i="10"/>
  <c r="BG13" i="10" s="1"/>
  <c r="BO13" i="10" s="1"/>
  <c r="BS13" i="10" s="1"/>
  <c r="AJ13" i="10"/>
  <c r="BI13" i="10" s="1"/>
  <c r="BD66" i="10"/>
  <c r="BF66" i="10" s="1"/>
  <c r="BM66" i="10" s="1"/>
  <c r="BR66" i="10" s="1"/>
  <c r="BE66" i="10"/>
  <c r="BG66" i="10" s="1"/>
  <c r="BO66" i="10" s="1"/>
  <c r="BS66" i="10" s="1"/>
  <c r="BC66" i="10"/>
  <c r="BK66" i="10" s="1"/>
  <c r="AJ66" i="10"/>
  <c r="BI66" i="10" s="1"/>
  <c r="BE91" i="10"/>
  <c r="BG91" i="10" s="1"/>
  <c r="BO91" i="10" s="1"/>
  <c r="BS91" i="10" s="1"/>
  <c r="BD91" i="10"/>
  <c r="BF91" i="10" s="1"/>
  <c r="BM91" i="10" s="1"/>
  <c r="BR91" i="10" s="1"/>
  <c r="BC91" i="10"/>
  <c r="BK91" i="10" s="1"/>
  <c r="AJ91" i="10"/>
  <c r="BI91" i="10" s="1"/>
  <c r="BE92" i="10"/>
  <c r="BG92" i="10" s="1"/>
  <c r="BO92" i="10" s="1"/>
  <c r="BS92" i="10" s="1"/>
  <c r="BD92" i="10"/>
  <c r="BF92" i="10" s="1"/>
  <c r="BM92" i="10" s="1"/>
  <c r="BR92" i="10" s="1"/>
  <c r="BC92" i="10"/>
  <c r="BK92" i="10" s="1"/>
  <c r="BQ92" i="10" s="1"/>
  <c r="AJ92" i="10"/>
  <c r="BI92" i="10" s="1"/>
  <c r="BE93" i="10"/>
  <c r="BG93" i="10" s="1"/>
  <c r="BO93" i="10" s="1"/>
  <c r="BS93" i="10" s="1"/>
  <c r="BD93" i="10"/>
  <c r="BF93" i="10" s="1"/>
  <c r="BM93" i="10" s="1"/>
  <c r="BR93" i="10" s="1"/>
  <c r="BC93" i="10"/>
  <c r="BK93" i="10" s="1"/>
  <c r="AJ93" i="10"/>
  <c r="BI93" i="10" s="1"/>
  <c r="BE94" i="10"/>
  <c r="BG94" i="10" s="1"/>
  <c r="BO94" i="10" s="1"/>
  <c r="BS94" i="10" s="1"/>
  <c r="BD94" i="10"/>
  <c r="BF94" i="10" s="1"/>
  <c r="BM94" i="10" s="1"/>
  <c r="BR94" i="10" s="1"/>
  <c r="BC94" i="10"/>
  <c r="BK94" i="10" s="1"/>
  <c r="BQ94" i="10" s="1"/>
  <c r="AJ94" i="10"/>
  <c r="BI94" i="10" s="1"/>
  <c r="BE95" i="10"/>
  <c r="BG95" i="10" s="1"/>
  <c r="BO95" i="10" s="1"/>
  <c r="BS95" i="10" s="1"/>
  <c r="BD95" i="10"/>
  <c r="BF95" i="10" s="1"/>
  <c r="BM95" i="10" s="1"/>
  <c r="BR95" i="10" s="1"/>
  <c r="BC95" i="10"/>
  <c r="BK95" i="10" s="1"/>
  <c r="BQ95" i="10" s="1"/>
  <c r="AJ95" i="10"/>
  <c r="BI95" i="10" s="1"/>
  <c r="BE96" i="10"/>
  <c r="BG96" i="10" s="1"/>
  <c r="BO96" i="10" s="1"/>
  <c r="BS96" i="10" s="1"/>
  <c r="BD96" i="10"/>
  <c r="BF96" i="10" s="1"/>
  <c r="BM96" i="10" s="1"/>
  <c r="BR96" i="10" s="1"/>
  <c r="BC96" i="10"/>
  <c r="BK96" i="10" s="1"/>
  <c r="BQ96" i="10" s="1"/>
  <c r="AJ96" i="10"/>
  <c r="BI96" i="10" s="1"/>
  <c r="BE97" i="10"/>
  <c r="BG97" i="10" s="1"/>
  <c r="BO97" i="10" s="1"/>
  <c r="BS97" i="10" s="1"/>
  <c r="BD97" i="10"/>
  <c r="BF97" i="10" s="1"/>
  <c r="BM97" i="10" s="1"/>
  <c r="BR97" i="10" s="1"/>
  <c r="BC97" i="10"/>
  <c r="BK97" i="10" s="1"/>
  <c r="AJ97" i="10"/>
  <c r="BI97" i="10" s="1"/>
  <c r="BE98" i="10"/>
  <c r="BG98" i="10" s="1"/>
  <c r="BO98" i="10" s="1"/>
  <c r="BS98" i="10" s="1"/>
  <c r="BD98" i="10"/>
  <c r="BF98" i="10" s="1"/>
  <c r="BM98" i="10" s="1"/>
  <c r="BR98" i="10" s="1"/>
  <c r="BC98" i="10"/>
  <c r="BK98" i="10" s="1"/>
  <c r="AJ98" i="10"/>
  <c r="BI98" i="10" s="1"/>
  <c r="BE99" i="10"/>
  <c r="BG99" i="10" s="1"/>
  <c r="BO99" i="10" s="1"/>
  <c r="BS99" i="10" s="1"/>
  <c r="BD99" i="10"/>
  <c r="BF99" i="10" s="1"/>
  <c r="BM99" i="10" s="1"/>
  <c r="BR99" i="10" s="1"/>
  <c r="BC99" i="10"/>
  <c r="BK99" i="10" s="1"/>
  <c r="AJ99" i="10"/>
  <c r="BI99" i="10" s="1"/>
  <c r="BE100" i="10"/>
  <c r="BG100" i="10" s="1"/>
  <c r="BO100" i="10" s="1"/>
  <c r="BS100" i="10" s="1"/>
  <c r="BD100" i="10"/>
  <c r="BF100" i="10" s="1"/>
  <c r="BM100" i="10" s="1"/>
  <c r="BR100" i="10" s="1"/>
  <c r="BC100" i="10"/>
  <c r="BK100" i="10" s="1"/>
  <c r="AJ100" i="10"/>
  <c r="BI100" i="10" s="1"/>
  <c r="BE101" i="10"/>
  <c r="BG101" i="10" s="1"/>
  <c r="BO101" i="10" s="1"/>
  <c r="BS101" i="10" s="1"/>
  <c r="BD101" i="10"/>
  <c r="BF101" i="10" s="1"/>
  <c r="BM101" i="10" s="1"/>
  <c r="BR101" i="10" s="1"/>
  <c r="BC101" i="10"/>
  <c r="BK101" i="10" s="1"/>
  <c r="AJ101" i="10"/>
  <c r="BI101" i="10" s="1"/>
  <c r="BE102" i="10"/>
  <c r="BG102" i="10" s="1"/>
  <c r="BO102" i="10" s="1"/>
  <c r="BS102" i="10" s="1"/>
  <c r="BD102" i="10"/>
  <c r="BF102" i="10" s="1"/>
  <c r="BM102" i="10" s="1"/>
  <c r="BR102" i="10" s="1"/>
  <c r="BC102" i="10"/>
  <c r="BK102" i="10" s="1"/>
  <c r="AJ102" i="10"/>
  <c r="BI102" i="10" s="1"/>
  <c r="BE103" i="10"/>
  <c r="BG103" i="10" s="1"/>
  <c r="BO103" i="10" s="1"/>
  <c r="BS103" i="10" s="1"/>
  <c r="BD103" i="10"/>
  <c r="BF103" i="10" s="1"/>
  <c r="BM103" i="10" s="1"/>
  <c r="BR103" i="10" s="1"/>
  <c r="BC103" i="10"/>
  <c r="BK103" i="10" s="1"/>
  <c r="AJ103" i="10"/>
  <c r="BI103" i="10" s="1"/>
  <c r="BE104" i="10"/>
  <c r="BG104" i="10" s="1"/>
  <c r="BO104" i="10" s="1"/>
  <c r="BS104" i="10" s="1"/>
  <c r="BD104" i="10"/>
  <c r="BF104" i="10" s="1"/>
  <c r="BM104" i="10" s="1"/>
  <c r="BR104" i="10" s="1"/>
  <c r="BC104" i="10"/>
  <c r="BK104" i="10" s="1"/>
  <c r="AJ104" i="10"/>
  <c r="BI104" i="10" s="1"/>
  <c r="BE105" i="10"/>
  <c r="BG105" i="10" s="1"/>
  <c r="BO105" i="10" s="1"/>
  <c r="BS105" i="10" s="1"/>
  <c r="BD105" i="10"/>
  <c r="BF105" i="10" s="1"/>
  <c r="BM105" i="10" s="1"/>
  <c r="BR105" i="10" s="1"/>
  <c r="BC105" i="10"/>
  <c r="BK105" i="10" s="1"/>
  <c r="AJ105" i="10"/>
  <c r="BI105" i="10" s="1"/>
  <c r="BE106" i="10"/>
  <c r="BG106" i="10" s="1"/>
  <c r="BO106" i="10" s="1"/>
  <c r="BS106" i="10" s="1"/>
  <c r="BD106" i="10"/>
  <c r="BF106" i="10" s="1"/>
  <c r="BM106" i="10" s="1"/>
  <c r="BR106" i="10" s="1"/>
  <c r="BC106" i="10"/>
  <c r="BK106" i="10" s="1"/>
  <c r="AJ106" i="10"/>
  <c r="BI106" i="10" s="1"/>
  <c r="BE107" i="10"/>
  <c r="BG107" i="10" s="1"/>
  <c r="BO107" i="10" s="1"/>
  <c r="BS107" i="10" s="1"/>
  <c r="BD107" i="10"/>
  <c r="BF107" i="10" s="1"/>
  <c r="BM107" i="10" s="1"/>
  <c r="BR107" i="10" s="1"/>
  <c r="BC107" i="10"/>
  <c r="BK107" i="10" s="1"/>
  <c r="AJ107" i="10"/>
  <c r="BI107" i="10" s="1"/>
  <c r="BE2" i="10"/>
  <c r="BG2" i="10" s="1"/>
  <c r="BO2" i="10" s="1"/>
  <c r="BS2" i="10" s="1"/>
  <c r="BD2" i="10"/>
  <c r="BF2" i="10" s="1"/>
  <c r="BM2" i="10" s="1"/>
  <c r="BR2" i="10" s="1"/>
  <c r="BC2" i="10"/>
  <c r="BK2" i="10" s="1"/>
  <c r="AJ2" i="10"/>
  <c r="BI2" i="10" s="1"/>
  <c r="BE64" i="10"/>
  <c r="BG64" i="10" s="1"/>
  <c r="BO64" i="10" s="1"/>
  <c r="BS64" i="10" s="1"/>
  <c r="BD64" i="10"/>
  <c r="BF64" i="10" s="1"/>
  <c r="BM64" i="10" s="1"/>
  <c r="BR64" i="10" s="1"/>
  <c r="BC64" i="10"/>
  <c r="BK64" i="10" s="1"/>
  <c r="AJ64" i="10"/>
  <c r="BI64" i="10" s="1"/>
  <c r="BE90" i="10"/>
  <c r="BG90" i="10" s="1"/>
  <c r="BO90" i="10" s="1"/>
  <c r="BS90" i="10" s="1"/>
  <c r="BD90" i="10"/>
  <c r="BF90" i="10" s="1"/>
  <c r="BM90" i="10" s="1"/>
  <c r="BR90" i="10" s="1"/>
  <c r="BC90" i="10"/>
  <c r="BK90" i="10" s="1"/>
  <c r="AJ90" i="10"/>
  <c r="BI90" i="10" s="1"/>
  <c r="BE108" i="10"/>
  <c r="BG108" i="10" s="1"/>
  <c r="BO108" i="10" s="1"/>
  <c r="BS108" i="10" s="1"/>
  <c r="BD108" i="10"/>
  <c r="BF108" i="10" s="1"/>
  <c r="BM108" i="10" s="1"/>
  <c r="BR108" i="10" s="1"/>
  <c r="BC108" i="10"/>
  <c r="BK108" i="10" s="1"/>
  <c r="AJ108" i="10"/>
  <c r="BI108" i="10" s="1"/>
  <c r="BE109" i="10"/>
  <c r="BG109" i="10" s="1"/>
  <c r="BO109" i="10" s="1"/>
  <c r="BS109" i="10" s="1"/>
  <c r="BD109" i="10"/>
  <c r="BF109" i="10" s="1"/>
  <c r="BM109" i="10" s="1"/>
  <c r="BR109" i="10" s="1"/>
  <c r="BC109" i="10"/>
  <c r="BK109" i="10" s="1"/>
  <c r="BQ109" i="10" s="1"/>
  <c r="AJ109" i="10"/>
  <c r="BI109" i="10" s="1"/>
  <c r="BE110" i="10"/>
  <c r="BG110" i="10" s="1"/>
  <c r="BO110" i="10" s="1"/>
  <c r="BS110" i="10" s="1"/>
  <c r="BD110" i="10"/>
  <c r="BF110" i="10" s="1"/>
  <c r="BM110" i="10" s="1"/>
  <c r="BR110" i="10" s="1"/>
  <c r="BC110" i="10"/>
  <c r="BK110" i="10" s="1"/>
  <c r="AJ110" i="10"/>
  <c r="BI110" i="10" s="1"/>
  <c r="BE111" i="10"/>
  <c r="BG111" i="10" s="1"/>
  <c r="BO111" i="10" s="1"/>
  <c r="BS111" i="10" s="1"/>
  <c r="BD111" i="10"/>
  <c r="BF111" i="10" s="1"/>
  <c r="BM111" i="10" s="1"/>
  <c r="BR111" i="10" s="1"/>
  <c r="BC111" i="10"/>
  <c r="BK111" i="10" s="1"/>
  <c r="BQ111" i="10" s="1"/>
  <c r="AJ111" i="10"/>
  <c r="BI111" i="10" s="1"/>
  <c r="BE112" i="10"/>
  <c r="BG112" i="10" s="1"/>
  <c r="BO112" i="10" s="1"/>
  <c r="BS112" i="10" s="1"/>
  <c r="BD112" i="10"/>
  <c r="BF112" i="10" s="1"/>
  <c r="BM112" i="10" s="1"/>
  <c r="BR112" i="10" s="1"/>
  <c r="BC112" i="10"/>
  <c r="BK112" i="10" s="1"/>
  <c r="AJ112" i="10"/>
  <c r="BI112" i="10" s="1"/>
  <c r="BE113" i="10"/>
  <c r="BG113" i="10" s="1"/>
  <c r="BO113" i="10" s="1"/>
  <c r="BS113" i="10" s="1"/>
  <c r="BD113" i="10"/>
  <c r="BF113" i="10" s="1"/>
  <c r="BM113" i="10" s="1"/>
  <c r="BR113" i="10" s="1"/>
  <c r="BC113" i="10"/>
  <c r="BK113" i="10" s="1"/>
  <c r="BQ113" i="10" s="1"/>
  <c r="AJ113" i="10"/>
  <c r="BI113" i="10" s="1"/>
  <c r="BE114" i="10"/>
  <c r="BG114" i="10" s="1"/>
  <c r="BO114" i="10" s="1"/>
  <c r="BS114" i="10" s="1"/>
  <c r="BD114" i="10"/>
  <c r="BF114" i="10" s="1"/>
  <c r="BM114" i="10" s="1"/>
  <c r="BR114" i="10" s="1"/>
  <c r="BC114" i="10"/>
  <c r="BK114" i="10" s="1"/>
  <c r="AJ114" i="10"/>
  <c r="BI114" i="10" s="1"/>
  <c r="BE115" i="10"/>
  <c r="BG115" i="10" s="1"/>
  <c r="BO115" i="10" s="1"/>
  <c r="BS115" i="10" s="1"/>
  <c r="BD115" i="10"/>
  <c r="BF115" i="10" s="1"/>
  <c r="BM115" i="10" s="1"/>
  <c r="BR115" i="10" s="1"/>
  <c r="BC115" i="10"/>
  <c r="BK115" i="10" s="1"/>
  <c r="AJ115" i="10"/>
  <c r="BI115" i="10" s="1"/>
  <c r="BC116" i="10"/>
  <c r="BK116" i="10" s="1"/>
  <c r="BE116" i="10"/>
  <c r="BG116" i="10" s="1"/>
  <c r="BO116" i="10" s="1"/>
  <c r="BS116" i="10" s="1"/>
  <c r="BD116" i="10"/>
  <c r="BF116" i="10" s="1"/>
  <c r="BM116" i="10" s="1"/>
  <c r="BR116" i="10" s="1"/>
  <c r="AJ116" i="10"/>
  <c r="BI116" i="10" s="1"/>
  <c r="BB134" i="10"/>
  <c r="BJ134" i="10" s="1"/>
  <c r="BB157" i="10"/>
  <c r="BJ157" i="10" s="1"/>
  <c r="BB156" i="10"/>
  <c r="BJ156" i="10" s="1"/>
  <c r="BB169" i="10"/>
  <c r="BJ169" i="10" s="1"/>
  <c r="BB143" i="10"/>
  <c r="BJ143" i="10" s="1"/>
  <c r="BB125" i="10"/>
  <c r="BJ125" i="10" s="1"/>
  <c r="BB36" i="10"/>
  <c r="BJ36" i="10" s="1"/>
  <c r="BB27" i="10"/>
  <c r="BJ27" i="10" s="1"/>
  <c r="BQ167" i="10" l="1"/>
  <c r="BQ7" i="10"/>
  <c r="BQ15" i="10"/>
  <c r="BQ49" i="10"/>
  <c r="BQ124" i="10"/>
  <c r="BQ158" i="10"/>
  <c r="BQ22" i="10"/>
  <c r="BQ126" i="10"/>
  <c r="BQ164" i="10"/>
  <c r="BQ47" i="10"/>
  <c r="BQ48" i="10"/>
  <c r="BQ71" i="10"/>
  <c r="BQ159" i="10"/>
  <c r="BQ153" i="10"/>
  <c r="BQ81" i="10"/>
  <c r="BQ82" i="10"/>
  <c r="BQ87" i="10"/>
  <c r="BQ112" i="10"/>
  <c r="BQ34" i="10"/>
  <c r="BQ45" i="10"/>
  <c r="E54" i="7"/>
  <c r="BQ32" i="10"/>
  <c r="BQ141" i="10"/>
  <c r="BQ24" i="10"/>
  <c r="BQ105" i="10"/>
  <c r="BQ17" i="10"/>
  <c r="BQ70" i="10"/>
  <c r="BQ29" i="10"/>
  <c r="BQ33" i="10"/>
  <c r="BQ152" i="10"/>
  <c r="BQ91" i="10"/>
  <c r="BQ99" i="10"/>
  <c r="BQ63" i="10"/>
  <c r="BQ21" i="10"/>
  <c r="BQ23" i="10"/>
  <c r="BQ25" i="10"/>
  <c r="BQ26" i="10"/>
  <c r="BQ117" i="10"/>
  <c r="BQ13" i="10"/>
  <c r="BQ28" i="10"/>
  <c r="BQ38" i="10"/>
  <c r="BQ61" i="10"/>
  <c r="BQ155" i="10"/>
  <c r="BQ8" i="10"/>
  <c r="BQ97" i="10"/>
  <c r="BQ103" i="10"/>
  <c r="BQ114" i="10"/>
  <c r="BQ116" i="10"/>
  <c r="BQ115" i="10"/>
  <c r="B45" i="7"/>
  <c r="C81" i="6"/>
  <c r="C64" i="6"/>
  <c r="B51" i="7" s="1"/>
  <c r="D51" i="7" s="1"/>
  <c r="BQ20" i="10"/>
  <c r="BQ40" i="10"/>
  <c r="BQ41" i="10"/>
  <c r="BQ42" i="10"/>
  <c r="BQ44" i="10"/>
  <c r="BQ52" i="10"/>
  <c r="BQ53" i="10"/>
  <c r="BQ56" i="10"/>
  <c r="BQ60" i="10"/>
  <c r="BQ62" i="10"/>
  <c r="BQ79" i="10"/>
  <c r="BQ19" i="10"/>
  <c r="BQ123" i="10"/>
  <c r="BQ127" i="10"/>
  <c r="BQ128" i="10"/>
  <c r="BQ138" i="10"/>
  <c r="BQ144" i="10"/>
  <c r="BQ147" i="10"/>
  <c r="BQ146" i="10"/>
  <c r="BQ18" i="10"/>
  <c r="BU30" i="10"/>
  <c r="BP30" i="10"/>
  <c r="BU31" i="10"/>
  <c r="BP31" i="10"/>
  <c r="BT31" i="10" s="1"/>
  <c r="BP32" i="10"/>
  <c r="BU32" i="10"/>
  <c r="BQ58" i="10"/>
  <c r="BQ59" i="10"/>
  <c r="BQ151" i="10"/>
  <c r="BQ65" i="10"/>
  <c r="BQ69" i="10"/>
  <c r="BQ83" i="10"/>
  <c r="BQ84" i="10"/>
  <c r="BQ86" i="10"/>
  <c r="BQ12" i="10"/>
  <c r="BP25" i="10"/>
  <c r="BU25" i="10"/>
  <c r="BU26" i="10"/>
  <c r="BP26" i="10"/>
  <c r="BP28" i="10"/>
  <c r="BU28" i="10"/>
  <c r="BP29" i="10"/>
  <c r="BU29" i="10"/>
  <c r="BU33" i="10"/>
  <c r="BP33" i="10"/>
  <c r="BU34" i="10"/>
  <c r="BP34" i="10"/>
  <c r="BU35" i="10"/>
  <c r="BP35" i="10"/>
  <c r="BU20" i="10"/>
  <c r="BP20" i="10"/>
  <c r="BU37" i="10"/>
  <c r="BP37" i="10"/>
  <c r="BT37" i="10" s="1"/>
  <c r="BU38" i="10"/>
  <c r="BP38" i="10"/>
  <c r="BU39" i="10"/>
  <c r="BP39" i="10"/>
  <c r="BU40" i="10"/>
  <c r="BP40" i="10"/>
  <c r="BU41" i="10"/>
  <c r="BP41" i="10"/>
  <c r="BU42" i="10"/>
  <c r="BP42" i="10"/>
  <c r="BP43" i="10"/>
  <c r="BU43" i="10"/>
  <c r="BQ120" i="10"/>
  <c r="BQ77" i="10"/>
  <c r="BQ74" i="10"/>
  <c r="BQ75" i="10"/>
  <c r="BQ129" i="10"/>
  <c r="BQ150" i="10"/>
  <c r="BQ80" i="10"/>
  <c r="BQ135" i="10"/>
  <c r="BQ133" i="10"/>
  <c r="BQ122" i="10"/>
  <c r="BQ121" i="10"/>
  <c r="BQ76" i="10"/>
  <c r="BQ2" i="10"/>
  <c r="C80" i="6"/>
  <c r="C65" i="6"/>
  <c r="B48" i="7"/>
  <c r="B68" i="7" s="1"/>
  <c r="BP21" i="10"/>
  <c r="BU21" i="10"/>
  <c r="BP22" i="10"/>
  <c r="BU22" i="10"/>
  <c r="BU23" i="10"/>
  <c r="BP23" i="10"/>
  <c r="BU24" i="10"/>
  <c r="BP24" i="10"/>
  <c r="BP44" i="10"/>
  <c r="BU44" i="10"/>
  <c r="BP45" i="10"/>
  <c r="BU45" i="10"/>
  <c r="BU54" i="10"/>
  <c r="BP54" i="10"/>
  <c r="BT54" i="10" s="1"/>
  <c r="BU56" i="10"/>
  <c r="BP56" i="10"/>
  <c r="BU57" i="10"/>
  <c r="BP57" i="10"/>
  <c r="BT57" i="10" s="1"/>
  <c r="BU58" i="10"/>
  <c r="BP58" i="10"/>
  <c r="BU59" i="10"/>
  <c r="BP59" i="10"/>
  <c r="BU60" i="10"/>
  <c r="BP60" i="10"/>
  <c r="BP61" i="10"/>
  <c r="BU61" i="10"/>
  <c r="BP62" i="10"/>
  <c r="BU62" i="10"/>
  <c r="BP63" i="10"/>
  <c r="BU63" i="10"/>
  <c r="BU14" i="10"/>
  <c r="BP14" i="10"/>
  <c r="BT14" i="10" s="1"/>
  <c r="BP71" i="10"/>
  <c r="BU71" i="10"/>
  <c r="BU144" i="10"/>
  <c r="BP144" i="10"/>
  <c r="BP145" i="10"/>
  <c r="BT145" i="10" s="1"/>
  <c r="BU145" i="10"/>
  <c r="BP146" i="10"/>
  <c r="BU146" i="10"/>
  <c r="BP147" i="10"/>
  <c r="BU147" i="10"/>
  <c r="BP148" i="10"/>
  <c r="BT148" i="10" s="1"/>
  <c r="BU148" i="10"/>
  <c r="BQ154" i="10"/>
  <c r="BQ140" i="10"/>
  <c r="BQ137" i="10"/>
  <c r="BQ136" i="10"/>
  <c r="BQ51" i="10"/>
  <c r="BQ43" i="10"/>
  <c r="BQ39" i="10"/>
  <c r="BQ35" i="10"/>
  <c r="BQ30" i="10"/>
  <c r="BQ10" i="10"/>
  <c r="BQ9" i="10"/>
  <c r="BQ5" i="10"/>
  <c r="BQ4" i="10"/>
  <c r="BQ3" i="10"/>
  <c r="BQ107" i="10"/>
  <c r="BQ67" i="10"/>
  <c r="BQ72" i="10"/>
  <c r="BQ73" i="10"/>
  <c r="BQ88" i="10"/>
  <c r="BQ66" i="10"/>
  <c r="BQ102" i="10"/>
  <c r="BQ108" i="10"/>
  <c r="BQ104" i="10"/>
  <c r="BQ106" i="10"/>
  <c r="BQ90" i="10"/>
  <c r="BQ110" i="10"/>
  <c r="BQ93" i="10"/>
  <c r="BQ98" i="10"/>
  <c r="BQ100" i="10"/>
  <c r="BQ101" i="10"/>
  <c r="BQ64" i="10"/>
  <c r="BQ134" i="10"/>
  <c r="BQ157" i="10"/>
  <c r="BQ156" i="10"/>
  <c r="BQ169" i="10"/>
  <c r="BU55" i="10"/>
  <c r="BQ55" i="10"/>
  <c r="BT55" i="10" s="1"/>
  <c r="BQ119" i="10"/>
  <c r="BT119" i="10" s="1"/>
  <c r="BU119" i="10"/>
  <c r="BQ118" i="10"/>
  <c r="BT118" i="10" s="1"/>
  <c r="BU118" i="10"/>
  <c r="BU68" i="10"/>
  <c r="BQ68" i="10"/>
  <c r="BT68" i="10" s="1"/>
  <c r="BP46" i="10"/>
  <c r="BT46" i="10" s="1"/>
  <c r="BU46" i="10"/>
  <c r="BP47" i="10"/>
  <c r="BU47" i="10"/>
  <c r="BP48" i="10"/>
  <c r="BU48" i="10"/>
  <c r="BP49" i="10"/>
  <c r="BU49" i="10"/>
  <c r="BP50" i="10"/>
  <c r="BT50" i="10" s="1"/>
  <c r="BU50" i="10"/>
  <c r="BP51" i="10"/>
  <c r="BU51" i="10"/>
  <c r="BU52" i="10"/>
  <c r="BP52" i="10"/>
  <c r="BP53" i="10"/>
  <c r="BU53" i="10"/>
  <c r="BU74" i="10"/>
  <c r="BP74" i="10"/>
  <c r="BP75" i="10"/>
  <c r="BU75" i="10"/>
  <c r="BU76" i="10"/>
  <c r="BP76" i="10"/>
  <c r="BP77" i="10"/>
  <c r="BU77" i="10"/>
  <c r="BU78" i="10"/>
  <c r="BP78" i="10"/>
  <c r="BT78" i="10" s="1"/>
  <c r="BU79" i="10"/>
  <c r="BP79" i="10"/>
  <c r="BU80" i="10"/>
  <c r="BP80" i="10"/>
  <c r="BU15" i="10"/>
  <c r="BP15" i="10"/>
  <c r="BU19" i="10"/>
  <c r="BP19" i="10"/>
  <c r="BP123" i="10"/>
  <c r="BU123" i="10"/>
  <c r="BU124" i="10"/>
  <c r="BP124" i="10"/>
  <c r="BU121" i="10"/>
  <c r="BP121" i="10"/>
  <c r="BU122" i="10"/>
  <c r="BP122" i="10"/>
  <c r="BU126" i="10"/>
  <c r="BP126" i="10"/>
  <c r="BU127" i="10"/>
  <c r="BP127" i="10"/>
  <c r="BU128" i="10"/>
  <c r="BP128" i="10"/>
  <c r="BU129" i="10"/>
  <c r="BP129" i="10"/>
  <c r="BU130" i="10"/>
  <c r="BP130" i="10"/>
  <c r="BT130" i="10" s="1"/>
  <c r="BP131" i="10"/>
  <c r="BT131" i="10" s="1"/>
  <c r="BU131" i="10"/>
  <c r="BU132" i="10"/>
  <c r="BP132" i="10"/>
  <c r="BT132" i="10" s="1"/>
  <c r="BP133" i="10"/>
  <c r="BU133" i="10"/>
  <c r="BP134" i="10"/>
  <c r="BU134" i="10"/>
  <c r="BP117" i="10"/>
  <c r="BU117" i="10"/>
  <c r="BP120" i="10"/>
  <c r="BU120" i="10"/>
  <c r="BU135" i="10"/>
  <c r="BP135" i="10"/>
  <c r="BU136" i="10"/>
  <c r="BP136" i="10"/>
  <c r="BU137" i="10"/>
  <c r="BP137" i="10"/>
  <c r="BU138" i="10"/>
  <c r="BP138" i="10"/>
  <c r="BU139" i="10"/>
  <c r="BP139" i="10"/>
  <c r="BT139" i="10" s="1"/>
  <c r="BU140" i="10"/>
  <c r="BP140" i="10"/>
  <c r="BU141" i="10"/>
  <c r="BP141" i="10"/>
  <c r="BU142" i="10"/>
  <c r="BP142" i="10"/>
  <c r="BT142" i="10" s="1"/>
  <c r="BU149" i="10"/>
  <c r="BP149" i="10"/>
  <c r="BT149" i="10" s="1"/>
  <c r="BP150" i="10"/>
  <c r="BU150" i="10"/>
  <c r="BP151" i="10"/>
  <c r="BU151" i="10"/>
  <c r="BP152" i="10"/>
  <c r="BU152" i="10"/>
  <c r="BP154" i="10"/>
  <c r="BU154" i="10"/>
  <c r="BP155" i="10"/>
  <c r="BU155" i="10"/>
  <c r="BP156" i="10"/>
  <c r="BU156" i="10"/>
  <c r="BU157" i="10"/>
  <c r="BP157" i="10"/>
  <c r="BU158" i="10"/>
  <c r="BP158" i="10"/>
  <c r="BU159" i="10"/>
  <c r="BP159" i="10"/>
  <c r="BP160" i="10"/>
  <c r="BT160" i="10" s="1"/>
  <c r="BU160" i="10"/>
  <c r="BP161" i="10"/>
  <c r="BT161" i="10" s="1"/>
  <c r="BU161" i="10"/>
  <c r="BU153" i="10"/>
  <c r="BP153" i="10"/>
  <c r="BP162" i="10"/>
  <c r="BT162" i="10" s="1"/>
  <c r="BU162" i="10"/>
  <c r="BP163" i="10"/>
  <c r="BT163" i="10" s="1"/>
  <c r="BU163" i="10"/>
  <c r="BU164" i="10"/>
  <c r="BP164" i="10"/>
  <c r="BU165" i="10"/>
  <c r="BP165" i="10"/>
  <c r="BT165" i="10" s="1"/>
  <c r="BP166" i="10"/>
  <c r="BT166" i="10" s="1"/>
  <c r="BU166" i="10"/>
  <c r="BU167" i="10"/>
  <c r="BP167" i="10"/>
  <c r="BU168" i="10"/>
  <c r="BP168" i="10"/>
  <c r="BT168" i="10" s="1"/>
  <c r="BU169" i="10"/>
  <c r="BP169" i="10"/>
  <c r="BU3" i="10"/>
  <c r="BP3" i="10"/>
  <c r="BP4" i="10"/>
  <c r="BU4" i="10"/>
  <c r="BP5" i="10"/>
  <c r="BU5" i="10"/>
  <c r="BP6" i="10"/>
  <c r="BT6" i="10" s="1"/>
  <c r="BU6" i="10"/>
  <c r="BP7" i="10"/>
  <c r="BU7" i="10"/>
  <c r="BU8" i="10"/>
  <c r="BP8" i="10"/>
  <c r="BU9" i="10"/>
  <c r="BP9" i="10"/>
  <c r="BU10" i="10"/>
  <c r="BP10" i="10"/>
  <c r="BU16" i="10"/>
  <c r="BP16" i="10"/>
  <c r="BT16" i="10" s="1"/>
  <c r="BU17" i="10"/>
  <c r="BP17" i="10"/>
  <c r="BU18" i="10"/>
  <c r="BP18" i="10"/>
  <c r="D79" i="6"/>
  <c r="B57" i="7"/>
  <c r="E32" i="7"/>
  <c r="D32" i="7"/>
  <c r="C97" i="7"/>
  <c r="E57" i="7"/>
  <c r="C73" i="6"/>
  <c r="B59" i="7"/>
  <c r="D78" i="6"/>
  <c r="E78" i="6" s="1"/>
  <c r="B32" i="7"/>
  <c r="C72" i="7" s="1"/>
  <c r="C74" i="6"/>
  <c r="B60" i="7"/>
  <c r="C66" i="7"/>
  <c r="D66" i="7" s="1"/>
  <c r="BU65" i="10"/>
  <c r="BP65" i="10"/>
  <c r="BU67" i="10"/>
  <c r="BP67" i="10"/>
  <c r="BU69" i="10"/>
  <c r="BP69" i="10"/>
  <c r="BU70" i="10"/>
  <c r="BP70" i="10"/>
  <c r="BU72" i="10"/>
  <c r="BP72" i="10"/>
  <c r="BU73" i="10"/>
  <c r="BP73" i="10"/>
  <c r="BU81" i="10"/>
  <c r="BP81" i="10"/>
  <c r="BU82" i="10"/>
  <c r="BP82" i="10"/>
  <c r="BU83" i="10"/>
  <c r="BP83" i="10"/>
  <c r="BU84" i="10"/>
  <c r="BP84" i="10"/>
  <c r="BU85" i="10"/>
  <c r="BP85" i="10"/>
  <c r="BT85" i="10" s="1"/>
  <c r="BU86" i="10"/>
  <c r="BP86" i="10"/>
  <c r="BU87" i="10"/>
  <c r="BP87" i="10"/>
  <c r="BU88" i="10"/>
  <c r="BP88" i="10"/>
  <c r="BU89" i="10"/>
  <c r="BP89" i="10"/>
  <c r="BT89" i="10" s="1"/>
  <c r="BU11" i="10"/>
  <c r="BP11" i="10"/>
  <c r="BT11" i="10" s="1"/>
  <c r="BP12" i="10"/>
  <c r="BU12" i="10"/>
  <c r="BU13" i="10"/>
  <c r="BP13" i="10"/>
  <c r="BU66" i="10"/>
  <c r="BP66" i="10"/>
  <c r="BP91" i="10"/>
  <c r="BU91" i="10"/>
  <c r="BU92" i="10"/>
  <c r="BP92" i="10"/>
  <c r="BT92" i="10" s="1"/>
  <c r="BU93" i="10"/>
  <c r="BP93" i="10"/>
  <c r="BU94" i="10"/>
  <c r="BP94" i="10"/>
  <c r="BT94" i="10" s="1"/>
  <c r="BU95" i="10"/>
  <c r="BP95" i="10"/>
  <c r="BT95" i="10" s="1"/>
  <c r="BU96" i="10"/>
  <c r="BP96" i="10"/>
  <c r="BT96" i="10" s="1"/>
  <c r="BU97" i="10"/>
  <c r="BP97" i="10"/>
  <c r="BU98" i="10"/>
  <c r="BP98" i="10"/>
  <c r="BP99" i="10"/>
  <c r="BU99" i="10"/>
  <c r="BU100" i="10"/>
  <c r="BP100" i="10"/>
  <c r="BU101" i="10"/>
  <c r="BP101" i="10"/>
  <c r="BU102" i="10"/>
  <c r="BP102" i="10"/>
  <c r="BU103" i="10"/>
  <c r="BP103" i="10"/>
  <c r="BU104" i="10"/>
  <c r="BP104" i="10"/>
  <c r="BU105" i="10"/>
  <c r="BP105" i="10"/>
  <c r="BU106" i="10"/>
  <c r="BP106" i="10"/>
  <c r="BU107" i="10"/>
  <c r="BP107" i="10"/>
  <c r="BU2" i="10"/>
  <c r="BP2" i="10"/>
  <c r="BP64" i="10"/>
  <c r="BU64" i="10"/>
  <c r="BP90" i="10"/>
  <c r="BU90" i="10"/>
  <c r="BU108" i="10"/>
  <c r="BP108" i="10"/>
  <c r="BU109" i="10"/>
  <c r="BP109" i="10"/>
  <c r="BT109" i="10" s="1"/>
  <c r="BU110" i="10"/>
  <c r="BP110" i="10"/>
  <c r="BU111" i="10"/>
  <c r="BP111" i="10"/>
  <c r="BT111" i="10" s="1"/>
  <c r="BU112" i="10"/>
  <c r="BP112" i="10"/>
  <c r="BU113" i="10"/>
  <c r="BP113" i="10"/>
  <c r="BT113" i="10" s="1"/>
  <c r="BU114" i="10"/>
  <c r="BP114" i="10"/>
  <c r="BU115" i="10"/>
  <c r="BP115" i="10"/>
  <c r="BP116" i="10"/>
  <c r="BU116" i="10"/>
  <c r="BQ143" i="10"/>
  <c r="BT143" i="10" s="1"/>
  <c r="BU143" i="10"/>
  <c r="BQ125" i="10"/>
  <c r="BT125" i="10" s="1"/>
  <c r="BU125" i="10"/>
  <c r="BQ36" i="10"/>
  <c r="BT36" i="10" s="1"/>
  <c r="BU36" i="10"/>
  <c r="BQ27" i="10"/>
  <c r="BT27" i="10" s="1"/>
  <c r="BU27" i="10"/>
  <c r="BT167" i="10" l="1"/>
  <c r="BT7" i="10"/>
  <c r="BT32" i="10"/>
  <c r="BT34" i="10"/>
  <c r="BT22" i="10"/>
  <c r="BT24" i="10"/>
  <c r="BT15" i="10"/>
  <c r="BT45" i="10"/>
  <c r="BT71" i="10"/>
  <c r="BT91" i="10"/>
  <c r="BT47" i="10"/>
  <c r="BT48" i="10"/>
  <c r="BT49" i="10"/>
  <c r="BT126" i="10"/>
  <c r="BT81" i="10"/>
  <c r="BT124" i="10"/>
  <c r="BT158" i="10"/>
  <c r="BT159" i="10"/>
  <c r="BT153" i="10"/>
  <c r="BT164" i="10"/>
  <c r="BT82" i="10"/>
  <c r="BT87" i="10"/>
  <c r="BT99" i="10"/>
  <c r="BT112" i="10"/>
  <c r="BT141" i="10"/>
  <c r="BT152" i="10"/>
  <c r="BT105" i="10"/>
  <c r="BT17" i="10"/>
  <c r="BT70" i="10"/>
  <c r="BT29" i="10"/>
  <c r="BT33" i="10"/>
  <c r="BT21" i="10"/>
  <c r="BT23" i="10"/>
  <c r="BT63" i="10"/>
  <c r="BT134" i="10"/>
  <c r="BT25" i="10"/>
  <c r="BT26" i="10"/>
  <c r="BT28" i="10"/>
  <c r="BT117" i="10"/>
  <c r="BT8" i="10"/>
  <c r="BT155" i="10"/>
  <c r="BT13" i="10"/>
  <c r="BT38" i="10"/>
  <c r="BT40" i="10"/>
  <c r="BT41" i="10"/>
  <c r="BT42" i="10"/>
  <c r="BT151" i="10"/>
  <c r="BT61" i="10"/>
  <c r="BT65" i="10"/>
  <c r="BT69" i="10"/>
  <c r="BT83" i="10"/>
  <c r="BT84" i="10"/>
  <c r="BT86" i="10"/>
  <c r="BT97" i="10"/>
  <c r="BT103" i="10"/>
  <c r="BT114" i="10"/>
  <c r="BT115" i="10"/>
  <c r="BT116" i="10"/>
  <c r="D45" i="7"/>
  <c r="B75" i="7"/>
  <c r="B69" i="7"/>
  <c r="BT20" i="10"/>
  <c r="BT44" i="10"/>
  <c r="BT56" i="10"/>
  <c r="BT58" i="10"/>
  <c r="BT59" i="10"/>
  <c r="BT60" i="10"/>
  <c r="BT62" i="10"/>
  <c r="BT144" i="10"/>
  <c r="BT146" i="10"/>
  <c r="BT147" i="10"/>
  <c r="BT30" i="10"/>
  <c r="BT53" i="10"/>
  <c r="BT79" i="10"/>
  <c r="BT52" i="10"/>
  <c r="BT19" i="10"/>
  <c r="BT123" i="10"/>
  <c r="BT127" i="10"/>
  <c r="BT128" i="10"/>
  <c r="BT138" i="10"/>
  <c r="BT3" i="10"/>
  <c r="D57" i="7"/>
  <c r="C73" i="7"/>
  <c r="C67" i="7"/>
  <c r="B61" i="7"/>
  <c r="D80" i="6"/>
  <c r="E80" i="6" s="1"/>
  <c r="D62" i="7"/>
  <c r="E62" i="7"/>
  <c r="BT43" i="10"/>
  <c r="BT39" i="10"/>
  <c r="BT35" i="10"/>
  <c r="BT129" i="10"/>
  <c r="BT4" i="10"/>
  <c r="BT5" i="10"/>
  <c r="BT9" i="10"/>
  <c r="BT10" i="10"/>
  <c r="BT18" i="10"/>
  <c r="BT12" i="10"/>
  <c r="D81" i="6"/>
  <c r="E81" i="6" s="1"/>
  <c r="B62" i="7"/>
  <c r="BT74" i="10"/>
  <c r="BT76" i="10"/>
  <c r="BT121" i="10"/>
  <c r="BT51" i="10"/>
  <c r="BT75" i="10"/>
  <c r="BT77" i="10"/>
  <c r="BT80" i="10"/>
  <c r="BT122" i="10"/>
  <c r="BT133" i="10"/>
  <c r="BT120" i="10"/>
  <c r="BT135" i="10"/>
  <c r="BT136" i="10"/>
  <c r="BT137" i="10"/>
  <c r="BT140" i="10"/>
  <c r="BT150" i="10"/>
  <c r="BT154" i="10"/>
  <c r="B52" i="7"/>
  <c r="D52" i="7" s="1"/>
  <c r="C67" i="6"/>
  <c r="BT67" i="10"/>
  <c r="BT72" i="10"/>
  <c r="BT73" i="10"/>
  <c r="BT66" i="10"/>
  <c r="BT93" i="10"/>
  <c r="BT98" i="10"/>
  <c r="BT100" i="10"/>
  <c r="BT101" i="10"/>
  <c r="BT102" i="10"/>
  <c r="BT104" i="10"/>
  <c r="BT106" i="10"/>
  <c r="BT107" i="10"/>
  <c r="BT2" i="10"/>
  <c r="BT64" i="10"/>
  <c r="BT90" i="10"/>
  <c r="BT108" i="10"/>
  <c r="BT110" i="10"/>
  <c r="D48" i="7"/>
  <c r="B74" i="7"/>
  <c r="BT156" i="10"/>
  <c r="BT157" i="10"/>
  <c r="BT169" i="10"/>
  <c r="BT88" i="10"/>
  <c r="C74" i="7" l="1"/>
  <c r="D61" i="7"/>
  <c r="C68" i="7"/>
  <c r="D68" i="7" s="1"/>
  <c r="C69" i="7"/>
  <c r="D69" i="7" s="1"/>
  <c r="C75" i="7"/>
  <c r="B54" i="7"/>
  <c r="C79" i="6"/>
  <c r="E79" i="6" s="1"/>
  <c r="B73" i="7" l="1"/>
  <c r="B67" i="7"/>
  <c r="D67" i="7" s="1"/>
  <c r="D54"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tc={ABC8CDD0-9C17-4B8E-9AB3-D79B48FF4885}</author>
  </authors>
  <commentList>
    <comment ref="B11" authorId="0" shapeId="0" xr:uid="{00000000-0006-0000-0600-000001000000}">
      <text>
        <r>
          <rPr>
            <sz val="11"/>
            <color theme="1"/>
            <rFont val="Calibri"/>
          </rPr>
          <t>[Threaded comment]
Your version of Excel allows you to read this threaded comment; however, any edits to it will get removed if the file is opened in a newer version of Excel. Learn more: https://go.microsoft.com/fwlink/?linkid=870924
Comment:
    Note this is different from “Highway Loading” tab</t>
        </r>
      </text>
    </comment>
  </commentList>
</comments>
</file>

<file path=xl/sharedStrings.xml><?xml version="1.0" encoding="utf-8"?>
<sst xmlns="http://schemas.openxmlformats.org/spreadsheetml/2006/main" count="3377" uniqueCount="762">
  <si>
    <t>Technical - Tool</t>
  </si>
  <si>
    <t>Gas Pipeline</t>
  </si>
  <si>
    <t>API 1102 Highway Loading</t>
  </si>
  <si>
    <t>HDR Engineering Inc.</t>
  </si>
  <si>
    <t xml:space="preserve"> Approved By:</t>
  </si>
  <si>
    <t xml:space="preserve">Rev 0 </t>
  </si>
  <si>
    <t>Best Practice</t>
  </si>
  <si>
    <t>Issue Date:</t>
  </si>
  <si>
    <t>Author:</t>
  </si>
  <si>
    <t>Barry Brookins</t>
  </si>
  <si>
    <t>Owner:</t>
  </si>
  <si>
    <t>Revision History</t>
  </si>
  <si>
    <t>Rev</t>
  </si>
  <si>
    <t>Description of Change</t>
  </si>
  <si>
    <t>Effective Date</t>
  </si>
  <si>
    <t>Originator</t>
  </si>
  <si>
    <t>Checker</t>
  </si>
  <si>
    <t>Reviewer</t>
  </si>
  <si>
    <t>Initial Release</t>
  </si>
  <si>
    <t>Barry B.</t>
  </si>
  <si>
    <t>Holly E.</t>
  </si>
  <si>
    <t>For questions regarding this Spreadsheet contact</t>
  </si>
  <si>
    <t>HDR Engineering Inc. - Rosemont, IL</t>
  </si>
  <si>
    <t>barry.brookins@hdrinc.com</t>
  </si>
  <si>
    <t>or</t>
  </si>
  <si>
    <t>Jon Liechti</t>
  </si>
  <si>
    <t>HDR Engineering Inc. - Tulsa, OK</t>
  </si>
  <si>
    <t>918.281.4330</t>
  </si>
  <si>
    <t>Jonathan.Liechti@hdrinc.com</t>
  </si>
  <si>
    <t>Conventions for this spreadsheet</t>
  </si>
  <si>
    <t>Convention</t>
  </si>
  <si>
    <t>Meaning</t>
  </si>
  <si>
    <t>Black on White</t>
  </si>
  <si>
    <t>Formulas or Constants (Not to be updated)</t>
  </si>
  <si>
    <t>Black on Yellow</t>
  </si>
  <si>
    <t>Data Entry (Overwrites) - Unprotected Cell</t>
  </si>
  <si>
    <t>Table of Contents</t>
  </si>
  <si>
    <t>SHEET</t>
  </si>
  <si>
    <t>Contents</t>
  </si>
  <si>
    <t>Cover</t>
  </si>
  <si>
    <t>Best Practice approval and contact information</t>
  </si>
  <si>
    <t>Instructions</t>
  </si>
  <si>
    <t>Spreadsheet Instructions</t>
  </si>
  <si>
    <t>Info</t>
  </si>
  <si>
    <t>User Information</t>
  </si>
  <si>
    <t>Highway Loading</t>
  </si>
  <si>
    <t>API 1102 Highway Loading Analysis</t>
  </si>
  <si>
    <t>Hand Calcs</t>
  </si>
  <si>
    <t>QC Hand-Calc</t>
  </si>
  <si>
    <t>Tables</t>
  </si>
  <si>
    <t>Tables used for dropdowns and VLOOKUP's within the calculation tab</t>
  </si>
  <si>
    <t>Sources</t>
  </si>
  <si>
    <t>Sources used for calculations</t>
  </si>
  <si>
    <t>ReadMe</t>
  </si>
  <si>
    <t>1 PURPOSE</t>
  </si>
  <si>
    <t>The purpose of this procedure is to check the combined stress of a pipeline due to internal pipeline pressure and external highway loading.</t>
  </si>
  <si>
    <t>2 DEFINITIONS</t>
  </si>
  <si>
    <t>3 PROCEDURES</t>
  </si>
  <si>
    <t>The stresses due to internal and external highway loads on a pipeline is determined by first acquiring the allowable and actual Barlow stress, and the circumferntial stress due to the earth load. Then the cyclic circumferential and longitudinal stresses are calculated, followed by the circumferential stress due to internal pressurization. Next, the max circumferential, longitudinal, and radial stresses are calculated. Finally, the actual and allowable effective, girth, and longitudinal stresses are calculated.</t>
  </si>
  <si>
    <t>3.1 Calculate the Hoop Stress (Barlow):</t>
  </si>
  <si>
    <t>Hoop Stress (Barlow) = Pressure * Pipe Diameter / (2 * Wall Thickness)</t>
  </si>
  <si>
    <t>3.2 Calculate the Allowable Hoop Stress:</t>
  </si>
  <si>
    <t>Allowable Hoop Stress = Design Factor * Longitudinal Joint Factor * Temperature Derating Factor * SMYS</t>
  </si>
  <si>
    <t>3.3 Calculate the Circumferential Stress from Earth Load:</t>
  </si>
  <si>
    <t>Circumferential Stress from Earth Load = Stiffness Factor for Earth Load Circumferential Stress * Burial Factor for Earth Load Circumferential Stress * Excavation Factor for Earth Load Circumferential Stress * Average Unit Weight of Soil * Pipe Diameter</t>
  </si>
  <si>
    <t>3.4 Calculate the Highway Cyclic Circumferential Stress:</t>
  </si>
  <si>
    <t>Highway Cyclic Circumferential Stress = Highway Stiffness Factor for Cyclic Circumferential Stress * Highway Geometry Factor for Cyclic Circumferential Stress * Highway Pavement Type Factor * Axle Configuration Factor * Impact Factor * Design Wheel Load</t>
  </si>
  <si>
    <t>3.5 Calculate the Highway Cyclic Longitudinal Stress:</t>
  </si>
  <si>
    <t>Highway Cyclic Longitudinal Stress = Highway Stiffness Factor for Cyclic Longitudinal Stress * Highway Geometry Factor for Cyclic Longitudinal Stress * Highway Pavement Type Factor * Axle Configuration Factor * Impact Factor * Design Wheel Load</t>
  </si>
  <si>
    <t>3.6 Calculate the Circumferential Stress Due to Internal Pressurization:</t>
  </si>
  <si>
    <t>Circumferential Stress Due to Internal Pressurization = Pressure * (Pipe Diameter - Wall Thickness) / (2 * Wall  Thickness)</t>
  </si>
  <si>
    <t>3.7 Calculate the Maximum Circumferential Stress:</t>
  </si>
  <si>
    <t>Maximum Circumferential Stress =  Circumferential Stress from Earth Load + Highway Cyclic Circumferential Stress + Circumferential Stress Due to Internal Pressurization</t>
  </si>
  <si>
    <t>3.8 Calculate the Maximum Longitudinal Stress:</t>
  </si>
  <si>
    <t>Maximum Longitudinal Stress = Highway Cyclic Longitudinal Stress - Young's Modulus * Coeffient of Thermal Expansion * (Installation Temp - Operating Temp) + Poisson's Ratio * (Circumferential Stress from Earth Load + Circumferential Stress Due to Internal Pressurization)</t>
  </si>
  <si>
    <t>3.9 Calculate the Maximum Radial Stress Result:</t>
  </si>
  <si>
    <t>Maximum Radial Stress Result = -1 * Pressure</t>
  </si>
  <si>
    <t>3.10 Calculate the Total Effective Stress:</t>
  </si>
  <si>
    <t>Total Effective Stress = Sqrt(1/2 * (Maximum Circumferential Stress - Maximum Longitudinal Stress)^2 + (Maximum Longitudinal Stress - Maximum Radial Stress)^2 + (Maximum Radial Stress - Maximum Circumferential Stress)^2)</t>
  </si>
  <si>
    <t>3.11 Calculate the Allowable Effective Stress:</t>
  </si>
  <si>
    <t>Allowable Effective Stress = SMYS * Design Factor</t>
  </si>
  <si>
    <t>3.12 Calculate the Allowable Stress of Girth Welds:</t>
  </si>
  <si>
    <t>Allowable Stress of Girth Welds = Fatigue Resistance of Girth Welds * Design Factor</t>
  </si>
  <si>
    <t>3.13 Calculate the Allowable Stress of Longitudinal Welds:</t>
  </si>
  <si>
    <t>Allowable Stress of Longitudinal Welds = Fatigue Resistance of Longitudinal Welds * Design Factor</t>
  </si>
  <si>
    <t>4 SOURCES</t>
  </si>
  <si>
    <t>API RP 1102, 7th Edition (December 2007, Reaffirmed June 2024)
49 CFR Part 192 Subpart C - Pipe Design
ASME B31.8 - Gas Transmission and Distribution Piping Systems</t>
  </si>
  <si>
    <t>5 LIMITATIONS</t>
  </si>
  <si>
    <t>This calculator is applicable for:</t>
  </si>
  <si>
    <t>• Steel pipelines with tw/D ratio between 0.01 and 0.08</t>
  </si>
  <si>
    <t>• Highway crossings with depth of cover between 3 and 10 ft</t>
  </si>
  <si>
    <t>• Pipe diameters from 2.375 to 48 inches</t>
  </si>
  <si>
    <t>• Operating pressures up to 6000 psi</t>
  </si>
  <si>
    <t>• Operating temperatures from -20°F to 450°F</t>
  </si>
  <si>
    <t>For conditions outside these ranges, consult API RP 1102 directly.</t>
  </si>
  <si>
    <t>Purpose</t>
  </si>
  <si>
    <t>Find</t>
  </si>
  <si>
    <t>Description</t>
  </si>
  <si>
    <t>Variable</t>
  </si>
  <si>
    <t>Unit</t>
  </si>
  <si>
    <t>Comment</t>
  </si>
  <si>
    <t>Barlow Stress</t>
  </si>
  <si>
    <t>SHi</t>
  </si>
  <si>
    <t>psi</t>
  </si>
  <si>
    <t>Effective Stress</t>
  </si>
  <si>
    <t>Seff</t>
  </si>
  <si>
    <t>Girth Weld Stress</t>
  </si>
  <si>
    <t>SLh</t>
  </si>
  <si>
    <t>Long. Weld Stress</t>
  </si>
  <si>
    <t>SHh</t>
  </si>
  <si>
    <t>Given</t>
  </si>
  <si>
    <t>Value</t>
  </si>
  <si>
    <t>Pipe Diameter</t>
  </si>
  <si>
    <t>in</t>
  </si>
  <si>
    <t>D - Pipe Outside Diameter</t>
  </si>
  <si>
    <t>tw - Wall Thickness</t>
  </si>
  <si>
    <t>Pipe Specification</t>
  </si>
  <si>
    <t>API 5L</t>
  </si>
  <si>
    <t>Pipe Grade</t>
  </si>
  <si>
    <t>X65</t>
  </si>
  <si>
    <t>SMYS</t>
  </si>
  <si>
    <t xml:space="preserve">Pipeline Location </t>
  </si>
  <si>
    <t>Pipelines, mains, and service lines</t>
  </si>
  <si>
    <t>Class Location</t>
  </si>
  <si>
    <t>F - Design Factor</t>
  </si>
  <si>
    <t>Pipe Class</t>
  </si>
  <si>
    <t>Electric Resistance Welded</t>
  </si>
  <si>
    <t>E - Longitudinal Joint Factor</t>
  </si>
  <si>
    <t>Pipe Material</t>
  </si>
  <si>
    <t>Steel</t>
  </si>
  <si>
    <t>Es - Young's Modulus</t>
  </si>
  <si>
    <t>v - Poisson's Ratio</t>
  </si>
  <si>
    <t>α - Coefficient of thermal expansion</t>
  </si>
  <si>
    <t>1/°F</t>
  </si>
  <si>
    <t>T2 - Operating Temperature</t>
  </si>
  <si>
    <t>°F</t>
  </si>
  <si>
    <t>Recommended Temp. Range: -20°F to 450°F</t>
  </si>
  <si>
    <t>T - Temperature Derating Factor</t>
  </si>
  <si>
    <t>P - Operating Pressure</t>
  </si>
  <si>
    <t>Allowable Range: 0 to 6000</t>
  </si>
  <si>
    <t>Soil Type</t>
  </si>
  <si>
    <t>Loose sands and gravels</t>
  </si>
  <si>
    <t>E' - Modulus of Soil Reaction</t>
  </si>
  <si>
    <t>Er - Resilient Modulus</t>
  </si>
  <si>
    <t>γ - Average Unit Weight of Soil</t>
  </si>
  <si>
    <t>lb/ft3</t>
  </si>
  <si>
    <t>Typically equal to 120 PCF. Allowable range: 50-200</t>
  </si>
  <si>
    <t>H - Pipe Depth</t>
  </si>
  <si>
    <t>ft</t>
  </si>
  <si>
    <t>Allowable Range: 1 to 30</t>
  </si>
  <si>
    <t>Bd - Bored Diameter</t>
  </si>
  <si>
    <t>inch</t>
  </si>
  <si>
    <t>Equal to D+2 if pipe is proposed or within 10 years of installation
Equal to D+1 if pipe is within 10-20 years of installation
Equal to D if pipe was installed greater than 20 years ago</t>
  </si>
  <si>
    <t>Pavement Type</t>
  </si>
  <si>
    <t>Flexible</t>
  </si>
  <si>
    <t>Critical Configuration</t>
  </si>
  <si>
    <t>Tandem Axle</t>
  </si>
  <si>
    <t>Cricitical case is tandem axle unless: no pavement, H &lt; 4 ft., and D &lt;= 12 in.</t>
  </si>
  <si>
    <t>Design Wheel Load</t>
  </si>
  <si>
    <t>lbs</t>
  </si>
  <si>
    <t>T1 - Installation Temperature</t>
  </si>
  <si>
    <t>Allowed Temp. Range: -20°F to 450°F</t>
  </si>
  <si>
    <t>Equations</t>
  </si>
  <si>
    <t>Hoop Stress (Barlow) = Pressure * Pipe Diameter / (2 * Wall Thickness)
Allowable Hoop Stress = Design Factor * Longitudinal Joint Factor * Temperature Derating Factor * SMYS
Circumferential Stress from Earth Load = Stiffness Factor for Earth Load Circumferential Stress * Burial Factor for Earth Load Circumferential Stress * Excavation Factor for Earth Load Circumferential Stress * Average Unit Weight of Soil * Pipe Diameter
Highway Cyclic Circumferential Stress = Highway Stiffness Factor for Cyclic Circumferential Stress * Highway Geometry Factor for Cyclic Circumferential Stress * Highway Pavement Type Factor * Axle Configuration Factor * Impact Factor * Design Wheel Load
Highway Cyclic Longitudinal Stress = Highway Stiffness Factor for Cyclic Longitudinal Stress * Highway Geometry Factor for Cyclic Longitudinal Stress * Highway Pavement Type Factor * Axle Configuration Factor * Impact Factor * Design Wheel Load
Circumferential Stress Due to Internal Pressurization = Pressure * (Pipe Diameter - Wall Thickness) / (2 * Wall  Thickness)
Maximum Circumferential Stress =  Circumferential Stress from Earth Load + Highway Cyclic Circumferential Stress + Circumferential Stress Due to Internal Pressurization
Maximum Longitudinal Stress = Highway Cyclic Longitudinal Stress - Young's Modulus * Coeffient of Thermal Expansion * (Installation Temp - Operating Temp) + Poisson's Ratio * (Circumferential Stress from Earth Load + Circumferential Stress Due to Internal Pressurization)
Maximum Radial Stress Result = -1 * Pressure
Total Effective Stress = Sqrt(1/2 * (Maximum Circumferential Stress - Maximum Longitudinal Stress)^2 + (Maximum Longitudinal Stress - Maximum Radial Stress)^2 + (Maximum Radial Stress - Maximum Circumferential Stress)^2)
Allowable Effective Stress = SMYS * Design Factor
Allowable Stress of Girth Welds = Fatigue Resistance of Girth Welds * Design Factor
Allowable Stress of Longitudinal Welds = Fatigue Resistance of Longitudinal Welds * Design Factor</t>
  </si>
  <si>
    <t>Calculations</t>
  </si>
  <si>
    <t>Shi(Barlow) - Hoop Stress</t>
  </si>
  <si>
    <t>Allowable Hoop Stress</t>
  </si>
  <si>
    <t>Khe - Stiffness Factor for Earth Load Circumferential Stress</t>
  </si>
  <si>
    <t>Be - Burial Factor for Earth Load Circumferential Stress</t>
  </si>
  <si>
    <t>Ee - Excavation Factor for Earth Load Circumferential Stress</t>
  </si>
  <si>
    <t>SHe - Circumferential Stress from Earth Load</t>
  </si>
  <si>
    <t>Fi - Impact Factor</t>
  </si>
  <si>
    <t>KHh - Highway Stiffness Factor for Cyclic Circumferential Stress</t>
  </si>
  <si>
    <t>GHh - Highway Geometry Factor for Cyclic Circumferential Stress</t>
  </si>
  <si>
    <t>R - Highway Pavement Type Factor</t>
  </si>
  <si>
    <t>L - Axle Configuration Factor</t>
  </si>
  <si>
    <t>SHh - Highway Cyclic Circumferential Stress</t>
  </si>
  <si>
    <t>KLh - Highway Stiffness Factor Cyclic Longitudinal Stress</t>
  </si>
  <si>
    <t>GLh - Highway Geometry Factor Cyclic Longitudinal Stress</t>
  </si>
  <si>
    <t>SLh - Highway Cyclic Longitudinal Stress</t>
  </si>
  <si>
    <t>Shi - Circumferential Stress Due to Internal Pressurization</t>
  </si>
  <si>
    <t>S1 - Maximum Circumferential Stress</t>
  </si>
  <si>
    <t>S2 - Maximum Longitudinal Stress</t>
  </si>
  <si>
    <t>S3 - Maximum Radial Stress Result</t>
  </si>
  <si>
    <t>Seff - Total Effective Stress</t>
  </si>
  <si>
    <t>Allowable Effective Stress</t>
  </si>
  <si>
    <t>Fatigue Resistance of Girth Welds</t>
  </si>
  <si>
    <t>Fatigue Resistance of Longitudinal Welds</t>
  </si>
  <si>
    <t>Allowable Stress of Girth Welds</t>
  </si>
  <si>
    <t>Allowable Stress of Longitudinal Welds</t>
  </si>
  <si>
    <t>Summary</t>
  </si>
  <si>
    <t>Stress</t>
  </si>
  <si>
    <t>Calculated (psi)</t>
  </si>
  <si>
    <t>Allowable (psi)</t>
  </si>
  <si>
    <t>Pass/Fail</t>
  </si>
  <si>
    <t>Girth Welds</t>
  </si>
  <si>
    <t>Long. Welds</t>
  </si>
  <si>
    <t>Values Used in Tables</t>
  </si>
  <si>
    <t>tw/D</t>
  </si>
  <si>
    <t>H/Bd</t>
  </si>
  <si>
    <t>Bd/D</t>
  </si>
  <si>
    <t>Stiffness Factor for Earth Load Circumferential Stress - .2 ksi</t>
  </si>
  <si>
    <t>Stiffness Factor for Earth Load Circumferential Stress - .5 ksi</t>
  </si>
  <si>
    <t>Stiffness Factor for Earth Load Circumferential Stress - 1 ksi</t>
  </si>
  <si>
    <t>Stiffness Factor for Earth Load Circumferential Stress - 2 ksi</t>
  </si>
  <si>
    <t>E' (psi)</t>
  </si>
  <si>
    <t>Stiffness Factor for Earth Load Circumferential Stress</t>
  </si>
  <si>
    <t>X1</t>
  </si>
  <si>
    <t>X2</t>
  </si>
  <si>
    <t>Y1</t>
  </si>
  <si>
    <t>Y2</t>
  </si>
  <si>
    <t>Burial Factor A - Load Interpolation From Live Loads Table</t>
  </si>
  <si>
    <t>Burial Factor B - Load Interpolation From Live Loads Table</t>
  </si>
  <si>
    <t>Burial Factor A</t>
  </si>
  <si>
    <t>Burial Factor B</t>
  </si>
  <si>
    <t>Excavation Factor</t>
  </si>
  <si>
    <t>Impact Factor</t>
  </si>
  <si>
    <t>Highway Stiffness Factor for Cyclic Circumferential Stress - 5 ksi</t>
  </si>
  <si>
    <t>Highway Stiffness Factor for Cyclic Circumferential Stress - 10 ksi</t>
  </si>
  <si>
    <t>Highway Stiffness Factor for Cyclic Circumferential Stress - 20 ksi</t>
  </si>
  <si>
    <t>Er (psi)</t>
  </si>
  <si>
    <t>Highway Geometry Factor for Cyclic Circumferential Stress - 3' to 4'</t>
  </si>
  <si>
    <t>Highway Geometry Factor for Cyclic Circumferential Stress - 6'</t>
  </si>
  <si>
    <t>Highway Geometry Factor for Cyclic Circumferential Stress - 8'</t>
  </si>
  <si>
    <t>Highway Geometry Factor for Cyclic Circumferential Stress - 10'</t>
  </si>
  <si>
    <t>Highway Stiffness Factor for Cyclic Longitudinal Stress - 5 ksi</t>
  </si>
  <si>
    <t>Highway Stiffness Factor for Cyclic Longitudinal Stress - 10 ksi</t>
  </si>
  <si>
    <t>Highway Stiffness Factor for Cyclic Longitudinal Stress - 20 ksi</t>
  </si>
  <si>
    <t>Highway Geometry Factor for Cyclic Longitudinal Stress - 3' to 4'</t>
  </si>
  <si>
    <t>Highway Geometry Factor for Cyclic Longitudinal Stress - 6'</t>
  </si>
  <si>
    <t>Highway Geometry Factor for Cyclic Longitudinal Stress - 8'</t>
  </si>
  <si>
    <t>Highway Geometry Factor for Cyclic Longitudinal Stress - 10'</t>
  </si>
  <si>
    <t>Trench Width</t>
  </si>
  <si>
    <t>Nominal Pipe Diameter</t>
  </si>
  <si>
    <t>1/4</t>
  </si>
  <si>
    <t>3/8</t>
  </si>
  <si>
    <t>1/2</t>
  </si>
  <si>
    <t>3/4</t>
  </si>
  <si>
    <t>1-1/4</t>
  </si>
  <si>
    <t>1-1/2</t>
  </si>
  <si>
    <t>2-1/2</t>
  </si>
  <si>
    <t>3-1/2</t>
  </si>
  <si>
    <t>4-1/2</t>
  </si>
  <si>
    <t>Source: A53/A53M − 24, Table X.2</t>
  </si>
  <si>
    <t>Actual Pipe Diameter</t>
  </si>
  <si>
    <t>Wall Thickness</t>
  </si>
  <si>
    <t>116</t>
  </si>
  <si>
    <t>Selected Nominal Pipe Diameter</t>
  </si>
  <si>
    <t>Wall Thickness Options</t>
  </si>
  <si>
    <t>&lt;--This table is used to populate wall thickness dropdown options based on the pipe diameter that is selected</t>
  </si>
  <si>
    <t>Grades</t>
  </si>
  <si>
    <t>ASTM A53</t>
  </si>
  <si>
    <t>A</t>
  </si>
  <si>
    <t>B</t>
  </si>
  <si>
    <t>ASTM A106</t>
  </si>
  <si>
    <t>ASTM A333</t>
  </si>
  <si>
    <t>Grade 1</t>
  </si>
  <si>
    <t>Grade 3</t>
  </si>
  <si>
    <t>Grade 4</t>
  </si>
  <si>
    <t>Grade 6</t>
  </si>
  <si>
    <t>Grade 7</t>
  </si>
  <si>
    <t>Grade 8</t>
  </si>
  <si>
    <t>Grade 9</t>
  </si>
  <si>
    <t>Grade 10</t>
  </si>
  <si>
    <t>Grade 11</t>
  </si>
  <si>
    <t>ASTM A671</t>
  </si>
  <si>
    <t>CA55</t>
  </si>
  <si>
    <t>CB60</t>
  </si>
  <si>
    <t>CB65</t>
  </si>
  <si>
    <t>CB70</t>
  </si>
  <si>
    <t>CC60</t>
  </si>
  <si>
    <t>CC65</t>
  </si>
  <si>
    <t>CC70</t>
  </si>
  <si>
    <t>CD70</t>
  </si>
  <si>
    <t>CD80</t>
  </si>
  <si>
    <t>CF65</t>
  </si>
  <si>
    <t>CF70</t>
  </si>
  <si>
    <t>CF66</t>
  </si>
  <si>
    <t>CF71</t>
  </si>
  <si>
    <t>CG100</t>
  </si>
  <si>
    <t>CH100</t>
  </si>
  <si>
    <t>CJ101</t>
  </si>
  <si>
    <t>CJ102</t>
  </si>
  <si>
    <t>CJ103</t>
  </si>
  <si>
    <t>CJ104</t>
  </si>
  <si>
    <t>CJ105</t>
  </si>
  <si>
    <t>CJ106</t>
  </si>
  <si>
    <t>CJ107</t>
  </si>
  <si>
    <t>CJ108</t>
  </si>
  <si>
    <t>CJ109</t>
  </si>
  <si>
    <t>CJ110</t>
  </si>
  <si>
    <t>CJ111</t>
  </si>
  <si>
    <t>CJ112</t>
  </si>
  <si>
    <t>CJ113</t>
  </si>
  <si>
    <t>CK75</t>
  </si>
  <si>
    <t>CP65</t>
  </si>
  <si>
    <t>CP75</t>
  </si>
  <si>
    <t>ASTM A672</t>
  </si>
  <si>
    <t>A45</t>
  </si>
  <si>
    <t>A50</t>
  </si>
  <si>
    <t>A55</t>
  </si>
  <si>
    <t>B60</t>
  </si>
  <si>
    <t>B65</t>
  </si>
  <si>
    <t>B70</t>
  </si>
  <si>
    <t>C55</t>
  </si>
  <si>
    <t>C60</t>
  </si>
  <si>
    <t>C65</t>
  </si>
  <si>
    <t>C70</t>
  </si>
  <si>
    <t>D70</t>
  </si>
  <si>
    <t>D80</t>
  </si>
  <si>
    <t>H75</t>
  </si>
  <si>
    <t>H80</t>
  </si>
  <si>
    <t>J80</t>
  </si>
  <si>
    <t>J90</t>
  </si>
  <si>
    <t>J100</t>
  </si>
  <si>
    <t>K75</t>
  </si>
  <si>
    <t>K85</t>
  </si>
  <si>
    <t>L65</t>
  </si>
  <si>
    <t>L70</t>
  </si>
  <si>
    <t>L75</t>
  </si>
  <si>
    <t>N75</t>
  </si>
  <si>
    <t>ASTM A691</t>
  </si>
  <si>
    <t>CM-65</t>
  </si>
  <si>
    <t>CM-70</t>
  </si>
  <si>
    <t>CM-75</t>
  </si>
  <si>
    <t>CMSH-70</t>
  </si>
  <si>
    <t>CMS-75</t>
  </si>
  <si>
    <t>CMSH-80</t>
  </si>
  <si>
    <t>1/2 CR</t>
  </si>
  <si>
    <t>1 CR</t>
  </si>
  <si>
    <t>1 1/4 CR</t>
  </si>
  <si>
    <t>2 1/4 CR</t>
  </si>
  <si>
    <t>3CR</t>
  </si>
  <si>
    <t>5CR</t>
  </si>
  <si>
    <t>9CR</t>
  </si>
  <si>
    <t>X42</t>
  </si>
  <si>
    <t>X46</t>
  </si>
  <si>
    <t>X52</t>
  </si>
  <si>
    <t>X56</t>
  </si>
  <si>
    <t>X60</t>
  </si>
  <si>
    <t>X70</t>
  </si>
  <si>
    <t>X80</t>
  </si>
  <si>
    <t>Unknown</t>
  </si>
  <si>
    <t>Grades and SMYS</t>
  </si>
  <si>
    <t>ASTM A53 SMYS</t>
  </si>
  <si>
    <t>ASTM A106 SMYS</t>
  </si>
  <si>
    <t>ASTM A333 SMYS</t>
  </si>
  <si>
    <t>ASTM A671 SMYS</t>
  </si>
  <si>
    <t>ASTM A672 SMYS</t>
  </si>
  <si>
    <t>ASTM A691 SMYS</t>
  </si>
  <si>
    <t>API 5L SMYS</t>
  </si>
  <si>
    <t>Unknown SMYS</t>
  </si>
  <si>
    <t>Selected Pipe Specification</t>
  </si>
  <si>
    <t>Pipe Grade Options</t>
  </si>
  <si>
    <t>Weld Seam Type</t>
  </si>
  <si>
    <t>Source: Per seam factors listed within individual codes (ASTM A53, ASTM A106, ASTM A333, ASTM A671, ASTM A672, ASTM A691, API 5L)</t>
  </si>
  <si>
    <t>Seamless</t>
  </si>
  <si>
    <t>Furnace Butt Welded</t>
  </si>
  <si>
    <t>&lt;-- This table lists valid weld seam types for each pipe specification</t>
  </si>
  <si>
    <t>ASTM A53 Weld Seam Factor</t>
  </si>
  <si>
    <t>ASTM A106 Weld Seam Factor</t>
  </si>
  <si>
    <t>Submerged Arc Welded</t>
  </si>
  <si>
    <t>ASTM A333 Weld Seam Factor</t>
  </si>
  <si>
    <t>Electric Fusion Welded, Even Class</t>
  </si>
  <si>
    <t>Electric Fusion Welded, Odd Class</t>
  </si>
  <si>
    <t>&lt;-- ASTM A671 even classes: 1.0. Odd classes: 0.8.</t>
  </si>
  <si>
    <t>ASTM A671 Weld Seam Factor</t>
  </si>
  <si>
    <t>&lt;-- ASTM A672 even classes: 1.0. Odd classes: 0.8.</t>
  </si>
  <si>
    <t>ASTM A672 Weld Seam Factor</t>
  </si>
  <si>
    <t>&lt;-- ASTM A691 even classes: 1.0. Odd classes: 0.8.</t>
  </si>
  <si>
    <t>ASTM A691 Weld Seam Factor</t>
  </si>
  <si>
    <t>Combination Welded</t>
  </si>
  <si>
    <t>API 5L Weld Seam Factor</t>
  </si>
  <si>
    <t>&lt;-- Unknown, under 4": 0.6. Over 4": 0.8</t>
  </si>
  <si>
    <t>Unknown Weld Seam Factor</t>
  </si>
  <si>
    <t>Weld Seam Options</t>
  </si>
  <si>
    <t>&lt;-- This table provides dropdown options for weld seam types for each specification</t>
  </si>
  <si>
    <t>Design Factor (As defined in ASME B31.8-2022, Chapter 4, Table 841.114B)</t>
  </si>
  <si>
    <t>Pipeline Location</t>
  </si>
  <si>
    <t>Crossing Railroads, Public Roads, Highways, or Streets without Casing</t>
  </si>
  <si>
    <t>Crossing Railroads, Public Roads, Highways, or Streets with Casing</t>
  </si>
  <si>
    <t>Parallel encroachment of Railroads, Public Roads, Highways, or Streets</t>
  </si>
  <si>
    <t>Fabricated Assemblies</t>
  </si>
  <si>
    <t>Pipelines on bridges</t>
  </si>
  <si>
    <t>Pressure/Flow Control ans Metering Facilities</t>
  </si>
  <si>
    <t>At Compressor Station</t>
  </si>
  <si>
    <t>Near Concentration of people in Location Classes 1 and 2</t>
  </si>
  <si>
    <t>Soil Type Options</t>
  </si>
  <si>
    <t>Soft to medium clays and silts with high plasticities</t>
  </si>
  <si>
    <t>Soft to medium clays and silts with low to medium plasticities</t>
  </si>
  <si>
    <t>Stiff to very stiff clays and silts</t>
  </si>
  <si>
    <t>Medium Dense sands and gravels</t>
  </si>
  <si>
    <t>Dense to very dense sands and gravels</t>
  </si>
  <si>
    <t>Design Class Location</t>
  </si>
  <si>
    <t>Design Factor</t>
  </si>
  <si>
    <t>Longitudinal Joint Factor</t>
  </si>
  <si>
    <t>Double Submerged Arc Welded</t>
  </si>
  <si>
    <t>Electric-Fusion Welded</t>
  </si>
  <si>
    <t>Unknown Pipe Over 4 Inches</t>
  </si>
  <si>
    <t>Unknown Pipe 4 Inches or Less</t>
  </si>
  <si>
    <t>Typical Material Properties</t>
  </si>
  <si>
    <t>Material</t>
  </si>
  <si>
    <t>Elastic Modulus (psi)</t>
  </si>
  <si>
    <t>Poisson's Ratio</t>
  </si>
  <si>
    <t>Coefficient of Thermal Expansion(1/10^-6F</t>
  </si>
  <si>
    <t>Aluminum</t>
  </si>
  <si>
    <t>Cast Iron</t>
  </si>
  <si>
    <t>Wood (Fir)</t>
  </si>
  <si>
    <t>Brass</t>
  </si>
  <si>
    <t>Copper</t>
  </si>
  <si>
    <t>Bronze</t>
  </si>
  <si>
    <t>Magnesium</t>
  </si>
  <si>
    <t>Glass</t>
  </si>
  <si>
    <t>Polystyrene</t>
  </si>
  <si>
    <t>Pipe Size</t>
  </si>
  <si>
    <t>Outside Diameter</t>
  </si>
  <si>
    <t>1/8</t>
  </si>
  <si>
    <t>None</t>
  </si>
  <si>
    <t>Rigid</t>
  </si>
  <si>
    <t>Critical Case</t>
  </si>
  <si>
    <t>Single Axle</t>
  </si>
  <si>
    <t>SMYS's</t>
  </si>
  <si>
    <t>46000</t>
  </si>
  <si>
    <t>56000</t>
  </si>
  <si>
    <t>60000</t>
  </si>
  <si>
    <t>65000</t>
  </si>
  <si>
    <t>Pipe and Operational Characteristics</t>
  </si>
  <si>
    <t>2 Minimum For RR crossings</t>
  </si>
  <si>
    <t>Typically</t>
  </si>
  <si>
    <t>Typically equal to 1 near ambient temperature</t>
  </si>
  <si>
    <t>Installation and Site Characteristics</t>
  </si>
  <si>
    <t>Typically equal to 120 PCF</t>
  </si>
  <si>
    <t>Typically equal to D+2</t>
  </si>
  <si>
    <t>Typically Tandem Axle</t>
  </si>
  <si>
    <t>Result</t>
  </si>
  <si>
    <t>Spreadsheet Calculation</t>
  </si>
  <si>
    <t>Hand Calc Formulas</t>
  </si>
  <si>
    <t>Hand Calc Results</t>
  </si>
  <si>
    <t>Source</t>
  </si>
  <si>
    <t>Stiffness Factor - Earth Load</t>
  </si>
  <si>
    <t>Refer To "Stiffness Factor - Earth Load" Chart</t>
  </si>
  <si>
    <t>Data</t>
  </si>
  <si>
    <t>Refer To "Burial Factor - Earth Load" Chart</t>
  </si>
  <si>
    <t>Refer To "Excavation Factor - Earth Load" Chart</t>
  </si>
  <si>
    <t>Refer To "Impact Factor" Chart</t>
  </si>
  <si>
    <t>Refer To "Stiffness Factor - Circum." Chart</t>
  </si>
  <si>
    <t>Refer To "Geometry Factor - Circum." Chart</t>
  </si>
  <si>
    <t>Refer To "Pavement and Axle Type" Chart</t>
  </si>
  <si>
    <t>Refer To "Stiffness Factor - Long." Chart</t>
  </si>
  <si>
    <t>Refer To "Geometry Factor - Long." Chart</t>
  </si>
  <si>
    <t>Refer To "Fatigue Endurance Limits Chart" for SFG</t>
  </si>
  <si>
    <t>Refer To "Fatigue Endurance Limits Chart" for SFL</t>
  </si>
  <si>
    <t>Hand Calcs Formulas For Stresses</t>
  </si>
  <si>
    <t>Values Used in Charts</t>
  </si>
  <si>
    <t>Values Applicable</t>
  </si>
  <si>
    <t>E'</t>
  </si>
  <si>
    <t>Burial Factor - Earth Load</t>
  </si>
  <si>
    <t>Excavation Factor - Earth Load</t>
  </si>
  <si>
    <t>H</t>
  </si>
  <si>
    <t>Stiffness Factor - Circum.</t>
  </si>
  <si>
    <t>Er</t>
  </si>
  <si>
    <t>Geometry Factor - Circum.</t>
  </si>
  <si>
    <t>D</t>
  </si>
  <si>
    <t>Pavement and Axle Type</t>
  </si>
  <si>
    <t>Stiffness Factor - Long.</t>
  </si>
  <si>
    <t>Geometry Factor - Long.</t>
  </si>
  <si>
    <t>Fatigue Endurance Limits</t>
  </si>
  <si>
    <t>Charts</t>
  </si>
  <si>
    <t>E = .2 ksi</t>
  </si>
  <si>
    <t>E = .5 ksi</t>
  </si>
  <si>
    <t>E = 1 ksi</t>
  </si>
  <si>
    <t>E = 2 ksi</t>
  </si>
  <si>
    <t>X (tw/D)</t>
  </si>
  <si>
    <t>Y (Khe)</t>
  </si>
  <si>
    <t>Burial Factor Earth Load</t>
  </si>
  <si>
    <t>Type A</t>
  </si>
  <si>
    <t>Type B</t>
  </si>
  <si>
    <t>X (H/Bd)</t>
  </si>
  <si>
    <t>Y (Be)</t>
  </si>
  <si>
    <t>X (Bd/D)</t>
  </si>
  <si>
    <t>Y (Ee)</t>
  </si>
  <si>
    <t>Y (H)</t>
  </si>
  <si>
    <t>X (Fi)</t>
  </si>
  <si>
    <t>Highway Stiffness Factor for Cyclic Circumferential Stress</t>
  </si>
  <si>
    <t>Er = 5 ksi</t>
  </si>
  <si>
    <t>Er = 10 ksi</t>
  </si>
  <si>
    <t>Er = 20 ksi</t>
  </si>
  <si>
    <t>Y (KHh)</t>
  </si>
  <si>
    <t>Highway Geometry Factor for Cyclic Circumferential Stress</t>
  </si>
  <si>
    <t>H = 3' to 4'</t>
  </si>
  <si>
    <t>H = 6'</t>
  </si>
  <si>
    <t>H = 8'</t>
  </si>
  <si>
    <t>H = 10'</t>
  </si>
  <si>
    <t>X (D)</t>
  </si>
  <si>
    <t>Y (GHh)</t>
  </si>
  <si>
    <t>Highway Pavement Type Factor and Axle Configuration  Factor</t>
  </si>
  <si>
    <t>Depth &lt; 4 ft and Diameter &lt;= 12 inches</t>
  </si>
  <si>
    <t>Depth &lt; 4 ft and Diameter &gt;= 12 inches; Depth &gt; 4 ft for all diameters</t>
  </si>
  <si>
    <t>R</t>
  </si>
  <si>
    <t>L</t>
  </si>
  <si>
    <t>Flexible Tandem Axle</t>
  </si>
  <si>
    <t>Flexible Single Axle</t>
  </si>
  <si>
    <t>None Tandem Axle</t>
  </si>
  <si>
    <t>None Single Axle</t>
  </si>
  <si>
    <t>Rigid Tandem Axle</t>
  </si>
  <si>
    <t>Rigid Single Axle</t>
  </si>
  <si>
    <t>Grade and Pipe Type</t>
  </si>
  <si>
    <t>Grade</t>
  </si>
  <si>
    <t>Pipe Type</t>
  </si>
  <si>
    <t>SFG</t>
  </si>
  <si>
    <t>SFL</t>
  </si>
  <si>
    <t>Highway Stiffness Factor for Cyclic Longitudinal Stress</t>
  </si>
  <si>
    <t>Y (KLh)</t>
  </si>
  <si>
    <t>Highway Geometry Factor for Cyclic Longitudinal Stress</t>
  </si>
  <si>
    <t>Y (GLh)</t>
  </si>
  <si>
    <t>Sources and References</t>
  </si>
  <si>
    <t>Reference</t>
  </si>
  <si>
    <t>49 CFR Part 192 Subpart C</t>
  </si>
  <si>
    <t>Pipe Design - Federal pipeline safety regulations</t>
  </si>
  <si>
    <t>PE Mechanical Reference Handbook</t>
  </si>
  <si>
    <t>NCEES reference for mechanical PE exam</t>
  </si>
  <si>
    <t>API RP 1102, 7th Ed. (2007, R2022) Steel Pipelines Crossing Railroads and Highways</t>
  </si>
  <si>
    <t>Case_ID</t>
  </si>
  <si>
    <t>Case_Index</t>
  </si>
  <si>
    <t>Mode</t>
  </si>
  <si>
    <t>NPS</t>
  </si>
  <si>
    <t>Wall_Thickness_in</t>
  </si>
  <si>
    <t>Pipe_Specification</t>
  </si>
  <si>
    <t>Pipe_Grade</t>
  </si>
  <si>
    <t>Pipeline_Location</t>
  </si>
  <si>
    <t>Class_Location</t>
  </si>
  <si>
    <t>Weld_Seam_Type</t>
  </si>
  <si>
    <t>Pipe_Material</t>
  </si>
  <si>
    <t>Operating_Temp_F</t>
  </si>
  <si>
    <t>Operating_Pressure_psig</t>
  </si>
  <si>
    <t>Soil_Type</t>
  </si>
  <si>
    <t>Soil_Unit_Weight_pcf</t>
  </si>
  <si>
    <t>Cover_Depth_ft</t>
  </si>
  <si>
    <t>Bored_Diameter_in</t>
  </si>
  <si>
    <t>Pavement_Type</t>
  </si>
  <si>
    <t>Axle_Configuration</t>
  </si>
  <si>
    <t>Installation_Temp_F</t>
  </si>
  <si>
    <t>Outside_Diameter_in</t>
  </si>
  <si>
    <t>SMYS_psi</t>
  </si>
  <si>
    <t>Design_Factor</t>
  </si>
  <si>
    <t>Joint_Factor</t>
  </si>
  <si>
    <t>Youngs_Modulus_psi</t>
  </si>
  <si>
    <t>Poisson_Ratio</t>
  </si>
  <si>
    <t>Thermal_Expansion_1_F</t>
  </si>
  <si>
    <t>Temp_Derating_Factor</t>
  </si>
  <si>
    <t>E_Prime_psi</t>
  </si>
  <si>
    <t>Er_psi</t>
  </si>
  <si>
    <t>Design_Wheel_Load_lb</t>
  </si>
  <si>
    <t>tw_D</t>
  </si>
  <si>
    <t>H_Bd</t>
  </si>
  <si>
    <t>Bd_D</t>
  </si>
  <si>
    <t>SHi_Barlow_psi</t>
  </si>
  <si>
    <t>Allowable_Hoop_psi</t>
  </si>
  <si>
    <t>Khe</t>
  </si>
  <si>
    <t>Be</t>
  </si>
  <si>
    <t>Ee</t>
  </si>
  <si>
    <t>SHe_psi</t>
  </si>
  <si>
    <t>Fi</t>
  </si>
  <si>
    <t>KHh</t>
  </si>
  <si>
    <t>GHh</t>
  </si>
  <si>
    <t>SHh_psi</t>
  </si>
  <si>
    <t>KLh</t>
  </si>
  <si>
    <t>GLh</t>
  </si>
  <si>
    <t>SLh_psi</t>
  </si>
  <si>
    <t>SHi_Internal_psi</t>
  </si>
  <si>
    <t>S1_psi</t>
  </si>
  <si>
    <t>S2_psi</t>
  </si>
  <si>
    <t>S3_psi</t>
  </si>
  <si>
    <t>Seff_psi</t>
  </si>
  <si>
    <t>Allowable_Effective_psi</t>
  </si>
  <si>
    <t>Fatigue_Girth_psi</t>
  </si>
  <si>
    <t>Fatigue_Longitudinal_psi</t>
  </si>
  <si>
    <t>Allowable_Girth_psi</t>
  </si>
  <si>
    <t>Allowable_Longitudinal_psi</t>
  </si>
  <si>
    <t>Barlow_Calc_psi</t>
  </si>
  <si>
    <t>Barlow_Allow_psi</t>
  </si>
  <si>
    <t>Effective_Calc_psi</t>
  </si>
  <si>
    <t>Effective_Allow_psi</t>
  </si>
  <si>
    <t>Girth_Calc_psi</t>
  </si>
  <si>
    <t>Girth_Allow_psi</t>
  </si>
  <si>
    <t>Longitudinal_Calc_psi</t>
  </si>
  <si>
    <t>Longitudinal_Allow_psi</t>
  </si>
  <si>
    <t>Barlow_Result</t>
  </si>
  <si>
    <t>Effective_Result</t>
  </si>
  <si>
    <t>Girth_Result</t>
  </si>
  <si>
    <t>Longitudinal_Result</t>
  </si>
  <si>
    <t>Overall_Result</t>
  </si>
  <si>
    <t>Controlling_Check</t>
  </si>
  <si>
    <t>HWY-001</t>
  </si>
  <si>
    <t>Highway</t>
  </si>
  <si>
    <t>HWY-002</t>
  </si>
  <si>
    <t>HWY-003</t>
  </si>
  <si>
    <t>HWY-004</t>
  </si>
  <si>
    <t>HWY-005</t>
  </si>
  <si>
    <t>HWY-006</t>
  </si>
  <si>
    <t>HWY-007</t>
  </si>
  <si>
    <t>HWY-008</t>
  </si>
  <si>
    <t>HWY-009</t>
  </si>
  <si>
    <t>HWY-010</t>
  </si>
  <si>
    <t>HWY-011</t>
  </si>
  <si>
    <t>HWY-012</t>
  </si>
  <si>
    <t>HWY-013</t>
  </si>
  <si>
    <t>HWY-014</t>
  </si>
  <si>
    <t>HWY-015</t>
  </si>
  <si>
    <t>HWY-016</t>
  </si>
  <si>
    <t>HWY-017</t>
  </si>
  <si>
    <t>HWY-018</t>
  </si>
  <si>
    <t>HWY-019</t>
  </si>
  <si>
    <t>HWY-020</t>
  </si>
  <si>
    <t>HWY-021</t>
  </si>
  <si>
    <t>HWY-022</t>
  </si>
  <si>
    <t>HWY-023</t>
  </si>
  <si>
    <t>HWY-024</t>
  </si>
  <si>
    <t>HWY-025</t>
  </si>
  <si>
    <t>HWY-026</t>
  </si>
  <si>
    <t>HWY-027</t>
  </si>
  <si>
    <t>HWY-028</t>
  </si>
  <si>
    <t>HWY-029</t>
  </si>
  <si>
    <t>HWY-030</t>
  </si>
  <si>
    <t>HWY-031</t>
  </si>
  <si>
    <t>HWY-032</t>
  </si>
  <si>
    <t>HWY-033</t>
  </si>
  <si>
    <t>HWY-034</t>
  </si>
  <si>
    <t>HWY-035</t>
  </si>
  <si>
    <t>HWY-036</t>
  </si>
  <si>
    <t>HWY-037</t>
  </si>
  <si>
    <t>HWY-038</t>
  </si>
  <si>
    <t>HWY-039</t>
  </si>
  <si>
    <t>HWY-040</t>
  </si>
  <si>
    <t>HWY-041</t>
  </si>
  <si>
    <t>HWY-042</t>
  </si>
  <si>
    <t>HWY-043</t>
  </si>
  <si>
    <t>HWY-044</t>
  </si>
  <si>
    <t>HWY-045</t>
  </si>
  <si>
    <t>HWY-046</t>
  </si>
  <si>
    <t>HWY-047</t>
  </si>
  <si>
    <t>HWY-048</t>
  </si>
  <si>
    <t>HWY-049</t>
  </si>
  <si>
    <t>HWY-050</t>
  </si>
  <si>
    <t>HWY-051</t>
  </si>
  <si>
    <t>HWY-052</t>
  </si>
  <si>
    <t>HWY-053</t>
  </si>
  <si>
    <t>HWY-054</t>
  </si>
  <si>
    <t>HWY-055</t>
  </si>
  <si>
    <t>HWY-056</t>
  </si>
  <si>
    <t>HWY-057</t>
  </si>
  <si>
    <t>HWY-058</t>
  </si>
  <si>
    <t>HWY-059</t>
  </si>
  <si>
    <t>HWY-060</t>
  </si>
  <si>
    <t>HWY-061</t>
  </si>
  <si>
    <t>HWY-062</t>
  </si>
  <si>
    <t>HWY-063</t>
  </si>
  <si>
    <t>HWY-064</t>
  </si>
  <si>
    <t>HWY-065</t>
  </si>
  <si>
    <t>HWY-066</t>
  </si>
  <si>
    <t>HWY-067</t>
  </si>
  <si>
    <t>HWY-068</t>
  </si>
  <si>
    <t>HWY-069</t>
  </si>
  <si>
    <t>HWY-070</t>
  </si>
  <si>
    <t>HWY-071</t>
  </si>
  <si>
    <t>HWY-072</t>
  </si>
  <si>
    <t>HWY-073</t>
  </si>
  <si>
    <t>HWY-074</t>
  </si>
  <si>
    <t>HWY-075</t>
  </si>
  <si>
    <t>HWY-076</t>
  </si>
  <si>
    <t>HWY-077</t>
  </si>
  <si>
    <t>HWY-078</t>
  </si>
  <si>
    <t>HWY-079</t>
  </si>
  <si>
    <t>HWY-080</t>
  </si>
  <si>
    <t>HWY-081</t>
  </si>
  <si>
    <t>HWY-082</t>
  </si>
  <si>
    <t>HWY-083</t>
  </si>
  <si>
    <t>HWY-084</t>
  </si>
  <si>
    <t>HWY-085</t>
  </si>
  <si>
    <t>HWY-086</t>
  </si>
  <si>
    <t>HWY-087</t>
  </si>
  <si>
    <t>HWY-088</t>
  </si>
  <si>
    <t>HWY-089</t>
  </si>
  <si>
    <t>HWY-090</t>
  </si>
  <si>
    <t>HWY-091</t>
  </si>
  <si>
    <t>HWY-092</t>
  </si>
  <si>
    <t>HWY-093</t>
  </si>
  <si>
    <t>HWY-094</t>
  </si>
  <si>
    <t>HWY-095</t>
  </si>
  <si>
    <t>HWY-096</t>
  </si>
  <si>
    <t>HWY-097</t>
  </si>
  <si>
    <t>HWY-098</t>
  </si>
  <si>
    <t>HWY-099</t>
  </si>
  <si>
    <t>HWY-100</t>
  </si>
  <si>
    <t>HWY-101</t>
  </si>
  <si>
    <t>HWY-102</t>
  </si>
  <si>
    <t>HWY-103</t>
  </si>
  <si>
    <t>HWY-104</t>
  </si>
  <si>
    <t>HWY-105</t>
  </si>
  <si>
    <t>HWY-106</t>
  </si>
  <si>
    <t>HWY-107</t>
  </si>
  <si>
    <t>HWY-108</t>
  </si>
  <si>
    <t>HWY-109</t>
  </si>
  <si>
    <t>HWY-110</t>
  </si>
  <si>
    <t>HWY-111</t>
  </si>
  <si>
    <t>HWY-112</t>
  </si>
  <si>
    <t>HWY-113</t>
  </si>
  <si>
    <t>HWY-114</t>
  </si>
  <si>
    <t>HWY-115</t>
  </si>
  <si>
    <t>HWY-116</t>
  </si>
  <si>
    <t>HWY-117</t>
  </si>
  <si>
    <t>HWY-118</t>
  </si>
  <si>
    <t>HWY-119</t>
  </si>
  <si>
    <t>HWY-120</t>
  </si>
  <si>
    <t>HWY-121</t>
  </si>
  <si>
    <t>HWY-122</t>
  </si>
  <si>
    <t>HWY-123</t>
  </si>
  <si>
    <t>HWY-124</t>
  </si>
  <si>
    <t>HWY-125</t>
  </si>
  <si>
    <t>HWY-126</t>
  </si>
  <si>
    <t>HWY-127</t>
  </si>
  <si>
    <t>HWY-128</t>
  </si>
  <si>
    <t>HWY-129</t>
  </si>
  <si>
    <t>HWY-130</t>
  </si>
  <si>
    <t>HWY-131</t>
  </si>
  <si>
    <t>HWY-132</t>
  </si>
  <si>
    <t>HWY-133</t>
  </si>
  <si>
    <t>HWY-134</t>
  </si>
  <si>
    <t>HWY-135</t>
  </si>
  <si>
    <t>HWY-136</t>
  </si>
  <si>
    <t>HWY-137</t>
  </si>
  <si>
    <t>HWY-138</t>
  </si>
  <si>
    <t>HWY-139</t>
  </si>
  <si>
    <t>HWY-140</t>
  </si>
  <si>
    <t>HWY-141</t>
  </si>
  <si>
    <t>HWY-142</t>
  </si>
  <si>
    <t>HWY-143</t>
  </si>
  <si>
    <t>HWY-144</t>
  </si>
  <si>
    <t>HWY-145</t>
  </si>
  <si>
    <t>HWY-146</t>
  </si>
  <si>
    <t>HWY-147</t>
  </si>
  <si>
    <t>HWY-148</t>
  </si>
  <si>
    <t>HWY-149</t>
  </si>
  <si>
    <t>HWY-150</t>
  </si>
  <si>
    <t>HWY-151</t>
  </si>
  <si>
    <t>HWY-152</t>
  </si>
  <si>
    <t>HWY-153</t>
  </si>
  <si>
    <t>HWY-154</t>
  </si>
  <si>
    <t>HWY-155</t>
  </si>
  <si>
    <t>HWY-156</t>
  </si>
  <si>
    <t>HWY-157</t>
  </si>
  <si>
    <t>HWY-158</t>
  </si>
  <si>
    <t>HWY-159</t>
  </si>
  <si>
    <t>HWY-160</t>
  </si>
  <si>
    <t>HWY-161</t>
  </si>
  <si>
    <t>HWY-162</t>
  </si>
  <si>
    <t>HWY-163</t>
  </si>
  <si>
    <t>HWY-164</t>
  </si>
  <si>
    <t>HWY-165</t>
  </si>
  <si>
    <t>HWY-166</t>
  </si>
  <si>
    <t>HWY-167</t>
  </si>
  <si>
    <t>HWY-168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</si>
</sst>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0.000"/>
    <numFmt numFmtId="165" formatCode="0.0"/>
  </numFmts>
  <fonts count="31">
    <font>
      <sz val="11"/>
      <color theme="1"/>
      <name val="Calibri"/>
    </font>
    <font>
      <b/>
      <sz val="11"/>
      <color theme="1"/>
      <name val="Calibri"/>
    </font>
    <font>
      <b/>
      <sz val="11"/>
      <color theme="1"/>
      <name val="Calibri"/>
    </font>
    <font>
      <sz val="11"/>
      <color theme="10"/>
      <name val="Calibri"/>
    </font>
    <font>
      <sz val="11"/>
      <color theme="1"/>
      <name val="Calibri"/>
    </font>
    <font>
      <sz val="10"/>
      <name val="Arial"/>
    </font>
    <font>
      <b/>
      <sz val="10"/>
      <name val="Arial"/>
    </font>
    <font>
      <b/>
      <sz val="12"/>
      <color indexed="9"/>
      <name val="Arial"/>
    </font>
    <font>
      <b/>
      <i/>
      <sz val="10"/>
      <name val="Arial"/>
    </font>
    <font>
      <sz val="12"/>
      <color indexed="12"/>
      <name val="Times New Roman"/>
    </font>
    <font>
      <sz val="10"/>
      <color indexed="12"/>
      <name val="Arial"/>
    </font>
    <font>
      <b/>
      <sz val="12"/>
      <name val="Arial"/>
    </font>
    <font>
      <sz val="10"/>
      <color indexed="8"/>
      <name val="Arial"/>
    </font>
    <font>
      <b/>
      <sz val="10"/>
      <color indexed="10"/>
      <name val="Arial"/>
    </font>
    <font>
      <sz val="10"/>
      <color indexed="8"/>
      <name val="Arial MT"/>
    </font>
    <font>
      <sz val="12"/>
      <color indexed="8"/>
      <name val="Arial MT"/>
    </font>
    <font>
      <b/>
      <sz val="12"/>
      <color indexed="8"/>
      <name val="Arial"/>
    </font>
    <font>
      <b/>
      <sz val="12"/>
      <color indexed="8"/>
      <name val="Arial"/>
    </font>
    <font>
      <b/>
      <sz val="10"/>
      <color indexed="8"/>
      <name val="Arial MT"/>
    </font>
    <font>
      <sz val="10"/>
      <color indexed="12"/>
      <name val="Arial MT"/>
    </font>
    <font>
      <b/>
      <sz val="12"/>
      <name val="Arial"/>
    </font>
    <font>
      <sz val="12"/>
      <name val="Arial"/>
    </font>
    <font>
      <sz val="11"/>
      <name val="Calibri"/>
    </font>
    <font>
      <sz val="9"/>
      <color theme="1"/>
      <name val="Calibri"/>
    </font>
    <font>
      <b/>
      <sz val="14"/>
      <color theme="1"/>
      <name val="Calibri"/>
    </font>
    <font>
      <b/>
      <sz val="10"/>
      <name val="Arial"/>
    </font>
    <font>
      <b/>
      <sz val="11"/>
      <color indexed="8"/>
      <name val="Calibri"/>
    </font>
    <font>
      <b/>
      <sz val="11"/>
      <name val="Calibri"/>
    </font>
    <font>
      <b/>
      <sz val="12"/>
      <color theme="1"/>
      <name val="Calibri"/>
    </font>
    <font>
      <sz val="12"/>
      <color indexed="8"/>
      <name val="Arial"/>
    </font>
    <font>
      <b/>
      <sz val="11"/>
      <color rgb="FFFFFFFF"/>
      <name val="Calibri"/>
    </font>
  </fonts>
  <fills count="5">
    <fill>
      <patternFill patternType="none"/>
    </fill>
    <fill>
      <patternFill patternType="gray125"/>
    </fill>
    <fill>
      <patternFill patternType="solid">
        <fgColor rgb="FFFFFF00"/>
      </patternFill>
    </fill>
    <fill>
      <patternFill patternType="solid">
        <fgColor rgb="FF1F4E78"/>
      </patternFill>
    </fill>
    <fill>
      <patternFill patternType="solid">
        <fgColor rgb="FF0F766E"/>
      </patternFill>
    </fill>
  </fills>
  <borders count="8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right style="thin">
        <color indexed="64"/>
      </right>
      <top/>
      <bottom/>
      <diagonal/>
    </border>
    <border>
      <left/>
      <right/>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diagonal/>
    </border>
    <border>
      <left style="medium">
        <color indexed="64"/>
      </left>
      <right style="thin">
        <color indexed="64"/>
      </right>
      <top style="thin">
        <color indexed="64"/>
      </top>
      <bottom/>
      <diagonal/>
    </border>
    <border>
      <left style="medium">
        <color indexed="64"/>
      </left>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top style="thin">
        <color indexed="64"/>
      </top>
      <bottom style="thin">
        <color indexed="64"/>
      </bottom>
      <diagonal/>
    </border>
    <border>
      <left style="thin">
        <color indexed="64"/>
      </left>
      <right/>
      <top/>
      <bottom/>
      <diagonal/>
    </border>
    <border>
      <left/>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right style="medium">
        <color indexed="64"/>
      </right>
      <top style="medium">
        <color indexed="64"/>
      </top>
      <bottom style="medium">
        <color indexed="64"/>
      </bottom>
      <diagonal/>
    </border>
    <border>
      <left/>
      <right style="medium">
        <color rgb="FF000000"/>
      </right>
      <top style="medium">
        <color rgb="FF000000"/>
      </top>
      <bottom style="medium">
        <color rgb="FF000000"/>
      </bottom>
      <diagonal/>
    </border>
    <border>
      <left/>
      <right/>
      <top style="medium">
        <color indexed="64"/>
      </top>
      <bottom style="medium">
        <color indexed="64"/>
      </bottom>
      <diagonal/>
    </border>
    <border>
      <left style="medium">
        <color indexed="64"/>
      </left>
      <right style="thin">
        <color indexed="64"/>
      </right>
      <top style="medium">
        <color indexed="64"/>
      </top>
      <bottom/>
      <diagonal/>
    </border>
    <border>
      <left/>
      <right style="thin">
        <color indexed="64"/>
      </right>
      <top style="medium">
        <color indexed="64"/>
      </top>
      <bottom style="medium">
        <color indexed="64"/>
      </bottom>
      <diagonal/>
    </border>
    <border>
      <left/>
      <right style="thin">
        <color indexed="64"/>
      </right>
      <top style="medium">
        <color indexed="64"/>
      </top>
      <bottom/>
      <diagonal/>
    </border>
    <border>
      <left/>
      <right/>
      <top style="medium">
        <color indexed="64"/>
      </top>
      <bottom style="thin">
        <color indexed="64"/>
      </bottom>
      <diagonal/>
    </border>
    <border>
      <left style="medium">
        <color rgb="FF000000"/>
      </left>
      <right style="medium">
        <color rgb="FF000000"/>
      </right>
      <top style="medium">
        <color rgb="FF000000"/>
      </top>
      <bottom style="medium">
        <color rgb="FF000000"/>
      </bottom>
      <diagonal/>
    </border>
  </borders>
  <cellStyleXfs count="8">
    <xf numFmtId="0" fontId="0" fillId="0" borderId="57"/>
    <xf numFmtId="0" fontId="3" fillId="0" borderId="57"/>
    <xf numFmtId="43" fontId="4" fillId="0" borderId="57"/>
    <xf numFmtId="0" fontId="5" fillId="0" borderId="57"/>
    <xf numFmtId="0" fontId="9" fillId="0" borderId="57">
      <alignment vertical="top"/>
    </xf>
    <xf numFmtId="0" fontId="5" fillId="0" borderId="57"/>
    <xf numFmtId="0" fontId="10" fillId="0" borderId="57">
      <alignment vertical="top"/>
    </xf>
    <xf numFmtId="37" fontId="14" fillId="0" borderId="57"/>
  </cellStyleXfs>
  <cellXfs count="222">
    <xf numFmtId="0" fontId="0" fillId="0" borderId="0" xfId="0" applyBorder="1"/>
    <xf numFmtId="0" fontId="2" fillId="0" borderId="0" xfId="0" applyFont="1" applyBorder="1"/>
    <xf numFmtId="0" fontId="1" fillId="0" borderId="0" xfId="0" applyFont="1" applyBorder="1"/>
    <xf numFmtId="0" fontId="0" fillId="2" borderId="0" xfId="0" applyFill="1" applyBorder="1"/>
    <xf numFmtId="0" fontId="2" fillId="0" borderId="0" xfId="0" applyFont="1" applyBorder="1" applyAlignment="1">
      <alignment horizontal="center" vertical="center"/>
    </xf>
    <xf numFmtId="0" fontId="0" fillId="2" borderId="0" xfId="0" applyFill="1" applyBorder="1" applyAlignment="1">
      <alignment wrapText="1"/>
    </xf>
    <xf numFmtId="0" fontId="3" fillId="0" borderId="0" xfId="1" applyBorder="1"/>
    <xf numFmtId="0" fontId="2" fillId="0" borderId="0" xfId="0" applyFont="1" applyBorder="1" applyAlignment="1">
      <alignment horizontal="right"/>
    </xf>
    <xf numFmtId="0" fontId="0" fillId="0" borderId="1" xfId="0" applyBorder="1"/>
    <xf numFmtId="0" fontId="0" fillId="0" borderId="2" xfId="0" applyBorder="1"/>
    <xf numFmtId="49" fontId="0" fillId="0" borderId="0" xfId="0" applyNumberFormat="1" applyBorder="1"/>
    <xf numFmtId="2" fontId="0" fillId="0" borderId="0" xfId="0" applyNumberFormat="1" applyBorder="1"/>
    <xf numFmtId="0" fontId="5" fillId="0" borderId="0" xfId="3" applyBorder="1"/>
    <xf numFmtId="0" fontId="5" fillId="0" borderId="6" xfId="3" applyBorder="1"/>
    <xf numFmtId="0" fontId="5" fillId="0" borderId="7" xfId="3" applyBorder="1"/>
    <xf numFmtId="0" fontId="5" fillId="0" borderId="8" xfId="3" applyBorder="1"/>
    <xf numFmtId="0" fontId="5" fillId="0" borderId="9" xfId="3" applyBorder="1"/>
    <xf numFmtId="0" fontId="5" fillId="0" borderId="10" xfId="3" applyBorder="1"/>
    <xf numFmtId="0" fontId="5" fillId="0" borderId="11" xfId="3" applyBorder="1"/>
    <xf numFmtId="0" fontId="5" fillId="0" borderId="6" xfId="3" applyBorder="1" applyAlignment="1">
      <alignment horizontal="left"/>
    </xf>
    <xf numFmtId="14" fontId="5" fillId="0" borderId="7" xfId="3" applyNumberFormat="1" applyBorder="1" applyAlignment="1">
      <alignment horizontal="left"/>
    </xf>
    <xf numFmtId="0" fontId="5" fillId="0" borderId="7" xfId="3" applyBorder="1" applyAlignment="1">
      <alignment horizontal="right"/>
    </xf>
    <xf numFmtId="0" fontId="8" fillId="0" borderId="0" xfId="3" applyFont="1" applyBorder="1"/>
    <xf numFmtId="0" fontId="8" fillId="0" borderId="1" xfId="3" applyFont="1" applyBorder="1" applyAlignment="1">
      <alignment horizontal="center"/>
    </xf>
    <xf numFmtId="0" fontId="6" fillId="0" borderId="1" xfId="3" applyFont="1" applyBorder="1"/>
    <xf numFmtId="0" fontId="5" fillId="0" borderId="1" xfId="3" applyBorder="1" applyAlignment="1">
      <alignment horizontal="center"/>
    </xf>
    <xf numFmtId="0" fontId="5" fillId="0" borderId="13" xfId="3" applyBorder="1"/>
    <xf numFmtId="14" fontId="5" fillId="0" borderId="1" xfId="3" applyNumberFormat="1" applyBorder="1" applyAlignment="1">
      <alignment horizontal="center"/>
    </xf>
    <xf numFmtId="0" fontId="5" fillId="0" borderId="14" xfId="3" applyBorder="1"/>
    <xf numFmtId="0" fontId="5" fillId="0" borderId="15" xfId="3" applyBorder="1"/>
    <xf numFmtId="0" fontId="5" fillId="0" borderId="1" xfId="3" applyBorder="1"/>
    <xf numFmtId="0" fontId="5" fillId="0" borderId="16" xfId="3" applyBorder="1"/>
    <xf numFmtId="0" fontId="5" fillId="0" borderId="0" xfId="3" applyBorder="1" applyAlignment="1">
      <alignment horizontal="center"/>
    </xf>
    <xf numFmtId="0" fontId="6" fillId="0" borderId="0" xfId="3" applyFont="1" applyBorder="1"/>
    <xf numFmtId="0" fontId="5" fillId="0" borderId="0" xfId="3" applyBorder="1" applyAlignment="1">
      <alignment horizontal="left"/>
    </xf>
    <xf numFmtId="0" fontId="3" fillId="0" borderId="0" xfId="1" applyBorder="1" applyAlignment="1">
      <alignment horizontal="left"/>
    </xf>
    <xf numFmtId="0" fontId="10" fillId="0" borderId="0" xfId="4" applyFont="1" applyBorder="1" applyAlignment="1"/>
    <xf numFmtId="0" fontId="5" fillId="0" borderId="0" xfId="5" applyBorder="1"/>
    <xf numFmtId="0" fontId="6" fillId="0" borderId="10" xfId="5" applyFont="1" applyBorder="1"/>
    <xf numFmtId="0" fontId="6" fillId="0" borderId="11" xfId="5" applyFont="1" applyBorder="1"/>
    <xf numFmtId="0" fontId="12" fillId="0" borderId="14" xfId="5" applyFont="1" applyBorder="1"/>
    <xf numFmtId="0" fontId="5" fillId="0" borderId="15" xfId="5" applyBorder="1"/>
    <xf numFmtId="0" fontId="5" fillId="2" borderId="10" xfId="5" applyFill="1" applyBorder="1"/>
    <xf numFmtId="0" fontId="5" fillId="0" borderId="11" xfId="5" applyBorder="1" applyAlignment="1">
      <alignment horizontal="left"/>
    </xf>
    <xf numFmtId="0" fontId="6" fillId="0" borderId="0" xfId="5" applyFont="1" applyBorder="1"/>
    <xf numFmtId="0" fontId="13" fillId="0" borderId="0" xfId="5" applyFont="1" applyBorder="1"/>
    <xf numFmtId="0" fontId="11" fillId="0" borderId="0" xfId="5" applyFont="1" applyBorder="1"/>
    <xf numFmtId="0" fontId="5" fillId="0" borderId="0" xfId="5" applyBorder="1" applyAlignment="1">
      <alignment horizontal="left"/>
    </xf>
    <xf numFmtId="0" fontId="10" fillId="0" borderId="0" xfId="6" applyBorder="1" applyAlignment="1"/>
    <xf numFmtId="37" fontId="15" fillId="0" borderId="0" xfId="7" applyFont="1" applyBorder="1"/>
    <xf numFmtId="37" fontId="16" fillId="0" borderId="0" xfId="7" applyFont="1" applyBorder="1"/>
    <xf numFmtId="37" fontId="17" fillId="0" borderId="0" xfId="7" applyFont="1" applyBorder="1"/>
    <xf numFmtId="37" fontId="14" fillId="0" borderId="0" xfId="7" applyBorder="1"/>
    <xf numFmtId="37" fontId="18" fillId="0" borderId="1" xfId="7" applyFont="1" applyBorder="1"/>
    <xf numFmtId="37" fontId="14" fillId="0" borderId="1" xfId="7" applyBorder="1"/>
    <xf numFmtId="37" fontId="19" fillId="0" borderId="1" xfId="7" applyFont="1" applyBorder="1"/>
    <xf numFmtId="37" fontId="14" fillId="0" borderId="0" xfId="7" applyBorder="1" applyAlignment="1">
      <alignment vertical="top"/>
    </xf>
    <xf numFmtId="37" fontId="19" fillId="0" borderId="1" xfId="7" applyFont="1" applyBorder="1" applyAlignment="1">
      <alignment horizontal="left"/>
    </xf>
    <xf numFmtId="37" fontId="18" fillId="0" borderId="0" xfId="7" applyFont="1" applyBorder="1" applyAlignment="1">
      <alignment wrapText="1"/>
    </xf>
    <xf numFmtId="0" fontId="20" fillId="0" borderId="0" xfId="0" applyFont="1" applyBorder="1" applyAlignment="1">
      <alignment wrapText="1"/>
    </xf>
    <xf numFmtId="0" fontId="21" fillId="0" borderId="0" xfId="0" applyFont="1" applyBorder="1" applyAlignment="1">
      <alignment horizontal="left" wrapText="1"/>
    </xf>
    <xf numFmtId="0" fontId="21" fillId="0" borderId="0" xfId="0" applyFont="1" applyBorder="1" applyAlignment="1">
      <alignment wrapText="1"/>
    </xf>
    <xf numFmtId="0" fontId="20" fillId="0" borderId="0" xfId="0" applyFont="1" applyBorder="1" applyAlignment="1">
      <alignment horizontal="left" wrapText="1"/>
    </xf>
    <xf numFmtId="0" fontId="20" fillId="0" borderId="0" xfId="0" applyFont="1" applyBorder="1"/>
    <xf numFmtId="37" fontId="14" fillId="0" borderId="0" xfId="7" applyBorder="1" applyAlignment="1">
      <alignment wrapText="1"/>
    </xf>
    <xf numFmtId="0" fontId="2" fillId="0" borderId="6" xfId="0" applyFont="1" applyBorder="1"/>
    <xf numFmtId="0" fontId="2" fillId="0" borderId="8" xfId="0" applyFont="1" applyBorder="1"/>
    <xf numFmtId="0" fontId="1" fillId="0" borderId="12" xfId="0" applyFont="1" applyBorder="1"/>
    <xf numFmtId="0" fontId="1" fillId="0" borderId="9" xfId="0" applyFont="1" applyBorder="1"/>
    <xf numFmtId="0" fontId="0" fillId="0" borderId="14" xfId="0" applyBorder="1"/>
    <xf numFmtId="0" fontId="0" fillId="0" borderId="15" xfId="0" applyBorder="1"/>
    <xf numFmtId="0" fontId="0" fillId="0" borderId="10" xfId="0" applyBorder="1"/>
    <xf numFmtId="0" fontId="0" fillId="0" borderId="16" xfId="0" applyBorder="1"/>
    <xf numFmtId="0" fontId="0" fillId="0" borderId="11" xfId="0" applyBorder="1"/>
    <xf numFmtId="43" fontId="0" fillId="0" borderId="0" xfId="2" applyFont="1" applyBorder="1"/>
    <xf numFmtId="0" fontId="2" fillId="0" borderId="6" xfId="0" applyFont="1" applyBorder="1" applyAlignment="1">
      <alignment horizontal="center" vertical="center"/>
    </xf>
    <xf numFmtId="0" fontId="0" fillId="0" borderId="15" xfId="0" applyBorder="1" applyAlignment="1">
      <alignment wrapText="1"/>
    </xf>
    <xf numFmtId="0" fontId="6" fillId="0" borderId="8" xfId="3" applyFont="1" applyBorder="1" applyAlignment="1">
      <alignment horizontal="center"/>
    </xf>
    <xf numFmtId="0" fontId="6" fillId="0" borderId="12" xfId="3" applyFont="1" applyBorder="1" applyAlignment="1">
      <alignment horizontal="center"/>
    </xf>
    <xf numFmtId="0" fontId="6" fillId="0" borderId="9" xfId="3" applyFont="1" applyBorder="1" applyAlignment="1">
      <alignment horizontal="center"/>
    </xf>
    <xf numFmtId="0" fontId="0" fillId="0" borderId="19" xfId="0" applyBorder="1"/>
    <xf numFmtId="0" fontId="0" fillId="0" borderId="20" xfId="0" applyBorder="1"/>
    <xf numFmtId="0" fontId="0" fillId="0" borderId="21" xfId="0" applyBorder="1"/>
    <xf numFmtId="0" fontId="0" fillId="0" borderId="22" xfId="0" applyBorder="1"/>
    <xf numFmtId="0" fontId="0" fillId="0" borderId="23" xfId="0" applyBorder="1"/>
    <xf numFmtId="0" fontId="0" fillId="0" borderId="24" xfId="0" applyBorder="1"/>
    <xf numFmtId="0" fontId="0" fillId="0" borderId="3" xfId="0" applyBorder="1"/>
    <xf numFmtId="0" fontId="0" fillId="0" borderId="5" xfId="0" applyBorder="1"/>
    <xf numFmtId="0" fontId="0" fillId="0" borderId="4" xfId="0" applyBorder="1"/>
    <xf numFmtId="0" fontId="2" fillId="0" borderId="0" xfId="0" applyFont="1" applyBorder="1" applyAlignment="1">
      <alignment vertical="center"/>
    </xf>
    <xf numFmtId="0" fontId="0" fillId="0" borderId="25" xfId="0" applyBorder="1" applyAlignment="1">
      <alignment horizontal="right"/>
    </xf>
    <xf numFmtId="0" fontId="0" fillId="0" borderId="26" xfId="0" applyBorder="1" applyAlignment="1">
      <alignment horizontal="right"/>
    </xf>
    <xf numFmtId="0" fontId="0" fillId="0" borderId="27" xfId="0" applyBorder="1" applyAlignment="1">
      <alignment horizontal="right"/>
    </xf>
    <xf numFmtId="0" fontId="0" fillId="0" borderId="28" xfId="0" applyBorder="1" applyAlignment="1">
      <alignment horizontal="right"/>
    </xf>
    <xf numFmtId="0" fontId="22" fillId="0" borderId="0" xfId="0" applyFont="1" applyBorder="1"/>
    <xf numFmtId="0" fontId="0" fillId="0" borderId="29" xfId="0" applyBorder="1" applyAlignment="1">
      <alignment horizontal="right"/>
    </xf>
    <xf numFmtId="164" fontId="0" fillId="0" borderId="9" xfId="0" applyNumberFormat="1" applyBorder="1"/>
    <xf numFmtId="164" fontId="0" fillId="0" borderId="30" xfId="0" applyNumberFormat="1" applyBorder="1"/>
    <xf numFmtId="164" fontId="0" fillId="0" borderId="31" xfId="0" applyNumberFormat="1" applyBorder="1"/>
    <xf numFmtId="0" fontId="0" fillId="0" borderId="32" xfId="0" applyBorder="1" applyAlignment="1">
      <alignment horizontal="right"/>
    </xf>
    <xf numFmtId="0" fontId="0" fillId="0" borderId="33" xfId="0" applyBorder="1"/>
    <xf numFmtId="0" fontId="0" fillId="0" borderId="27" xfId="0" applyBorder="1"/>
    <xf numFmtId="164" fontId="0" fillId="0" borderId="27" xfId="0" applyNumberFormat="1" applyBorder="1"/>
    <xf numFmtId="164" fontId="0" fillId="0" borderId="28" xfId="0" applyNumberFormat="1" applyBorder="1"/>
    <xf numFmtId="0" fontId="0" fillId="0" borderId="34" xfId="0" applyBorder="1"/>
    <xf numFmtId="164" fontId="0" fillId="0" borderId="35" xfId="0" applyNumberFormat="1" applyBorder="1"/>
    <xf numFmtId="164" fontId="0" fillId="0" borderId="1" xfId="0" applyNumberFormat="1" applyBorder="1"/>
    <xf numFmtId="164" fontId="0" fillId="0" borderId="36" xfId="0" applyNumberFormat="1" applyBorder="1"/>
    <xf numFmtId="0" fontId="0" fillId="0" borderId="36" xfId="0" applyBorder="1"/>
    <xf numFmtId="0" fontId="0" fillId="0" borderId="37" xfId="0" applyBorder="1"/>
    <xf numFmtId="164" fontId="0" fillId="0" borderId="38" xfId="0" applyNumberFormat="1" applyBorder="1"/>
    <xf numFmtId="0" fontId="0" fillId="0" borderId="39" xfId="0" applyBorder="1"/>
    <xf numFmtId="164" fontId="0" fillId="0" borderId="40" xfId="0" applyNumberFormat="1" applyBorder="1"/>
    <xf numFmtId="164" fontId="0" fillId="0" borderId="41" xfId="0" applyNumberFormat="1" applyBorder="1"/>
    <xf numFmtId="164" fontId="0" fillId="0" borderId="42" xfId="0" applyNumberFormat="1" applyBorder="1"/>
    <xf numFmtId="0" fontId="0" fillId="0" borderId="25" xfId="0" applyBorder="1"/>
    <xf numFmtId="3" fontId="0" fillId="0" borderId="43" xfId="0" applyNumberFormat="1" applyBorder="1" applyAlignment="1">
      <alignment horizontal="right"/>
    </xf>
    <xf numFmtId="0" fontId="0" fillId="0" borderId="41" xfId="0" applyBorder="1"/>
    <xf numFmtId="0" fontId="0" fillId="0" borderId="42" xfId="0" applyBorder="1"/>
    <xf numFmtId="0" fontId="0" fillId="0" borderId="44" xfId="0" applyBorder="1" applyAlignment="1">
      <alignment horizontal="right"/>
    </xf>
    <xf numFmtId="49" fontId="0" fillId="0" borderId="33" xfId="0" applyNumberFormat="1" applyBorder="1"/>
    <xf numFmtId="49" fontId="0" fillId="0" borderId="27" xfId="0" applyNumberFormat="1" applyBorder="1"/>
    <xf numFmtId="49" fontId="0" fillId="0" borderId="28" xfId="0" applyNumberFormat="1" applyBorder="1"/>
    <xf numFmtId="0" fontId="0" fillId="0" borderId="45" xfId="0" applyBorder="1" applyAlignment="1">
      <alignment horizontal="right"/>
    </xf>
    <xf numFmtId="49" fontId="0" fillId="0" borderId="35" xfId="0" applyNumberFormat="1" applyBorder="1"/>
    <xf numFmtId="49" fontId="0" fillId="0" borderId="1" xfId="0" applyNumberFormat="1" applyBorder="1"/>
    <xf numFmtId="49" fontId="0" fillId="0" borderId="36" xfId="0" applyNumberFormat="1" applyBorder="1"/>
    <xf numFmtId="0" fontId="0" fillId="0" borderId="46" xfId="0" applyBorder="1" applyAlignment="1">
      <alignment horizontal="right"/>
    </xf>
    <xf numFmtId="49" fontId="0" fillId="0" borderId="40" xfId="0" applyNumberFormat="1" applyBorder="1"/>
    <xf numFmtId="49" fontId="0" fillId="0" borderId="41" xfId="0" applyNumberFormat="1" applyBorder="1"/>
    <xf numFmtId="49" fontId="0" fillId="0" borderId="42" xfId="0" applyNumberFormat="1" applyBorder="1"/>
    <xf numFmtId="1" fontId="0" fillId="0" borderId="40" xfId="0" applyNumberFormat="1" applyBorder="1"/>
    <xf numFmtId="1" fontId="0" fillId="0" borderId="41" xfId="0" applyNumberFormat="1" applyBorder="1"/>
    <xf numFmtId="1" fontId="0" fillId="0" borderId="42" xfId="0" applyNumberFormat="1" applyBorder="1"/>
    <xf numFmtId="0" fontId="0" fillId="0" borderId="47" xfId="0" applyBorder="1" applyAlignment="1">
      <alignment horizontal="right"/>
    </xf>
    <xf numFmtId="3" fontId="0" fillId="0" borderId="25" xfId="0" applyNumberFormat="1" applyBorder="1"/>
    <xf numFmtId="0" fontId="0" fillId="0" borderId="28" xfId="0" applyBorder="1"/>
    <xf numFmtId="0" fontId="0" fillId="0" borderId="46" xfId="0" applyBorder="1"/>
    <xf numFmtId="0" fontId="0" fillId="0" borderId="40" xfId="0" applyBorder="1"/>
    <xf numFmtId="49" fontId="23" fillId="0" borderId="33" xfId="0" applyNumberFormat="1" applyFont="1" applyBorder="1"/>
    <xf numFmtId="49" fontId="23" fillId="0" borderId="27" xfId="0" applyNumberFormat="1" applyFont="1" applyBorder="1"/>
    <xf numFmtId="165" fontId="0" fillId="0" borderId="40" xfId="0" applyNumberFormat="1" applyBorder="1"/>
    <xf numFmtId="165" fontId="0" fillId="0" borderId="41" xfId="0" applyNumberFormat="1" applyBorder="1"/>
    <xf numFmtId="0" fontId="0" fillId="0" borderId="0" xfId="0" applyBorder="1" applyAlignment="1">
      <alignment horizontal="right"/>
    </xf>
    <xf numFmtId="1" fontId="0" fillId="0" borderId="0" xfId="0" applyNumberFormat="1" applyBorder="1"/>
    <xf numFmtId="0" fontId="0" fillId="0" borderId="50" xfId="0" applyBorder="1" applyAlignment="1">
      <alignment horizontal="right"/>
    </xf>
    <xf numFmtId="3" fontId="0" fillId="0" borderId="51" xfId="0" applyNumberFormat="1" applyBorder="1" applyAlignment="1">
      <alignment horizontal="right"/>
    </xf>
    <xf numFmtId="1" fontId="23" fillId="0" borderId="44" xfId="0" applyNumberFormat="1" applyFont="1" applyBorder="1"/>
    <xf numFmtId="1" fontId="23" fillId="0" borderId="48" xfId="0" applyNumberFormat="1" applyFont="1" applyBorder="1"/>
    <xf numFmtId="1" fontId="0" fillId="0" borderId="48" xfId="0" applyNumberFormat="1" applyBorder="1"/>
    <xf numFmtId="1" fontId="0" fillId="0" borderId="49" xfId="0" applyNumberFormat="1" applyBorder="1"/>
    <xf numFmtId="0" fontId="0" fillId="0" borderId="43" xfId="0" applyBorder="1"/>
    <xf numFmtId="0" fontId="0" fillId="0" borderId="52" xfId="0" applyBorder="1"/>
    <xf numFmtId="0" fontId="0" fillId="0" borderId="53" xfId="0" applyBorder="1"/>
    <xf numFmtId="0" fontId="0" fillId="0" borderId="54" xfId="0" applyBorder="1"/>
    <xf numFmtId="0" fontId="2" fillId="0" borderId="0" xfId="0" applyFont="1" applyBorder="1" applyAlignment="1">
      <alignment horizontal="left"/>
    </xf>
    <xf numFmtId="0" fontId="25" fillId="0" borderId="0" xfId="0" applyFont="1" applyBorder="1"/>
    <xf numFmtId="0" fontId="0" fillId="0" borderId="0" xfId="0" applyBorder="1" applyAlignment="1">
      <alignment horizontal="left"/>
    </xf>
    <xf numFmtId="0" fontId="0" fillId="0" borderId="55" xfId="0" applyBorder="1"/>
    <xf numFmtId="0" fontId="2" fillId="0" borderId="52" xfId="0" applyFont="1" applyBorder="1"/>
    <xf numFmtId="0" fontId="1" fillId="0" borderId="53" xfId="0" applyFont="1" applyBorder="1"/>
    <xf numFmtId="0" fontId="1" fillId="0" borderId="54" xfId="0" applyFont="1" applyBorder="1"/>
    <xf numFmtId="0" fontId="26" fillId="0" borderId="55" xfId="0" applyFont="1" applyBorder="1"/>
    <xf numFmtId="0" fontId="0" fillId="0" borderId="56" xfId="0" applyBorder="1"/>
    <xf numFmtId="0" fontId="27" fillId="0" borderId="55" xfId="0" applyFont="1" applyBorder="1"/>
    <xf numFmtId="0" fontId="27" fillId="0" borderId="52" xfId="0" applyFont="1" applyBorder="1"/>
    <xf numFmtId="3" fontId="0" fillId="0" borderId="0" xfId="0" applyNumberFormat="1" applyBorder="1"/>
    <xf numFmtId="0" fontId="0" fillId="0" borderId="11" xfId="0" applyBorder="1" applyAlignment="1">
      <alignment wrapText="1"/>
    </xf>
    <xf numFmtId="0" fontId="2" fillId="0" borderId="47" xfId="0" applyFont="1" applyBorder="1"/>
    <xf numFmtId="0" fontId="0" fillId="0" borderId="51" xfId="0" applyBorder="1"/>
    <xf numFmtId="43" fontId="0" fillId="0" borderId="0" xfId="0" applyNumberFormat="1" applyBorder="1"/>
    <xf numFmtId="3" fontId="0" fillId="2" borderId="0" xfId="0" applyNumberFormat="1" applyFill="1" applyBorder="1"/>
    <xf numFmtId="2" fontId="0" fillId="2" borderId="0" xfId="0" applyNumberFormat="1" applyFill="1" applyBorder="1"/>
    <xf numFmtId="0" fontId="0" fillId="2" borderId="16" xfId="0" applyFill="1" applyBorder="1"/>
    <xf numFmtId="0" fontId="0" fillId="0" borderId="17" xfId="0" applyBorder="1"/>
    <xf numFmtId="0" fontId="0" fillId="0" borderId="18" xfId="0" applyBorder="1"/>
    <xf numFmtId="0" fontId="28" fillId="0" borderId="0" xfId="0" applyFont="1" applyBorder="1"/>
    <xf numFmtId="49" fontId="0" fillId="2" borderId="0" xfId="0" applyNumberFormat="1" applyFill="1" applyBorder="1"/>
    <xf numFmtId="37" fontId="29" fillId="0" borderId="0" xfId="7" applyFont="1" applyBorder="1" applyAlignment="1">
      <alignment wrapText="1"/>
    </xf>
    <xf numFmtId="0" fontId="30" fillId="3" borderId="0" xfId="0" applyFont="1" applyFill="1" applyBorder="1" applyAlignment="1">
      <alignment horizontal="center" vertical="center" wrapText="1"/>
    </xf>
    <xf numFmtId="0" fontId="30" fillId="4" borderId="0" xfId="0" applyFont="1" applyFill="1" applyBorder="1" applyAlignment="1">
      <alignment horizontal="center" vertical="center" wrapText="1"/>
    </xf>
    <xf numFmtId="164" fontId="0" fillId="0" borderId="0" xfId="0" applyNumberFormat="1" applyBorder="1"/>
    <xf numFmtId="0" fontId="6" fillId="0" borderId="57" xfId="3" applyFont="1" applyAlignment="1">
      <alignment horizontal="center"/>
    </xf>
    <xf numFmtId="0" fontId="0" fillId="0" borderId="57" xfId="0"/>
    <xf numFmtId="0" fontId="7" fillId="0" borderId="58" xfId="3" applyFont="1" applyBorder="1" applyAlignment="1">
      <alignment horizontal="center"/>
    </xf>
    <xf numFmtId="0" fontId="0" fillId="0" borderId="60" xfId="0" applyBorder="1"/>
    <xf numFmtId="0" fontId="6" fillId="0" borderId="69" xfId="3" applyFont="1" applyBorder="1" applyAlignment="1">
      <alignment horizontal="center"/>
    </xf>
    <xf numFmtId="0" fontId="0" fillId="0" borderId="65" xfId="0" applyBorder="1"/>
    <xf numFmtId="0" fontId="0" fillId="0" borderId="61" xfId="0" applyBorder="1"/>
    <xf numFmtId="0" fontId="11" fillId="0" borderId="69" xfId="5" applyFont="1" applyBorder="1" applyAlignment="1">
      <alignment horizontal="center"/>
    </xf>
    <xf numFmtId="0" fontId="0" fillId="0" borderId="57" xfId="0" applyAlignment="1">
      <alignment horizontal="left" wrapText="1"/>
    </xf>
    <xf numFmtId="0" fontId="0" fillId="0" borderId="83" xfId="0" applyBorder="1" applyAlignment="1">
      <alignment horizontal="center"/>
    </xf>
    <xf numFmtId="0" fontId="0" fillId="0" borderId="77" xfId="0" applyBorder="1"/>
    <xf numFmtId="0" fontId="0" fillId="0" borderId="71" xfId="0" applyBorder="1" applyAlignment="1">
      <alignment horizontal="left"/>
    </xf>
    <xf numFmtId="0" fontId="0" fillId="0" borderId="73" xfId="0" applyBorder="1"/>
    <xf numFmtId="0" fontId="0" fillId="0" borderId="74" xfId="0" applyBorder="1"/>
    <xf numFmtId="0" fontId="2" fillId="0" borderId="57" xfId="0" applyFont="1" applyAlignment="1">
      <alignment horizontal="center"/>
    </xf>
    <xf numFmtId="0" fontId="0" fillId="0" borderId="70" xfId="0" applyBorder="1" applyAlignment="1">
      <alignment horizontal="left"/>
    </xf>
    <xf numFmtId="0" fontId="0" fillId="0" borderId="82" xfId="0" applyBorder="1"/>
    <xf numFmtId="0" fontId="0" fillId="0" borderId="68" xfId="0" applyBorder="1"/>
    <xf numFmtId="0" fontId="0" fillId="0" borderId="60" xfId="0" applyBorder="1" applyAlignment="1">
      <alignment horizontal="left" wrapText="1"/>
    </xf>
    <xf numFmtId="0" fontId="0" fillId="0" borderId="63" xfId="0" applyBorder="1"/>
    <xf numFmtId="0" fontId="0" fillId="0" borderId="60" xfId="0" applyBorder="1" applyAlignment="1">
      <alignment horizontal="center" wrapText="1"/>
    </xf>
    <xf numFmtId="0" fontId="2" fillId="0" borderId="59" xfId="0" applyFont="1" applyBorder="1" applyAlignment="1">
      <alignment horizontal="center" vertical="center"/>
    </xf>
    <xf numFmtId="0" fontId="0" fillId="0" borderId="64" xfId="0" applyBorder="1"/>
    <xf numFmtId="0" fontId="0" fillId="0" borderId="62" xfId="0" applyBorder="1"/>
    <xf numFmtId="1" fontId="0" fillId="0" borderId="76" xfId="0" applyNumberFormat="1" applyBorder="1" applyAlignment="1">
      <alignment horizontal="left"/>
    </xf>
    <xf numFmtId="0" fontId="0" fillId="0" borderId="78" xfId="0" applyBorder="1"/>
    <xf numFmtId="0" fontId="0" fillId="0" borderId="76" xfId="0" applyBorder="1"/>
    <xf numFmtId="0" fontId="0" fillId="0" borderId="79" xfId="0" applyBorder="1" applyAlignment="1">
      <alignment horizontal="left"/>
    </xf>
    <xf numFmtId="0" fontId="0" fillId="0" borderId="81" xfId="0" applyBorder="1"/>
    <xf numFmtId="0" fontId="2" fillId="0" borderId="75" xfId="0" applyFont="1" applyBorder="1" applyAlignment="1">
      <alignment horizontal="center"/>
    </xf>
    <xf numFmtId="0" fontId="0" fillId="0" borderId="75" xfId="0" applyBorder="1"/>
    <xf numFmtId="0" fontId="0" fillId="0" borderId="66" xfId="0" applyBorder="1" applyAlignment="1">
      <alignment horizontal="left"/>
    </xf>
    <xf numFmtId="0" fontId="0" fillId="0" borderId="80" xfId="0" applyBorder="1"/>
    <xf numFmtId="0" fontId="24" fillId="0" borderId="71" xfId="0" applyFont="1" applyBorder="1" applyAlignment="1">
      <alignment horizontal="center" vertical="center"/>
    </xf>
    <xf numFmtId="0" fontId="2" fillId="0" borderId="66" xfId="0" applyFont="1" applyBorder="1" applyAlignment="1">
      <alignment horizontal="center" vertical="center"/>
    </xf>
    <xf numFmtId="0" fontId="2" fillId="2" borderId="57" xfId="0" applyFont="1" applyFill="1" applyAlignment="1">
      <alignment horizontal="center"/>
    </xf>
    <xf numFmtId="0" fontId="2" fillId="0" borderId="66" xfId="0" applyFont="1" applyBorder="1" applyAlignment="1">
      <alignment horizontal="center"/>
    </xf>
    <xf numFmtId="0" fontId="0" fillId="0" borderId="72" xfId="0" applyBorder="1" applyAlignment="1">
      <alignment horizontal="center"/>
    </xf>
    <xf numFmtId="0" fontId="0" fillId="0" borderId="67" xfId="0" applyBorder="1" applyAlignment="1">
      <alignment horizontal="center"/>
    </xf>
    <xf numFmtId="0" fontId="0" fillId="0" borderId="66" xfId="0" applyBorder="1" applyAlignment="1">
      <alignment horizontal="center"/>
    </xf>
  </cellXfs>
  <cellStyles count="8">
    <cellStyle name="Comma" xfId="2" xr:uid="{00000000-0005-0000-0000-000002000000}"/>
    <cellStyle name="Hyperlink" xfId="1" xr:uid="{00000000-0005-0000-0000-000001000000}"/>
    <cellStyle name="Hyperlink_Data Analysis Template (prob) V 6.0" xfId="6" xr:uid="{00000000-0005-0000-0000-000006000000}"/>
    <cellStyle name="Hyperlink_TT-W-WTD-023" xfId="4" xr:uid="{00000000-0005-0000-0000-000004000000}"/>
    <cellStyle name="Normal" xfId="0" builtinId="0"/>
    <cellStyle name="Normal_Calc Example Formatting" xfId="7" xr:uid="{00000000-0005-0000-0000-000007000000}"/>
    <cellStyle name="Normal_Centrifuge Mass Balance" xfId="3" xr:uid="{00000000-0005-0000-0000-000003000000}"/>
    <cellStyle name="Normal_Data Analysis Template (prob) V 6.0" xfId="5" xr:uid="{00000000-0005-0000-0000-000005000000}"/>
  </cellStyles>
  <dxfs count="18">
    <dxf>
      <font>
        <color rgb="FF166534"/>
      </font>
      <fill>
        <patternFill patternType="solid">
          <bgColor rgb="FFDCFCE7"/>
        </patternFill>
      </fill>
    </dxf>
    <dxf>
      <font>
        <b/>
        <color rgb="FF991B1B"/>
      </font>
      <fill>
        <patternFill patternType="solid">
          <bgColor rgb="FFFECACA"/>
        </patternFill>
      </fill>
    </dxf>
    <dxf>
      <font>
        <color rgb="FF166534"/>
      </font>
      <fill>
        <patternFill patternType="solid">
          <bgColor rgb="FFDCFCE7"/>
        </patternFill>
      </fill>
    </dxf>
    <dxf>
      <font>
        <b/>
        <color rgb="FF991B1B"/>
      </font>
      <fill>
        <patternFill patternType="solid">
          <bgColor rgb="FFFECACA"/>
        </patternFill>
      </fill>
    </dxf>
    <dxf>
      <font>
        <color rgb="FF166534"/>
      </font>
      <fill>
        <patternFill patternType="solid">
          <bgColor rgb="FFDCFCE7"/>
        </patternFill>
      </fill>
    </dxf>
    <dxf>
      <font>
        <b/>
        <color rgb="FF991B1B"/>
      </font>
      <fill>
        <patternFill patternType="solid">
          <bgColor rgb="FFFECACA"/>
        </patternFill>
      </fill>
    </dxf>
    <dxf>
      <font>
        <color rgb="FF166534"/>
      </font>
      <fill>
        <patternFill patternType="solid">
          <bgColor rgb="FFDCFCE7"/>
        </patternFill>
      </fill>
    </dxf>
    <dxf>
      <font>
        <b/>
        <color rgb="FF991B1B"/>
      </font>
      <fill>
        <patternFill patternType="solid">
          <bgColor rgb="FFFECACA"/>
        </patternFill>
      </fill>
    </dxf>
    <dxf>
      <font>
        <color rgb="FF166534"/>
      </font>
      <fill>
        <patternFill patternType="solid">
          <bgColor rgb="FFDCFCE7"/>
        </patternFill>
      </fill>
    </dxf>
    <dxf>
      <font>
        <b/>
        <color rgb="FF991B1B"/>
      </font>
      <fill>
        <patternFill patternType="solid">
          <bgColor rgb="FFFECACA"/>
        </patternFill>
      </fill>
    </dxf>
    <dxf>
      <fill>
        <patternFill>
          <bgColor rgb="FF00B050"/>
        </patternFill>
      </fill>
    </dxf>
    <dxf>
      <fill>
        <patternFill>
          <bgColor rgb="FFFF0000"/>
        </patternFill>
      </fill>
    </dxf>
    <dxf>
      <font>
        <color rgb="FF9C0006"/>
      </font>
      <fill>
        <patternFill>
          <bgColor rgb="FFFFC7CE"/>
        </patternFill>
      </fill>
    </dxf>
    <dxf>
      <font>
        <color rgb="FF006100"/>
      </font>
      <fill>
        <patternFill>
          <bgColor rgb="FFC6EFCE"/>
        </patternFill>
      </fill>
    </dxf>
    <dxf>
      <fill>
        <patternFill>
          <bgColor rgb="FF00B050"/>
        </patternFill>
      </fill>
    </dxf>
    <dxf>
      <fill>
        <patternFill>
          <bgColor rgb="FFFF0000"/>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r>
              <a:rPr sz="1400" b="0" i="0">
                <a:solidFill>
                  <a:schemeClr val="tx1">
                    <a:lumMod val="65000"/>
                    <a:lumOff val="35000"/>
                  </a:schemeClr>
                </a:solidFill>
                <a:latin typeface="+mn-lt"/>
                <a:ea typeface="+mn-lt"/>
                <a:cs typeface="+mn-lt"/>
              </a:rPr>
              <a:t>Stiffness Factor For Earth Load Circumferential Stress</a:t>
            </a:r>
          </a:p>
        </c:rich>
      </c:tx>
      <c:overlay val="0"/>
    </c:title>
    <c:autoTitleDeleted val="0"/>
    <c:plotArea>
      <c:layout/>
      <c:scatterChart>
        <c:scatterStyle val="lineMarker"/>
        <c:varyColors val="0"/>
        <c:ser>
          <c:idx val="0"/>
          <c:order val="0"/>
          <c:spPr>
            <a:ln w="19050">
              <a:solidFill>
                <a:schemeClr val="accent1"/>
              </a:solidFill>
              <a:prstDash val="solid"/>
            </a:ln>
          </c:spPr>
          <c:marker>
            <c:symbol val="circle"/>
            <c:size val="5"/>
            <c:spPr>
              <a:ln>
                <a:prstDash val="solid"/>
              </a:ln>
            </c:spPr>
          </c:marker>
          <c:xVal>
            <c:numRef>
              <c:f>Tables!$A$18:$A$37</c:f>
              <c:numCache>
                <c:formatCode>General</c:formatCode>
                <c:ptCount val="20"/>
                <c:pt idx="0">
                  <c:v>7.26E-3</c:v>
                </c:pt>
                <c:pt idx="1">
                  <c:v>8.1099999999999992E-3</c:v>
                </c:pt>
                <c:pt idx="2">
                  <c:v>8.2500000000000004E-3</c:v>
                </c:pt>
                <c:pt idx="3">
                  <c:v>0.01</c:v>
                </c:pt>
                <c:pt idx="4">
                  <c:v>1.2500000000000001E-2</c:v>
                </c:pt>
                <c:pt idx="5">
                  <c:v>1.4999999999999999E-2</c:v>
                </c:pt>
                <c:pt idx="6">
                  <c:v>1.7500000000000002E-2</c:v>
                </c:pt>
                <c:pt idx="7">
                  <c:v>0.02</c:v>
                </c:pt>
                <c:pt idx="8">
                  <c:v>2.5000000000000001E-2</c:v>
                </c:pt>
                <c:pt idx="9">
                  <c:v>0.03</c:v>
                </c:pt>
                <c:pt idx="10">
                  <c:v>3.5000000000000003E-2</c:v>
                </c:pt>
                <c:pt idx="11">
                  <c:v>0.04</c:v>
                </c:pt>
                <c:pt idx="12">
                  <c:v>4.4999999999999998E-2</c:v>
                </c:pt>
                <c:pt idx="13">
                  <c:v>0.05</c:v>
                </c:pt>
                <c:pt idx="14">
                  <c:v>5.5E-2</c:v>
                </c:pt>
                <c:pt idx="15">
                  <c:v>0.06</c:v>
                </c:pt>
                <c:pt idx="16">
                  <c:v>6.5000000000000002E-2</c:v>
                </c:pt>
                <c:pt idx="17">
                  <c:v>7.0000000000000007E-2</c:v>
                </c:pt>
                <c:pt idx="18">
                  <c:v>7.4999999999999997E-2</c:v>
                </c:pt>
                <c:pt idx="19">
                  <c:v>0.08</c:v>
                </c:pt>
              </c:numCache>
            </c:numRef>
          </c:xVal>
          <c:yVal>
            <c:numRef>
              <c:f>Tables!$B$18:$B$37</c:f>
              <c:numCache>
                <c:formatCode>General</c:formatCode>
                <c:ptCount val="20"/>
                <c:pt idx="0">
                  <c:v>11632</c:v>
                </c:pt>
                <c:pt idx="1">
                  <c:v>11632</c:v>
                </c:pt>
                <c:pt idx="2">
                  <c:v>11338</c:v>
                </c:pt>
                <c:pt idx="3">
                  <c:v>8552</c:v>
                </c:pt>
                <c:pt idx="4">
                  <c:v>6564</c:v>
                </c:pt>
                <c:pt idx="5">
                  <c:v>4873</c:v>
                </c:pt>
                <c:pt idx="6">
                  <c:v>3900</c:v>
                </c:pt>
                <c:pt idx="7">
                  <c:v>3000</c:v>
                </c:pt>
                <c:pt idx="8">
                  <c:v>1781</c:v>
                </c:pt>
                <c:pt idx="9">
                  <c:v>1153</c:v>
                </c:pt>
                <c:pt idx="10">
                  <c:v>819</c:v>
                </c:pt>
                <c:pt idx="11">
                  <c:v>642</c:v>
                </c:pt>
                <c:pt idx="12">
                  <c:v>525</c:v>
                </c:pt>
                <c:pt idx="13">
                  <c:v>460</c:v>
                </c:pt>
                <c:pt idx="14">
                  <c:v>393</c:v>
                </c:pt>
                <c:pt idx="15">
                  <c:v>335</c:v>
                </c:pt>
                <c:pt idx="16">
                  <c:v>273</c:v>
                </c:pt>
                <c:pt idx="17">
                  <c:v>207</c:v>
                </c:pt>
                <c:pt idx="18">
                  <c:v>143</c:v>
                </c:pt>
                <c:pt idx="19">
                  <c:v>88</c:v>
                </c:pt>
              </c:numCache>
            </c:numRef>
          </c:yVal>
          <c:smooth val="1"/>
          <c:extLst>
            <c:ext xmlns:c16="http://schemas.microsoft.com/office/drawing/2014/chart" uri="{C3380CC4-5D6E-409C-BE32-E72D297353CC}">
              <c16:uniqueId val="{00000000-F902-41CB-AC11-58F1459E7E25}"/>
            </c:ext>
          </c:extLst>
        </c:ser>
        <c:ser>
          <c:idx val="1"/>
          <c:order val="1"/>
          <c:spPr>
            <a:ln w="19050">
              <a:solidFill>
                <a:schemeClr val="accent2"/>
              </a:solidFill>
              <a:prstDash val="solid"/>
            </a:ln>
          </c:spPr>
          <c:marker>
            <c:symbol val="circle"/>
            <c:size val="5"/>
            <c:spPr>
              <a:ln>
                <a:prstDash val="solid"/>
              </a:ln>
            </c:spPr>
          </c:marker>
          <c:xVal>
            <c:numRef>
              <c:f>Tables!$C$18:$C$37</c:f>
              <c:numCache>
                <c:formatCode>General</c:formatCode>
                <c:ptCount val="20"/>
                <c:pt idx="0">
                  <c:v>7.26E-3</c:v>
                </c:pt>
                <c:pt idx="1">
                  <c:v>7.92E-3</c:v>
                </c:pt>
                <c:pt idx="2">
                  <c:v>8.2500000000000004E-3</c:v>
                </c:pt>
                <c:pt idx="3">
                  <c:v>0.01</c:v>
                </c:pt>
                <c:pt idx="4">
                  <c:v>1.2500000000000001E-2</c:v>
                </c:pt>
                <c:pt idx="5">
                  <c:v>1.4999999999999999E-2</c:v>
                </c:pt>
                <c:pt idx="6">
                  <c:v>1.7500000000000002E-2</c:v>
                </c:pt>
                <c:pt idx="7">
                  <c:v>0.02</c:v>
                </c:pt>
                <c:pt idx="8">
                  <c:v>2.5000000000000001E-2</c:v>
                </c:pt>
                <c:pt idx="9">
                  <c:v>0.03</c:v>
                </c:pt>
                <c:pt idx="10">
                  <c:v>3.5000000000000003E-2</c:v>
                </c:pt>
                <c:pt idx="11">
                  <c:v>0.04</c:v>
                </c:pt>
                <c:pt idx="12">
                  <c:v>4.4999999999999998E-2</c:v>
                </c:pt>
                <c:pt idx="13">
                  <c:v>0.05</c:v>
                </c:pt>
                <c:pt idx="14">
                  <c:v>5.5E-2</c:v>
                </c:pt>
                <c:pt idx="15">
                  <c:v>0.06</c:v>
                </c:pt>
                <c:pt idx="16">
                  <c:v>6.5000000000000002E-2</c:v>
                </c:pt>
                <c:pt idx="17">
                  <c:v>7.0000000000000007E-2</c:v>
                </c:pt>
                <c:pt idx="18">
                  <c:v>7.4999999999999997E-2</c:v>
                </c:pt>
                <c:pt idx="19">
                  <c:v>0.08</c:v>
                </c:pt>
              </c:numCache>
            </c:numRef>
          </c:xVal>
          <c:yVal>
            <c:numRef>
              <c:f>Tables!$D$18:$D$37</c:f>
              <c:numCache>
                <c:formatCode>General</c:formatCode>
                <c:ptCount val="20"/>
                <c:pt idx="0">
                  <c:v>7625</c:v>
                </c:pt>
                <c:pt idx="1">
                  <c:v>7625</c:v>
                </c:pt>
                <c:pt idx="2">
                  <c:v>7286</c:v>
                </c:pt>
                <c:pt idx="3">
                  <c:v>6280</c:v>
                </c:pt>
                <c:pt idx="4">
                  <c:v>5374</c:v>
                </c:pt>
                <c:pt idx="5">
                  <c:v>4305</c:v>
                </c:pt>
                <c:pt idx="6">
                  <c:v>3476</c:v>
                </c:pt>
                <c:pt idx="7">
                  <c:v>2663</c:v>
                </c:pt>
                <c:pt idx="8">
                  <c:v>1642</c:v>
                </c:pt>
                <c:pt idx="9">
                  <c:v>1077</c:v>
                </c:pt>
                <c:pt idx="10">
                  <c:v>819</c:v>
                </c:pt>
                <c:pt idx="11">
                  <c:v>642</c:v>
                </c:pt>
                <c:pt idx="12">
                  <c:v>525</c:v>
                </c:pt>
                <c:pt idx="13">
                  <c:v>460</c:v>
                </c:pt>
                <c:pt idx="14">
                  <c:v>393</c:v>
                </c:pt>
                <c:pt idx="15">
                  <c:v>335</c:v>
                </c:pt>
                <c:pt idx="16">
                  <c:v>273</c:v>
                </c:pt>
                <c:pt idx="17">
                  <c:v>207</c:v>
                </c:pt>
                <c:pt idx="18">
                  <c:v>143</c:v>
                </c:pt>
                <c:pt idx="19">
                  <c:v>88</c:v>
                </c:pt>
              </c:numCache>
            </c:numRef>
          </c:yVal>
          <c:smooth val="1"/>
          <c:extLst>
            <c:ext xmlns:c16="http://schemas.microsoft.com/office/drawing/2014/chart" uri="{C3380CC4-5D6E-409C-BE32-E72D297353CC}">
              <c16:uniqueId val="{00000001-F902-41CB-AC11-58F1459E7E25}"/>
            </c:ext>
          </c:extLst>
        </c:ser>
        <c:ser>
          <c:idx val="2"/>
          <c:order val="2"/>
          <c:spPr>
            <a:ln w="19050">
              <a:solidFill>
                <a:schemeClr val="accent3"/>
              </a:solidFill>
              <a:prstDash val="solid"/>
            </a:ln>
          </c:spPr>
          <c:marker>
            <c:symbol val="circle"/>
            <c:size val="5"/>
            <c:spPr>
              <a:ln>
                <a:prstDash val="solid"/>
              </a:ln>
            </c:spPr>
          </c:marker>
          <c:xVal>
            <c:numRef>
              <c:f>Tables!$E$18:$E$37</c:f>
              <c:numCache>
                <c:formatCode>General</c:formatCode>
                <c:ptCount val="20"/>
                <c:pt idx="0">
                  <c:v>7.3800000000000003E-3</c:v>
                </c:pt>
                <c:pt idx="1">
                  <c:v>7.7499999999999999E-3</c:v>
                </c:pt>
                <c:pt idx="2">
                  <c:v>8.2500000000000004E-3</c:v>
                </c:pt>
                <c:pt idx="3">
                  <c:v>0.01</c:v>
                </c:pt>
                <c:pt idx="4">
                  <c:v>1.2500000000000001E-2</c:v>
                </c:pt>
                <c:pt idx="5">
                  <c:v>1.4999999999999999E-2</c:v>
                </c:pt>
                <c:pt idx="6">
                  <c:v>1.7500000000000002E-2</c:v>
                </c:pt>
                <c:pt idx="7">
                  <c:v>0.02</c:v>
                </c:pt>
                <c:pt idx="8">
                  <c:v>2.5000000000000001E-2</c:v>
                </c:pt>
                <c:pt idx="9">
                  <c:v>0.03</c:v>
                </c:pt>
                <c:pt idx="10">
                  <c:v>3.5000000000000003E-2</c:v>
                </c:pt>
                <c:pt idx="11">
                  <c:v>0.04</c:v>
                </c:pt>
                <c:pt idx="12">
                  <c:v>4.4999999999999998E-2</c:v>
                </c:pt>
                <c:pt idx="13">
                  <c:v>0.05</c:v>
                </c:pt>
                <c:pt idx="14">
                  <c:v>5.5E-2</c:v>
                </c:pt>
                <c:pt idx="15">
                  <c:v>0.06</c:v>
                </c:pt>
                <c:pt idx="16">
                  <c:v>6.5000000000000002E-2</c:v>
                </c:pt>
                <c:pt idx="17">
                  <c:v>7.0000000000000007E-2</c:v>
                </c:pt>
                <c:pt idx="18">
                  <c:v>7.4999999999999997E-2</c:v>
                </c:pt>
                <c:pt idx="19">
                  <c:v>0.08</c:v>
                </c:pt>
              </c:numCache>
            </c:numRef>
          </c:xVal>
          <c:yVal>
            <c:numRef>
              <c:f>Tables!$F$18:$F$37</c:f>
              <c:numCache>
                <c:formatCode>General</c:formatCode>
                <c:ptCount val="20"/>
                <c:pt idx="0">
                  <c:v>5772</c:v>
                </c:pt>
                <c:pt idx="1">
                  <c:v>5449</c:v>
                </c:pt>
                <c:pt idx="2">
                  <c:v>5175</c:v>
                </c:pt>
                <c:pt idx="3">
                  <c:v>4499</c:v>
                </c:pt>
                <c:pt idx="4">
                  <c:v>3882</c:v>
                </c:pt>
                <c:pt idx="5">
                  <c:v>3261</c:v>
                </c:pt>
                <c:pt idx="6">
                  <c:v>2791</c:v>
                </c:pt>
                <c:pt idx="7">
                  <c:v>2292</c:v>
                </c:pt>
                <c:pt idx="8">
                  <c:v>1545</c:v>
                </c:pt>
                <c:pt idx="9">
                  <c:v>1066</c:v>
                </c:pt>
                <c:pt idx="10">
                  <c:v>819</c:v>
                </c:pt>
                <c:pt idx="11">
                  <c:v>642</c:v>
                </c:pt>
                <c:pt idx="12">
                  <c:v>525</c:v>
                </c:pt>
                <c:pt idx="13">
                  <c:v>460</c:v>
                </c:pt>
                <c:pt idx="14">
                  <c:v>393</c:v>
                </c:pt>
                <c:pt idx="15">
                  <c:v>335</c:v>
                </c:pt>
                <c:pt idx="16">
                  <c:v>273</c:v>
                </c:pt>
                <c:pt idx="17">
                  <c:v>207</c:v>
                </c:pt>
                <c:pt idx="18">
                  <c:v>143</c:v>
                </c:pt>
                <c:pt idx="19">
                  <c:v>88</c:v>
                </c:pt>
              </c:numCache>
            </c:numRef>
          </c:yVal>
          <c:smooth val="1"/>
          <c:extLst>
            <c:ext xmlns:c16="http://schemas.microsoft.com/office/drawing/2014/chart" uri="{C3380CC4-5D6E-409C-BE32-E72D297353CC}">
              <c16:uniqueId val="{00000002-F902-41CB-AC11-58F1459E7E25}"/>
            </c:ext>
          </c:extLst>
        </c:ser>
        <c:ser>
          <c:idx val="3"/>
          <c:order val="3"/>
          <c:spPr>
            <a:ln w="19050">
              <a:solidFill>
                <a:schemeClr val="accent4"/>
              </a:solidFill>
              <a:prstDash val="solid"/>
            </a:ln>
          </c:spPr>
          <c:marker>
            <c:symbol val="circle"/>
            <c:size val="5"/>
            <c:spPr>
              <a:ln>
                <a:prstDash val="solid"/>
              </a:ln>
            </c:spPr>
          </c:marker>
          <c:xVal>
            <c:numRef>
              <c:f>Tables!$G$18:$G$37</c:f>
              <c:numCache>
                <c:formatCode>General</c:formatCode>
                <c:ptCount val="20"/>
                <c:pt idx="0">
                  <c:v>7.26E-3</c:v>
                </c:pt>
                <c:pt idx="1">
                  <c:v>7.7499999999999999E-3</c:v>
                </c:pt>
                <c:pt idx="2">
                  <c:v>8.2500000000000004E-3</c:v>
                </c:pt>
                <c:pt idx="3">
                  <c:v>0.01</c:v>
                </c:pt>
                <c:pt idx="4">
                  <c:v>1.2500000000000001E-2</c:v>
                </c:pt>
                <c:pt idx="5">
                  <c:v>1.4999999999999999E-2</c:v>
                </c:pt>
                <c:pt idx="6">
                  <c:v>1.7500000000000002E-2</c:v>
                </c:pt>
                <c:pt idx="7">
                  <c:v>0.02</c:v>
                </c:pt>
                <c:pt idx="8">
                  <c:v>2.5000000000000001E-2</c:v>
                </c:pt>
                <c:pt idx="9">
                  <c:v>0.03</c:v>
                </c:pt>
                <c:pt idx="10">
                  <c:v>3.5000000000000003E-2</c:v>
                </c:pt>
                <c:pt idx="11">
                  <c:v>0.04</c:v>
                </c:pt>
                <c:pt idx="12">
                  <c:v>4.4999999999999998E-2</c:v>
                </c:pt>
                <c:pt idx="13">
                  <c:v>0.05</c:v>
                </c:pt>
                <c:pt idx="14">
                  <c:v>5.5E-2</c:v>
                </c:pt>
                <c:pt idx="15">
                  <c:v>0.06</c:v>
                </c:pt>
                <c:pt idx="16">
                  <c:v>6.5000000000000002E-2</c:v>
                </c:pt>
                <c:pt idx="17">
                  <c:v>7.0000000000000007E-2</c:v>
                </c:pt>
                <c:pt idx="18">
                  <c:v>7.4999999999999997E-2</c:v>
                </c:pt>
                <c:pt idx="19">
                  <c:v>0.08</c:v>
                </c:pt>
              </c:numCache>
            </c:numRef>
          </c:xVal>
          <c:yVal>
            <c:numRef>
              <c:f>Tables!$H$18:$H$37</c:f>
              <c:numCache>
                <c:formatCode>General</c:formatCode>
                <c:ptCount val="20"/>
                <c:pt idx="0">
                  <c:v>4443</c:v>
                </c:pt>
                <c:pt idx="1">
                  <c:v>4000</c:v>
                </c:pt>
                <c:pt idx="2">
                  <c:v>3804</c:v>
                </c:pt>
                <c:pt idx="3">
                  <c:v>3208</c:v>
                </c:pt>
                <c:pt idx="4">
                  <c:v>2777</c:v>
                </c:pt>
                <c:pt idx="5">
                  <c:v>2404</c:v>
                </c:pt>
                <c:pt idx="6">
                  <c:v>2145</c:v>
                </c:pt>
                <c:pt idx="7">
                  <c:v>1852</c:v>
                </c:pt>
                <c:pt idx="8">
                  <c:v>1387</c:v>
                </c:pt>
                <c:pt idx="9">
                  <c:v>1000</c:v>
                </c:pt>
                <c:pt idx="10">
                  <c:v>819</c:v>
                </c:pt>
                <c:pt idx="11">
                  <c:v>642</c:v>
                </c:pt>
                <c:pt idx="12">
                  <c:v>525</c:v>
                </c:pt>
                <c:pt idx="13">
                  <c:v>460</c:v>
                </c:pt>
                <c:pt idx="14">
                  <c:v>393</c:v>
                </c:pt>
                <c:pt idx="15">
                  <c:v>335</c:v>
                </c:pt>
                <c:pt idx="16">
                  <c:v>273</c:v>
                </c:pt>
                <c:pt idx="17">
                  <c:v>207</c:v>
                </c:pt>
                <c:pt idx="18">
                  <c:v>143</c:v>
                </c:pt>
                <c:pt idx="19">
                  <c:v>88</c:v>
                </c:pt>
              </c:numCache>
            </c:numRef>
          </c:yVal>
          <c:smooth val="1"/>
          <c:extLst>
            <c:ext xmlns:c16="http://schemas.microsoft.com/office/drawing/2014/chart" uri="{C3380CC4-5D6E-409C-BE32-E72D297353CC}">
              <c16:uniqueId val="{00000003-F902-41CB-AC11-58F1459E7E25}"/>
            </c:ext>
          </c:extLst>
        </c:ser>
        <c:dLbls>
          <c:showLegendKey val="0"/>
          <c:showVal val="0"/>
          <c:showCatName val="0"/>
          <c:showSerName val="0"/>
          <c:showPercent val="0"/>
          <c:showBubbleSize val="0"/>
        </c:dLbls>
        <c:axId val="48650112"/>
        <c:axId val="48672768"/>
      </c:scatterChart>
      <c:valAx>
        <c:axId val="48650112"/>
        <c:scaling>
          <c:orientation val="minMax"/>
        </c:scaling>
        <c:delete val="0"/>
        <c:axPos val="b"/>
        <c:majorGridlines>
          <c:spPr>
            <a:ln w="9525">
              <a:solidFill>
                <a:schemeClr val="tx1">
                  <a:lumMod val="15000"/>
                  <a:lumOff val="85000"/>
                </a:schemeClr>
              </a:solidFill>
              <a:prstDash val="solid"/>
            </a:ln>
          </c:spPr>
        </c:majorGridlines>
        <c:numFmt formatCode="General" sourceLinked="1"/>
        <c:majorTickMark val="out"/>
        <c:minorTickMark val="none"/>
        <c:tickLblPos val="nextTo"/>
        <c:spPr>
          <a:ln w="9525">
            <a:solidFill>
              <a:schemeClr val="tx1">
                <a:lumMod val="25000"/>
                <a:lumOff val="75000"/>
              </a:schemeClr>
            </a:solidFill>
            <a:prstDash val="solid"/>
          </a:ln>
        </c:spPr>
        <c:txPr>
          <a:bodyPr rot="-60000000" vert="horz" anchor="ctr" anchorCtr="1"/>
          <a:lstStyle/>
          <a:p>
            <a:pPr>
              <a:defRPr sz="900" b="0" i="0">
                <a:solidFill>
                  <a:schemeClr val="tx1">
                    <a:lumMod val="65000"/>
                    <a:lumOff val="35000"/>
                  </a:schemeClr>
                </a:solidFill>
                <a:latin typeface="+mn-lt"/>
                <a:ea typeface="+mn-lt"/>
                <a:cs typeface="+mn-lt"/>
              </a:defRPr>
            </a:pPr>
            <a:endParaRPr lang="en-US"/>
          </a:p>
        </c:txPr>
        <c:crossAx val="48672768"/>
        <c:crosses val="autoZero"/>
        <c:crossBetween val="midCat"/>
      </c:valAx>
      <c:valAx>
        <c:axId val="48672768"/>
        <c:scaling>
          <c:orientation val="minMax"/>
        </c:scaling>
        <c:delete val="0"/>
        <c:axPos val="l"/>
        <c:majorGridlines>
          <c:spPr>
            <a:ln w="9525">
              <a:solidFill>
                <a:schemeClr val="tx1">
                  <a:lumMod val="15000"/>
                  <a:lumOff val="85000"/>
                </a:schemeClr>
              </a:solidFill>
              <a:prstDash val="solid"/>
            </a:ln>
          </c:spPr>
        </c:majorGridlines>
        <c:numFmt formatCode="General" sourceLinked="1"/>
        <c:majorTickMark val="out"/>
        <c:minorTickMark val="none"/>
        <c:tickLblPos val="nextTo"/>
        <c:spPr>
          <a:ln w="9525">
            <a:solidFill>
              <a:schemeClr val="tx1">
                <a:lumMod val="25000"/>
                <a:lumOff val="75000"/>
              </a:schemeClr>
            </a:solidFill>
            <a:prstDash val="solid"/>
          </a:ln>
        </c:spPr>
        <c:txPr>
          <a:bodyPr rot="-60000000" vert="horz" anchor="ctr" anchorCtr="1"/>
          <a:lstStyle/>
          <a:p>
            <a:pPr>
              <a:defRPr sz="900" b="0" i="0">
                <a:solidFill>
                  <a:schemeClr val="tx1">
                    <a:lumMod val="65000"/>
                    <a:lumOff val="35000"/>
                  </a:schemeClr>
                </a:solidFill>
                <a:latin typeface="+mn-lt"/>
                <a:ea typeface="+mn-lt"/>
                <a:cs typeface="+mn-lt"/>
              </a:defRPr>
            </a:pPr>
            <a:endParaRPr lang="en-US"/>
          </a:p>
        </c:txPr>
        <c:crossAx val="48650112"/>
        <c:crosses val="autoZero"/>
        <c:crossBetween val="midCat"/>
      </c:valAx>
    </c:plotArea>
    <c:legend>
      <c:legendPos val="b"/>
      <c:overlay val="0"/>
      <c:spPr>
        <a:noFill/>
        <a:ln>
          <a:prstDash val="solid"/>
        </a:ln>
      </c:spPr>
      <c:txPr>
        <a:bodyPr rot="0" vert="horz" anchor="ctr" anchorCtr="1"/>
        <a:lstStyle/>
        <a:p>
          <a:pPr>
            <a:defRPr sz="900" b="0" i="0">
              <a:solidFill>
                <a:schemeClr val="tx1">
                  <a:lumMod val="65000"/>
                  <a:lumOff val="35000"/>
                </a:schemeClr>
              </a:solidFill>
              <a:latin typeface="+mn-lt"/>
              <a:ea typeface="+mn-lt"/>
              <a:cs typeface="+mn-lt"/>
            </a:defRPr>
          </a:pPr>
          <a:endParaRPr lang="en-US"/>
        </a:p>
      </c:txPr>
    </c:legend>
    <c:plotVisOnly val="1"/>
    <c:dispBlanksAs val="gap"/>
    <c:showDLblsOverMax val="1"/>
  </c:chart>
  <c:spPr>
    <a:solidFill>
      <a:schemeClr val="bg1"/>
    </a:solidFill>
    <a:ln w="9525">
      <a:solidFill>
        <a:schemeClr val="tx1">
          <a:lumMod val="15000"/>
          <a:lumOff val="85000"/>
        </a:schemeClr>
      </a:solidFill>
      <a:prstDash val="soli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r>
              <a:rPr sz="1400" b="0" i="0">
                <a:solidFill>
                  <a:schemeClr val="tx1">
                    <a:lumMod val="65000"/>
                    <a:lumOff val="35000"/>
                  </a:schemeClr>
                </a:solidFill>
                <a:latin typeface="+mn-lt"/>
                <a:ea typeface="+mn-lt"/>
                <a:cs typeface="+mn-lt"/>
              </a:rPr>
              <a:t>Burial Factor Earth Load</a:t>
            </a:r>
          </a:p>
        </c:rich>
      </c:tx>
      <c:overlay val="0"/>
    </c:title>
    <c:autoTitleDeleted val="0"/>
    <c:plotArea>
      <c:layout/>
      <c:lineChart>
        <c:grouping val="standard"/>
        <c:varyColors val="0"/>
        <c:ser>
          <c:idx val="0"/>
          <c:order val="0"/>
          <c:spPr>
            <a:ln w="28575">
              <a:solidFill>
                <a:schemeClr val="accent1"/>
              </a:solidFill>
              <a:prstDash val="solid"/>
            </a:ln>
          </c:spPr>
          <c:marker>
            <c:symbol val="none"/>
          </c:marker>
          <c:cat>
            <c:numRef>
              <c:f>Tables!$A$43:$A$75</c:f>
              <c:numCache>
                <c:formatCode>General</c:formatCode>
                <c:ptCount val="33"/>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numCache>
            </c:numRef>
          </c:cat>
          <c:val>
            <c:numRef>
              <c:f>Tables!$B$43:$B$75</c:f>
              <c:numCache>
                <c:formatCode>General</c:formatCode>
                <c:ptCount val="33"/>
                <c:pt idx="0">
                  <c:v>0</c:v>
                </c:pt>
                <c:pt idx="1">
                  <c:v>0.32100000000000001</c:v>
                </c:pt>
                <c:pt idx="2">
                  <c:v>0.64400000000000002</c:v>
                </c:pt>
                <c:pt idx="3">
                  <c:v>0.84399999999999997</c:v>
                </c:pt>
                <c:pt idx="4">
                  <c:v>0.98299999999999998</c:v>
                </c:pt>
                <c:pt idx="5">
                  <c:v>1.077</c:v>
                </c:pt>
                <c:pt idx="6">
                  <c:v>1.1619999999999999</c:v>
                </c:pt>
                <c:pt idx="7">
                  <c:v>1.2150000000000001</c:v>
                </c:pt>
                <c:pt idx="8">
                  <c:v>1.26</c:v>
                </c:pt>
                <c:pt idx="9">
                  <c:v>1.2949999999999999</c:v>
                </c:pt>
                <c:pt idx="10">
                  <c:v>1.325</c:v>
                </c:pt>
                <c:pt idx="11">
                  <c:v>1.3420000000000001</c:v>
                </c:pt>
                <c:pt idx="12">
                  <c:v>1.3560000000000001</c:v>
                </c:pt>
                <c:pt idx="13">
                  <c:v>1.363</c:v>
                </c:pt>
                <c:pt idx="14">
                  <c:v>1.3640000000000001</c:v>
                </c:pt>
                <c:pt idx="15">
                  <c:v>1.3640000000000001</c:v>
                </c:pt>
                <c:pt idx="16">
                  <c:v>1.3640000000000001</c:v>
                </c:pt>
                <c:pt idx="17">
                  <c:v>1.3640000000000001</c:v>
                </c:pt>
                <c:pt idx="18">
                  <c:v>1.3640000000000001</c:v>
                </c:pt>
                <c:pt idx="19">
                  <c:v>1.3640000000000001</c:v>
                </c:pt>
                <c:pt idx="20">
                  <c:v>1.3640000000000001</c:v>
                </c:pt>
                <c:pt idx="21">
                  <c:v>1.3640000000000001</c:v>
                </c:pt>
                <c:pt idx="22">
                  <c:v>1.3640000000000001</c:v>
                </c:pt>
                <c:pt idx="23">
                  <c:v>1.3640000000000001</c:v>
                </c:pt>
                <c:pt idx="24">
                  <c:v>1.3640000000000001</c:v>
                </c:pt>
                <c:pt idx="25">
                  <c:v>1.3640000000000001</c:v>
                </c:pt>
                <c:pt idx="26">
                  <c:v>1.3640000000000001</c:v>
                </c:pt>
                <c:pt idx="27">
                  <c:v>1.3640000000000001</c:v>
                </c:pt>
                <c:pt idx="28">
                  <c:v>1.3640000000000001</c:v>
                </c:pt>
                <c:pt idx="29">
                  <c:v>1.3640000000000001</c:v>
                </c:pt>
                <c:pt idx="30">
                  <c:v>1.3640000000000001</c:v>
                </c:pt>
                <c:pt idx="31">
                  <c:v>1.3640000000000001</c:v>
                </c:pt>
                <c:pt idx="32">
                  <c:v>1.3640000000000001</c:v>
                </c:pt>
              </c:numCache>
            </c:numRef>
          </c:val>
          <c:smooth val="0"/>
          <c:extLst>
            <c:ext xmlns:c16="http://schemas.microsoft.com/office/drawing/2014/chart" uri="{C3380CC4-5D6E-409C-BE32-E72D297353CC}">
              <c16:uniqueId val="{00000000-3B56-4AE0-9DE0-5C819EC14F19}"/>
            </c:ext>
          </c:extLst>
        </c:ser>
        <c:ser>
          <c:idx val="1"/>
          <c:order val="1"/>
          <c:spPr>
            <a:ln w="28575">
              <a:solidFill>
                <a:schemeClr val="accent3"/>
              </a:solidFill>
              <a:prstDash val="solid"/>
            </a:ln>
          </c:spPr>
          <c:marker>
            <c:symbol val="none"/>
          </c:marker>
          <c:cat>
            <c:numRef>
              <c:f>Tables!$A$43:$A$75</c:f>
              <c:numCache>
                <c:formatCode>General</c:formatCode>
                <c:ptCount val="33"/>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numCache>
            </c:numRef>
          </c:cat>
          <c:val>
            <c:numRef>
              <c:f>Tables!$D$43:$D$75</c:f>
              <c:numCache>
                <c:formatCode>General</c:formatCode>
                <c:ptCount val="33"/>
                <c:pt idx="0">
                  <c:v>0</c:v>
                </c:pt>
                <c:pt idx="1">
                  <c:v>0.32100000000000001</c:v>
                </c:pt>
                <c:pt idx="2">
                  <c:v>0.63100000000000001</c:v>
                </c:pt>
                <c:pt idx="3">
                  <c:v>0.77600000000000002</c:v>
                </c:pt>
                <c:pt idx="4">
                  <c:v>0.89300000000000002</c:v>
                </c:pt>
                <c:pt idx="5">
                  <c:v>0.96399999999999997</c:v>
                </c:pt>
                <c:pt idx="6">
                  <c:v>1.032</c:v>
                </c:pt>
                <c:pt idx="7">
                  <c:v>1.071</c:v>
                </c:pt>
                <c:pt idx="8">
                  <c:v>1.1080000000000001</c:v>
                </c:pt>
                <c:pt idx="9">
                  <c:v>1.133</c:v>
                </c:pt>
                <c:pt idx="10">
                  <c:v>1.1519999999999999</c:v>
                </c:pt>
                <c:pt idx="11">
                  <c:v>1.1639999999999999</c:v>
                </c:pt>
                <c:pt idx="12">
                  <c:v>1.1719999999999999</c:v>
                </c:pt>
                <c:pt idx="13">
                  <c:v>1.173</c:v>
                </c:pt>
                <c:pt idx="14">
                  <c:v>1.173</c:v>
                </c:pt>
                <c:pt idx="15">
                  <c:v>1.173</c:v>
                </c:pt>
                <c:pt idx="16">
                  <c:v>1.173</c:v>
                </c:pt>
                <c:pt idx="17">
                  <c:v>1.173</c:v>
                </c:pt>
                <c:pt idx="18">
                  <c:v>1.173</c:v>
                </c:pt>
                <c:pt idx="19">
                  <c:v>1.173</c:v>
                </c:pt>
                <c:pt idx="20">
                  <c:v>1.173</c:v>
                </c:pt>
                <c:pt idx="21">
                  <c:v>1.173</c:v>
                </c:pt>
                <c:pt idx="22">
                  <c:v>1.173</c:v>
                </c:pt>
                <c:pt idx="23">
                  <c:v>1.173</c:v>
                </c:pt>
                <c:pt idx="24">
                  <c:v>1.173</c:v>
                </c:pt>
                <c:pt idx="25">
                  <c:v>1.173</c:v>
                </c:pt>
                <c:pt idx="26">
                  <c:v>1.173</c:v>
                </c:pt>
                <c:pt idx="27">
                  <c:v>1.173</c:v>
                </c:pt>
                <c:pt idx="28">
                  <c:v>1.173</c:v>
                </c:pt>
                <c:pt idx="29">
                  <c:v>1.173</c:v>
                </c:pt>
                <c:pt idx="30">
                  <c:v>1.173</c:v>
                </c:pt>
                <c:pt idx="31">
                  <c:v>1.173</c:v>
                </c:pt>
                <c:pt idx="32">
                  <c:v>1.173</c:v>
                </c:pt>
              </c:numCache>
            </c:numRef>
          </c:val>
          <c:smooth val="0"/>
          <c:extLst>
            <c:ext xmlns:c16="http://schemas.microsoft.com/office/drawing/2014/chart" uri="{C3380CC4-5D6E-409C-BE32-E72D297353CC}">
              <c16:uniqueId val="{00000001-3B56-4AE0-9DE0-5C819EC14F19}"/>
            </c:ext>
          </c:extLst>
        </c:ser>
        <c:ser>
          <c:idx val="2"/>
          <c:order val="2"/>
          <c:spPr>
            <a:ln w="28575">
              <a:solidFill>
                <a:schemeClr val="accent2"/>
              </a:solidFill>
              <a:prstDash val="solid"/>
            </a:ln>
          </c:spPr>
          <c:marker>
            <c:symbol val="none"/>
          </c:marker>
          <c:cat>
            <mc:AlternateContent xmlns:mc="http://schemas.openxmlformats.org/markup-compatibility/2006">
              <mc:Choice xmlns:c16ac="http://schemas.microsoft.com/office/drawing/2014/chart/ac" Requires="c16ac">
                <c16ac:multiLvlStrLit>
                  <c:ptCount val="0"/>
                </c16ac:multiLvlStrLit>
              </mc:Choice>
              <mc:Fallback>
                <c:strLit/>
              </mc:Fallback>
            </mc:AlternateContent>
          </c:cat>
          <c:val>
            <c:numLit>
              <c:formatCode>General</c:formatCode>
              <c:ptCount val="1"/>
              <c:pt idx="0">
                <c:v>1</c:v>
              </c:pt>
            </c:numLit>
          </c:val>
          <c:smooth val="0"/>
          <c:extLst>
            <c:ext xmlns:c16="http://schemas.microsoft.com/office/drawing/2014/chart" uri="{C3380CC4-5D6E-409C-BE32-E72D297353CC}">
              <c16:uniqueId val="{00000002-3B56-4AE0-9DE0-5C819EC14F19}"/>
            </c:ext>
          </c:extLst>
        </c:ser>
        <c:dLbls>
          <c:showLegendKey val="0"/>
          <c:showVal val="0"/>
          <c:showCatName val="0"/>
          <c:showSerName val="0"/>
          <c:showPercent val="0"/>
          <c:showBubbleSize val="0"/>
        </c:dLbls>
        <c:smooth val="0"/>
        <c:axId val="48650112"/>
        <c:axId val="48672768"/>
      </c:lineChart>
      <c:catAx>
        <c:axId val="48650112"/>
        <c:scaling>
          <c:orientation val="minMax"/>
        </c:scaling>
        <c:delete val="0"/>
        <c:axPos val="b"/>
        <c:numFmt formatCode="General" sourceLinked="1"/>
        <c:majorTickMark val="none"/>
        <c:minorTickMark val="none"/>
        <c:tickLblPos val="nextTo"/>
        <c:spPr>
          <a:ln w="9525">
            <a:solidFill>
              <a:schemeClr val="tx1">
                <a:lumMod val="15000"/>
                <a:lumOff val="85000"/>
              </a:schemeClr>
            </a:solidFill>
            <a:prstDash val="solid"/>
          </a:ln>
        </c:spPr>
        <c:txPr>
          <a:bodyPr rot="-60000000" vert="horz" anchor="ctr" anchorCtr="1"/>
          <a:lstStyle/>
          <a:p>
            <a:pPr>
              <a:defRPr sz="900" b="0" i="0">
                <a:solidFill>
                  <a:schemeClr val="tx1">
                    <a:lumMod val="65000"/>
                    <a:lumOff val="35000"/>
                  </a:schemeClr>
                </a:solidFill>
                <a:latin typeface="+mn-lt"/>
                <a:ea typeface="+mn-lt"/>
                <a:cs typeface="+mn-lt"/>
              </a:defRPr>
            </a:pPr>
            <a:endParaRPr lang="en-US"/>
          </a:p>
        </c:txPr>
        <c:crossAx val="48672768"/>
        <c:crosses val="autoZero"/>
        <c:auto val="1"/>
        <c:lblAlgn val="ctr"/>
        <c:lblOffset val="100"/>
        <c:noMultiLvlLbl val="0"/>
      </c:catAx>
      <c:valAx>
        <c:axId val="48672768"/>
        <c:scaling>
          <c:orientation val="minMax"/>
        </c:scaling>
        <c:delete val="0"/>
        <c:axPos val="l"/>
        <c:majorGridlines>
          <c:spPr>
            <a:ln w="9525">
              <a:solidFill>
                <a:schemeClr val="tx1">
                  <a:lumMod val="15000"/>
                  <a:lumOff val="85000"/>
                </a:schemeClr>
              </a:solidFill>
              <a:prstDash val="solid"/>
            </a:ln>
          </c:spPr>
        </c:majorGridlines>
        <c:numFmt formatCode="General" sourceLinked="1"/>
        <c:majorTickMark val="none"/>
        <c:minorTickMark val="none"/>
        <c:tickLblPos val="nextTo"/>
        <c:spPr>
          <a:ln>
            <a:noFill/>
            <a:prstDash val="solid"/>
          </a:ln>
        </c:spPr>
        <c:txPr>
          <a:bodyPr rot="-60000000" vert="horz" anchor="ctr" anchorCtr="1"/>
          <a:lstStyle/>
          <a:p>
            <a:pPr>
              <a:defRPr sz="900" b="0" i="0">
                <a:solidFill>
                  <a:schemeClr val="tx1">
                    <a:lumMod val="65000"/>
                    <a:lumOff val="35000"/>
                  </a:schemeClr>
                </a:solidFill>
                <a:latin typeface="+mn-lt"/>
                <a:ea typeface="+mn-lt"/>
                <a:cs typeface="+mn-lt"/>
              </a:defRPr>
            </a:pPr>
            <a:endParaRPr lang="en-US"/>
          </a:p>
        </c:txPr>
        <c:crossAx val="48650112"/>
        <c:crosses val="autoZero"/>
        <c:crossBetween val="between"/>
      </c:valAx>
    </c:plotArea>
    <c:legend>
      <c:legendPos val="b"/>
      <c:overlay val="0"/>
      <c:spPr>
        <a:noFill/>
        <a:ln>
          <a:prstDash val="solid"/>
        </a:ln>
      </c:spPr>
      <c:txPr>
        <a:bodyPr rot="0" vert="horz" anchor="ctr" anchorCtr="1"/>
        <a:lstStyle/>
        <a:p>
          <a:pPr>
            <a:defRPr sz="900" b="0" i="0">
              <a:solidFill>
                <a:schemeClr val="tx1">
                  <a:lumMod val="65000"/>
                  <a:lumOff val="35000"/>
                </a:schemeClr>
              </a:solidFill>
              <a:latin typeface="+mn-lt"/>
              <a:ea typeface="+mn-lt"/>
              <a:cs typeface="+mn-lt"/>
            </a:defRPr>
          </a:pPr>
          <a:endParaRPr lang="en-US"/>
        </a:p>
      </c:txPr>
    </c:legend>
    <c:plotVisOnly val="1"/>
    <c:dispBlanksAs val="gap"/>
    <c:showDLblsOverMax val="1"/>
  </c:chart>
  <c:spPr>
    <a:solidFill>
      <a:schemeClr val="bg1"/>
    </a:solidFill>
    <a:ln w="9525">
      <a:solidFill>
        <a:schemeClr val="tx1">
          <a:lumMod val="15000"/>
          <a:lumOff val="85000"/>
        </a:schemeClr>
      </a:solidFill>
      <a:prstDash val="soli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r>
              <a:rPr sz="1400" b="0" i="0">
                <a:solidFill>
                  <a:schemeClr val="tx1">
                    <a:lumMod val="65000"/>
                    <a:lumOff val="35000"/>
                  </a:schemeClr>
                </a:solidFill>
                <a:latin typeface="+mn-lt"/>
                <a:ea typeface="+mn-lt"/>
                <a:cs typeface="+mn-lt"/>
              </a:rPr>
              <a:t>Excavation Factor</a:t>
            </a:r>
          </a:p>
        </c:rich>
      </c:tx>
      <c:overlay val="0"/>
    </c:title>
    <c:autoTitleDeleted val="0"/>
    <c:plotArea>
      <c:layout/>
      <c:lineChart>
        <c:grouping val="standard"/>
        <c:varyColors val="0"/>
        <c:ser>
          <c:idx val="0"/>
          <c:order val="0"/>
          <c:spPr>
            <a:ln w="28575">
              <a:solidFill>
                <a:schemeClr val="accent1"/>
              </a:solidFill>
              <a:prstDash val="solid"/>
            </a:ln>
          </c:spPr>
          <c:marker>
            <c:symbol val="none"/>
          </c:marker>
          <c:cat>
            <c:numRef>
              <c:f>Tables!$A$80:$A$86</c:f>
              <c:numCache>
                <c:formatCode>General</c:formatCode>
                <c:ptCount val="7"/>
                <c:pt idx="0">
                  <c:v>1</c:v>
                </c:pt>
                <c:pt idx="1">
                  <c:v>1.05</c:v>
                </c:pt>
                <c:pt idx="2">
                  <c:v>1.1000000000000001</c:v>
                </c:pt>
                <c:pt idx="3">
                  <c:v>1.1499999999999999</c:v>
                </c:pt>
                <c:pt idx="4">
                  <c:v>1.2</c:v>
                </c:pt>
                <c:pt idx="5">
                  <c:v>1.25</c:v>
                </c:pt>
                <c:pt idx="6">
                  <c:v>1.3</c:v>
                </c:pt>
              </c:numCache>
            </c:numRef>
          </c:cat>
          <c:val>
            <c:numRef>
              <c:f>Tables!$B$80:$B$86</c:f>
              <c:numCache>
                <c:formatCode>General</c:formatCode>
                <c:ptCount val="7"/>
                <c:pt idx="0">
                  <c:v>0.83069999999999999</c:v>
                </c:pt>
                <c:pt idx="1">
                  <c:v>0.90900000000000003</c:v>
                </c:pt>
                <c:pt idx="2">
                  <c:v>0.99660000000000004</c:v>
                </c:pt>
                <c:pt idx="3">
                  <c:v>1.0903</c:v>
                </c:pt>
                <c:pt idx="4">
                  <c:v>1.1909000000000001</c:v>
                </c:pt>
                <c:pt idx="5">
                  <c:v>1.2941</c:v>
                </c:pt>
                <c:pt idx="6">
                  <c:v>1.4</c:v>
                </c:pt>
              </c:numCache>
            </c:numRef>
          </c:val>
          <c:smooth val="0"/>
          <c:extLst>
            <c:ext xmlns:c16="http://schemas.microsoft.com/office/drawing/2014/chart" uri="{C3380CC4-5D6E-409C-BE32-E72D297353CC}">
              <c16:uniqueId val="{00000000-70CE-4F80-A2C5-F23CC08744DA}"/>
            </c:ext>
          </c:extLst>
        </c:ser>
        <c:dLbls>
          <c:showLegendKey val="0"/>
          <c:showVal val="0"/>
          <c:showCatName val="0"/>
          <c:showSerName val="0"/>
          <c:showPercent val="0"/>
          <c:showBubbleSize val="0"/>
        </c:dLbls>
        <c:smooth val="0"/>
        <c:axId val="48650112"/>
        <c:axId val="48672768"/>
      </c:lineChart>
      <c:catAx>
        <c:axId val="48650112"/>
        <c:scaling>
          <c:orientation val="minMax"/>
        </c:scaling>
        <c:delete val="0"/>
        <c:axPos val="b"/>
        <c:numFmt formatCode="General" sourceLinked="1"/>
        <c:majorTickMark val="none"/>
        <c:minorTickMark val="none"/>
        <c:tickLblPos val="nextTo"/>
        <c:spPr>
          <a:ln w="9525">
            <a:solidFill>
              <a:schemeClr val="tx1">
                <a:lumMod val="15000"/>
                <a:lumOff val="85000"/>
              </a:schemeClr>
            </a:solidFill>
            <a:prstDash val="solid"/>
          </a:ln>
        </c:spPr>
        <c:txPr>
          <a:bodyPr rot="-60000000" vert="horz" anchor="ctr" anchorCtr="1"/>
          <a:lstStyle/>
          <a:p>
            <a:pPr>
              <a:defRPr sz="900" b="0" i="0">
                <a:solidFill>
                  <a:schemeClr val="tx1">
                    <a:lumMod val="65000"/>
                    <a:lumOff val="35000"/>
                  </a:schemeClr>
                </a:solidFill>
                <a:latin typeface="+mn-lt"/>
                <a:ea typeface="+mn-lt"/>
                <a:cs typeface="+mn-lt"/>
              </a:defRPr>
            </a:pPr>
            <a:endParaRPr lang="en-US"/>
          </a:p>
        </c:txPr>
        <c:crossAx val="48672768"/>
        <c:crosses val="autoZero"/>
        <c:auto val="1"/>
        <c:lblAlgn val="ctr"/>
        <c:lblOffset val="100"/>
        <c:noMultiLvlLbl val="0"/>
      </c:catAx>
      <c:valAx>
        <c:axId val="48672768"/>
        <c:scaling>
          <c:orientation val="minMax"/>
        </c:scaling>
        <c:delete val="0"/>
        <c:axPos val="l"/>
        <c:majorGridlines>
          <c:spPr>
            <a:ln w="9525">
              <a:solidFill>
                <a:schemeClr val="tx1">
                  <a:lumMod val="15000"/>
                  <a:lumOff val="85000"/>
                </a:schemeClr>
              </a:solidFill>
              <a:prstDash val="solid"/>
            </a:ln>
          </c:spPr>
        </c:majorGridlines>
        <c:numFmt formatCode="General" sourceLinked="1"/>
        <c:majorTickMark val="none"/>
        <c:minorTickMark val="none"/>
        <c:tickLblPos val="nextTo"/>
        <c:spPr>
          <a:ln>
            <a:noFill/>
            <a:prstDash val="solid"/>
          </a:ln>
        </c:spPr>
        <c:txPr>
          <a:bodyPr rot="-60000000" vert="horz" anchor="ctr" anchorCtr="1"/>
          <a:lstStyle/>
          <a:p>
            <a:pPr>
              <a:defRPr sz="900" b="0" i="0">
                <a:solidFill>
                  <a:schemeClr val="tx1">
                    <a:lumMod val="65000"/>
                    <a:lumOff val="35000"/>
                  </a:schemeClr>
                </a:solidFill>
                <a:latin typeface="+mn-lt"/>
                <a:ea typeface="+mn-lt"/>
                <a:cs typeface="+mn-lt"/>
              </a:defRPr>
            </a:pPr>
            <a:endParaRPr lang="en-US"/>
          </a:p>
        </c:txPr>
        <c:crossAx val="48650112"/>
        <c:crosses val="autoZero"/>
        <c:crossBetween val="between"/>
      </c:valAx>
    </c:plotArea>
    <c:plotVisOnly val="1"/>
    <c:dispBlanksAs val="gap"/>
    <c:showDLblsOverMax val="1"/>
  </c:chart>
  <c:spPr>
    <a:solidFill>
      <a:schemeClr val="bg1"/>
    </a:solidFill>
    <a:ln w="9525">
      <a:solidFill>
        <a:schemeClr val="tx1">
          <a:lumMod val="15000"/>
          <a:lumOff val="85000"/>
        </a:schemeClr>
      </a:solidFill>
      <a:prstDash val="soli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r>
              <a:rPr sz="1400" b="0" i="0">
                <a:solidFill>
                  <a:schemeClr val="tx1">
                    <a:lumMod val="65000"/>
                    <a:lumOff val="35000"/>
                  </a:schemeClr>
                </a:solidFill>
                <a:latin typeface="+mn-lt"/>
                <a:ea typeface="+mn-lt"/>
                <a:cs typeface="+mn-lt"/>
              </a:rPr>
              <a:t>Impact Factor</a:t>
            </a:r>
          </a:p>
        </c:rich>
      </c:tx>
      <c:overlay val="0"/>
    </c:title>
    <c:autoTitleDeleted val="0"/>
    <c:plotArea>
      <c:layout/>
      <c:lineChart>
        <c:grouping val="standard"/>
        <c:varyColors val="0"/>
        <c:ser>
          <c:idx val="0"/>
          <c:order val="0"/>
          <c:spPr>
            <a:ln w="28575">
              <a:solidFill>
                <a:schemeClr val="accent2"/>
              </a:solidFill>
              <a:prstDash val="solid"/>
            </a:ln>
          </c:spPr>
          <c:marker>
            <c:symbol val="none"/>
          </c:marker>
          <c:val>
            <c:numRef>
              <c:f>Tables!$A$91:$A$93</c:f>
              <c:numCache>
                <c:formatCode>General</c:formatCode>
                <c:ptCount val="3"/>
                <c:pt idx="0">
                  <c:v>0</c:v>
                </c:pt>
                <c:pt idx="1">
                  <c:v>5.22</c:v>
                </c:pt>
                <c:pt idx="2">
                  <c:v>21.62</c:v>
                </c:pt>
              </c:numCache>
            </c:numRef>
          </c:val>
          <c:smooth val="0"/>
          <c:extLst>
            <c:ext xmlns:c15="http://schemas.microsoft.com/office/drawing/2012/chart" uri="{02D57815-91ED-43cb-92C2-25804820EDAC}">
              <c15:filteredCategoryTitle>
                <c15:cat>
                  <mc:AlternateContent xmlns:mc="http://schemas.openxmlformats.org/markup-compatibility/2006">
                    <mc:Choice xmlns:c16ac="http://schemas.microsoft.com/office/drawing/2014/chart/ac" Requires="c16ac">
                      <c16ac:multiLvlStrLit>
                        <c:ptCount val="0"/>
                      </c16ac:multiLvlStrLit>
                    </mc:Choice>
                    <mc:Fallback>
                      <c:strLit/>
                    </mc:Fallback>
                  </mc:AlternateContent>
                </c15:cat>
              </c15:filteredCategoryTitle>
            </c:ext>
            <c:ext xmlns:c16="http://schemas.microsoft.com/office/drawing/2014/chart" uri="{C3380CC4-5D6E-409C-BE32-E72D297353CC}">
              <c16:uniqueId val="{00000000-D1F9-414A-92D2-4F5859CC9622}"/>
            </c:ext>
          </c:extLst>
        </c:ser>
        <c:ser>
          <c:idx val="1"/>
          <c:order val="1"/>
          <c:spPr>
            <a:ln w="28575">
              <a:solidFill>
                <a:schemeClr val="accent1"/>
              </a:solidFill>
              <a:prstDash val="solid"/>
            </a:ln>
          </c:spPr>
          <c:marker>
            <c:symbol val="none"/>
          </c:marker>
          <c:val>
            <c:numLit>
              <c:formatCode>General</c:formatCode>
              <c:ptCount val="1"/>
              <c:pt idx="0">
                <c:v>1</c:v>
              </c:pt>
            </c:numLit>
          </c:val>
          <c:smooth val="0"/>
          <c:extLst>
            <c:ext xmlns:c15="http://schemas.microsoft.com/office/drawing/2012/chart" uri="{02D57815-91ED-43cb-92C2-25804820EDAC}">
              <c15:filteredCategoryTitle>
                <c15:cat>
                  <mc:AlternateContent xmlns:mc="http://schemas.openxmlformats.org/markup-compatibility/2006">
                    <mc:Choice xmlns:c16ac="http://schemas.microsoft.com/office/drawing/2014/chart/ac" Requires="c16ac">
                      <c16ac:multiLvlStrLit>
                        <c:ptCount val="0"/>
                      </c16ac:multiLvlStrLit>
                    </mc:Choice>
                    <mc:Fallback>
                      <c:strLit/>
                    </mc:Fallback>
                  </mc:AlternateContent>
                </c15:cat>
              </c15:filteredCategoryTitle>
            </c:ext>
            <c:ext xmlns:c16="http://schemas.microsoft.com/office/drawing/2014/chart" uri="{C3380CC4-5D6E-409C-BE32-E72D297353CC}">
              <c16:uniqueId val="{00000001-D1F9-414A-92D2-4F5859CC9622}"/>
            </c:ext>
          </c:extLst>
        </c:ser>
        <c:dLbls>
          <c:showLegendKey val="0"/>
          <c:showVal val="0"/>
          <c:showCatName val="0"/>
          <c:showSerName val="0"/>
          <c:showPercent val="0"/>
          <c:showBubbleSize val="0"/>
        </c:dLbls>
        <c:smooth val="0"/>
        <c:axId val="48650112"/>
        <c:axId val="48672768"/>
      </c:lineChart>
      <c:catAx>
        <c:axId val="48650112"/>
        <c:scaling>
          <c:orientation val="minMax"/>
        </c:scaling>
        <c:delete val="0"/>
        <c:axPos val="b"/>
        <c:numFmt formatCode="General" sourceLinked="1"/>
        <c:majorTickMark val="none"/>
        <c:minorTickMark val="none"/>
        <c:tickLblPos val="nextTo"/>
        <c:spPr>
          <a:ln w="9525">
            <a:solidFill>
              <a:schemeClr val="tx1">
                <a:lumMod val="15000"/>
                <a:lumOff val="85000"/>
              </a:schemeClr>
            </a:solidFill>
            <a:prstDash val="solid"/>
          </a:ln>
        </c:spPr>
        <c:txPr>
          <a:bodyPr rot="-60000000" vert="horz" anchor="ctr" anchorCtr="1"/>
          <a:lstStyle/>
          <a:p>
            <a:pPr>
              <a:defRPr sz="900" b="0" i="0">
                <a:solidFill>
                  <a:schemeClr val="tx1">
                    <a:lumMod val="65000"/>
                    <a:lumOff val="35000"/>
                  </a:schemeClr>
                </a:solidFill>
                <a:latin typeface="+mn-lt"/>
                <a:ea typeface="+mn-lt"/>
                <a:cs typeface="+mn-lt"/>
              </a:defRPr>
            </a:pPr>
            <a:endParaRPr lang="en-US"/>
          </a:p>
        </c:txPr>
        <c:crossAx val="48672768"/>
        <c:crosses val="autoZero"/>
        <c:auto val="1"/>
        <c:lblAlgn val="ctr"/>
        <c:lblOffset val="100"/>
        <c:noMultiLvlLbl val="0"/>
      </c:catAx>
      <c:valAx>
        <c:axId val="48672768"/>
        <c:scaling>
          <c:orientation val="minMax"/>
        </c:scaling>
        <c:delete val="0"/>
        <c:axPos val="l"/>
        <c:majorGridlines>
          <c:spPr>
            <a:ln w="9525">
              <a:solidFill>
                <a:schemeClr val="tx1">
                  <a:lumMod val="15000"/>
                  <a:lumOff val="85000"/>
                </a:schemeClr>
              </a:solidFill>
              <a:prstDash val="solid"/>
            </a:ln>
          </c:spPr>
        </c:majorGridlines>
        <c:numFmt formatCode="General" sourceLinked="1"/>
        <c:majorTickMark val="none"/>
        <c:minorTickMark val="none"/>
        <c:tickLblPos val="nextTo"/>
        <c:spPr>
          <a:ln>
            <a:noFill/>
            <a:prstDash val="solid"/>
          </a:ln>
        </c:spPr>
        <c:txPr>
          <a:bodyPr rot="-60000000" vert="horz" anchor="ctr" anchorCtr="1"/>
          <a:lstStyle/>
          <a:p>
            <a:pPr>
              <a:defRPr sz="900" b="0" i="0">
                <a:solidFill>
                  <a:schemeClr val="tx1">
                    <a:lumMod val="65000"/>
                    <a:lumOff val="35000"/>
                  </a:schemeClr>
                </a:solidFill>
                <a:latin typeface="+mn-lt"/>
                <a:ea typeface="+mn-lt"/>
                <a:cs typeface="+mn-lt"/>
              </a:defRPr>
            </a:pPr>
            <a:endParaRPr lang="en-US"/>
          </a:p>
        </c:txPr>
        <c:crossAx val="48650112"/>
        <c:crosses val="autoZero"/>
        <c:crossBetween val="between"/>
      </c:valAx>
    </c:plotArea>
    <c:legend>
      <c:legendPos val="b"/>
      <c:overlay val="0"/>
      <c:spPr>
        <a:noFill/>
        <a:ln>
          <a:prstDash val="solid"/>
        </a:ln>
      </c:spPr>
      <c:txPr>
        <a:bodyPr rot="0" vert="horz" anchor="ctr" anchorCtr="1"/>
        <a:lstStyle/>
        <a:p>
          <a:pPr>
            <a:defRPr sz="900" b="0" i="0">
              <a:solidFill>
                <a:schemeClr val="tx1">
                  <a:lumMod val="65000"/>
                  <a:lumOff val="35000"/>
                </a:schemeClr>
              </a:solidFill>
              <a:latin typeface="+mn-lt"/>
              <a:ea typeface="+mn-lt"/>
              <a:cs typeface="+mn-lt"/>
            </a:defRPr>
          </a:pPr>
          <a:endParaRPr lang="en-US"/>
        </a:p>
      </c:txPr>
    </c:legend>
    <c:plotVisOnly val="1"/>
    <c:dispBlanksAs val="gap"/>
    <c:showDLblsOverMax val="1"/>
  </c:chart>
  <c:spPr>
    <a:solidFill>
      <a:schemeClr val="bg1"/>
    </a:solidFill>
    <a:ln w="9525">
      <a:solidFill>
        <a:schemeClr val="tx1">
          <a:lumMod val="15000"/>
          <a:lumOff val="85000"/>
        </a:schemeClr>
      </a:solidFill>
      <a:prstDash val="soli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r>
              <a:rPr sz="1400" b="0" i="0">
                <a:solidFill>
                  <a:schemeClr val="tx1">
                    <a:lumMod val="65000"/>
                    <a:lumOff val="35000"/>
                  </a:schemeClr>
                </a:solidFill>
                <a:latin typeface="+mn-lt"/>
                <a:ea typeface="+mn-lt"/>
                <a:cs typeface="+mn-lt"/>
              </a:rPr>
              <a:t>Highway Stiffness Factor for Cyclic Circumferential Stress</a:t>
            </a:r>
          </a:p>
        </c:rich>
      </c:tx>
      <c:overlay val="0"/>
    </c:title>
    <c:autoTitleDeleted val="0"/>
    <c:plotArea>
      <c:layout/>
      <c:scatterChart>
        <c:scatterStyle val="lineMarker"/>
        <c:varyColors val="0"/>
        <c:ser>
          <c:idx val="0"/>
          <c:order val="0"/>
          <c:tx>
            <c:strRef>
              <c:f>Tables!$B$97:$B$98</c:f>
              <c:strCache>
                <c:ptCount val="2"/>
                <c:pt idx="0">
                  <c:v>Er = 5 ksi</c:v>
                </c:pt>
                <c:pt idx="1">
                  <c:v>Y (KHh)</c:v>
                </c:pt>
              </c:strCache>
            </c:strRef>
          </c:tx>
          <c:spPr>
            <a:ln w="19050">
              <a:solidFill>
                <a:schemeClr val="accent1"/>
              </a:solidFill>
              <a:prstDash val="solid"/>
            </a:ln>
          </c:spPr>
          <c:marker>
            <c:symbol val="circle"/>
            <c:size val="5"/>
            <c:spPr>
              <a:ln>
                <a:prstDash val="solid"/>
              </a:ln>
            </c:spPr>
          </c:marker>
          <c:xVal>
            <c:numRef>
              <c:f>Tables!$A$99:$A$117</c:f>
              <c:numCache>
                <c:formatCode>General</c:formatCode>
                <c:ptCount val="19"/>
                <c:pt idx="0">
                  <c:v>1.018E-2</c:v>
                </c:pt>
                <c:pt idx="1">
                  <c:v>1.061E-2</c:v>
                </c:pt>
                <c:pt idx="2">
                  <c:v>1.2109999999999999E-2</c:v>
                </c:pt>
                <c:pt idx="3">
                  <c:v>1.3939999999999999E-2</c:v>
                </c:pt>
                <c:pt idx="4">
                  <c:v>1.541E-2</c:v>
                </c:pt>
                <c:pt idx="5">
                  <c:v>1.729E-2</c:v>
                </c:pt>
                <c:pt idx="6">
                  <c:v>2.018E-2</c:v>
                </c:pt>
                <c:pt idx="7">
                  <c:v>2.4250000000000001E-2</c:v>
                </c:pt>
                <c:pt idx="8">
                  <c:v>2.9909999999999999E-2</c:v>
                </c:pt>
                <c:pt idx="9">
                  <c:v>3.5819999999999998E-2</c:v>
                </c:pt>
                <c:pt idx="10">
                  <c:v>4.0070000000000001E-2</c:v>
                </c:pt>
                <c:pt idx="11">
                  <c:v>4.4839999999999998E-2</c:v>
                </c:pt>
                <c:pt idx="12">
                  <c:v>5.0119999999999998E-2</c:v>
                </c:pt>
                <c:pt idx="13">
                  <c:v>5.4960000000000002E-2</c:v>
                </c:pt>
                <c:pt idx="14">
                  <c:v>5.9990000000000002E-2</c:v>
                </c:pt>
                <c:pt idx="15">
                  <c:v>6.4879999999999993E-2</c:v>
                </c:pt>
                <c:pt idx="16">
                  <c:v>7.0050000000000001E-2</c:v>
                </c:pt>
                <c:pt idx="17">
                  <c:v>7.4929999999999997E-2</c:v>
                </c:pt>
                <c:pt idx="18">
                  <c:v>0.08</c:v>
                </c:pt>
              </c:numCache>
            </c:numRef>
          </c:xVal>
          <c:yVal>
            <c:numRef>
              <c:f>Tables!$B$99:$B$117</c:f>
              <c:numCache>
                <c:formatCode>General</c:formatCode>
                <c:ptCount val="19"/>
                <c:pt idx="0">
                  <c:v>19.818999999999999</c:v>
                </c:pt>
                <c:pt idx="1">
                  <c:v>19.818999999999999</c:v>
                </c:pt>
                <c:pt idx="2">
                  <c:v>20.376000000000001</c:v>
                </c:pt>
                <c:pt idx="3">
                  <c:v>20.675999999999998</c:v>
                </c:pt>
                <c:pt idx="4">
                  <c:v>20.632000000000001</c:v>
                </c:pt>
                <c:pt idx="5">
                  <c:v>20.338999999999999</c:v>
                </c:pt>
                <c:pt idx="6">
                  <c:v>19.387</c:v>
                </c:pt>
                <c:pt idx="7">
                  <c:v>17.248999999999999</c:v>
                </c:pt>
                <c:pt idx="8">
                  <c:v>13.464</c:v>
                </c:pt>
                <c:pt idx="9">
                  <c:v>10.35</c:v>
                </c:pt>
                <c:pt idx="10">
                  <c:v>8.6809999999999992</c:v>
                </c:pt>
                <c:pt idx="11">
                  <c:v>7.077</c:v>
                </c:pt>
                <c:pt idx="12">
                  <c:v>5.9139999999999997</c:v>
                </c:pt>
                <c:pt idx="13">
                  <c:v>5.15</c:v>
                </c:pt>
                <c:pt idx="14">
                  <c:v>4.1529999999999996</c:v>
                </c:pt>
                <c:pt idx="15">
                  <c:v>3.4649999999999999</c:v>
                </c:pt>
                <c:pt idx="16">
                  <c:v>2.823</c:v>
                </c:pt>
                <c:pt idx="17">
                  <c:v>2.323</c:v>
                </c:pt>
                <c:pt idx="18">
                  <c:v>1.9059999999999999</c:v>
                </c:pt>
              </c:numCache>
            </c:numRef>
          </c:yVal>
          <c:smooth val="1"/>
          <c:extLst>
            <c:ext xmlns:c16="http://schemas.microsoft.com/office/drawing/2014/chart" uri="{C3380CC4-5D6E-409C-BE32-E72D297353CC}">
              <c16:uniqueId val="{00000000-D1EF-4C82-9B7E-0C85D89D7EAB}"/>
            </c:ext>
          </c:extLst>
        </c:ser>
        <c:ser>
          <c:idx val="1"/>
          <c:order val="1"/>
          <c:tx>
            <c:strRef>
              <c:f>Tables!$D$97:$D$98</c:f>
              <c:strCache>
                <c:ptCount val="2"/>
                <c:pt idx="0">
                  <c:v>Er = 10 ksi</c:v>
                </c:pt>
                <c:pt idx="1">
                  <c:v>Y (KHh)</c:v>
                </c:pt>
              </c:strCache>
            </c:strRef>
          </c:tx>
          <c:spPr>
            <a:ln w="19050">
              <a:solidFill>
                <a:schemeClr val="accent2"/>
              </a:solidFill>
              <a:prstDash val="solid"/>
            </a:ln>
          </c:spPr>
          <c:marker>
            <c:symbol val="circle"/>
            <c:size val="5"/>
            <c:spPr>
              <a:ln>
                <a:prstDash val="solid"/>
              </a:ln>
            </c:spPr>
          </c:marker>
          <c:xVal>
            <c:numRef>
              <c:f>Tables!$C$99:$C$117</c:f>
              <c:numCache>
                <c:formatCode>General</c:formatCode>
                <c:ptCount val="19"/>
                <c:pt idx="0">
                  <c:v>1.018E-2</c:v>
                </c:pt>
                <c:pt idx="1">
                  <c:v>1.061E-2</c:v>
                </c:pt>
                <c:pt idx="2">
                  <c:v>1.2109999999999999E-2</c:v>
                </c:pt>
                <c:pt idx="3">
                  <c:v>1.3939999999999999E-2</c:v>
                </c:pt>
                <c:pt idx="4">
                  <c:v>1.541E-2</c:v>
                </c:pt>
                <c:pt idx="5">
                  <c:v>1.729E-2</c:v>
                </c:pt>
                <c:pt idx="6">
                  <c:v>2.018E-2</c:v>
                </c:pt>
                <c:pt idx="7">
                  <c:v>2.4250000000000001E-2</c:v>
                </c:pt>
                <c:pt idx="8">
                  <c:v>2.9909999999999999E-2</c:v>
                </c:pt>
                <c:pt idx="9">
                  <c:v>3.5819999999999998E-2</c:v>
                </c:pt>
                <c:pt idx="10">
                  <c:v>4.0070000000000001E-2</c:v>
                </c:pt>
                <c:pt idx="11">
                  <c:v>4.4839999999999998E-2</c:v>
                </c:pt>
                <c:pt idx="12">
                  <c:v>5.0119999999999998E-2</c:v>
                </c:pt>
                <c:pt idx="13">
                  <c:v>5.4960000000000002E-2</c:v>
                </c:pt>
                <c:pt idx="14">
                  <c:v>5.9990000000000002E-2</c:v>
                </c:pt>
                <c:pt idx="15">
                  <c:v>6.4879999999999993E-2</c:v>
                </c:pt>
                <c:pt idx="16">
                  <c:v>7.0050000000000001E-2</c:v>
                </c:pt>
                <c:pt idx="17">
                  <c:v>7.4929999999999997E-2</c:v>
                </c:pt>
                <c:pt idx="18">
                  <c:v>0.08</c:v>
                </c:pt>
              </c:numCache>
            </c:numRef>
          </c:xVal>
          <c:yVal>
            <c:numRef>
              <c:f>Tables!$D$99:$D$117</c:f>
              <c:numCache>
                <c:formatCode>General</c:formatCode>
                <c:ptCount val="19"/>
                <c:pt idx="0">
                  <c:v>12.714</c:v>
                </c:pt>
                <c:pt idx="1">
                  <c:v>13.066000000000001</c:v>
                </c:pt>
                <c:pt idx="2">
                  <c:v>14.063000000000001</c:v>
                </c:pt>
                <c:pt idx="3">
                  <c:v>14.603</c:v>
                </c:pt>
                <c:pt idx="4">
                  <c:v>14.746</c:v>
                </c:pt>
                <c:pt idx="5">
                  <c:v>14.641</c:v>
                </c:pt>
                <c:pt idx="6">
                  <c:v>14.101000000000001</c:v>
                </c:pt>
                <c:pt idx="7">
                  <c:v>12.5</c:v>
                </c:pt>
                <c:pt idx="8">
                  <c:v>10.52</c:v>
                </c:pt>
                <c:pt idx="9">
                  <c:v>8.7650000000000006</c:v>
                </c:pt>
                <c:pt idx="10">
                  <c:v>7.6130000000000004</c:v>
                </c:pt>
                <c:pt idx="11">
                  <c:v>6.5519999999999996</c:v>
                </c:pt>
                <c:pt idx="12">
                  <c:v>5.4649999999999999</c:v>
                </c:pt>
                <c:pt idx="13">
                  <c:v>4.5999999999999996</c:v>
                </c:pt>
                <c:pt idx="14">
                  <c:v>3.7850000000000001</c:v>
                </c:pt>
                <c:pt idx="15">
                  <c:v>3.1240000000000001</c:v>
                </c:pt>
                <c:pt idx="16">
                  <c:v>2.4940000000000002</c:v>
                </c:pt>
                <c:pt idx="17">
                  <c:v>2.0350000000000001</c:v>
                </c:pt>
                <c:pt idx="18">
                  <c:v>1.605</c:v>
                </c:pt>
              </c:numCache>
            </c:numRef>
          </c:yVal>
          <c:smooth val="1"/>
          <c:extLst>
            <c:ext xmlns:c16="http://schemas.microsoft.com/office/drawing/2014/chart" uri="{C3380CC4-5D6E-409C-BE32-E72D297353CC}">
              <c16:uniqueId val="{00000001-D1EF-4C82-9B7E-0C85D89D7EAB}"/>
            </c:ext>
          </c:extLst>
        </c:ser>
        <c:ser>
          <c:idx val="2"/>
          <c:order val="2"/>
          <c:tx>
            <c:strRef>
              <c:f>Tables!$F$97:$F$98</c:f>
              <c:strCache>
                <c:ptCount val="2"/>
                <c:pt idx="0">
                  <c:v>Er = 20 ksi</c:v>
                </c:pt>
                <c:pt idx="1">
                  <c:v>Y (KHh)</c:v>
                </c:pt>
              </c:strCache>
            </c:strRef>
          </c:tx>
          <c:spPr>
            <a:ln w="19050">
              <a:solidFill>
                <a:schemeClr val="accent3"/>
              </a:solidFill>
              <a:prstDash val="solid"/>
            </a:ln>
          </c:spPr>
          <c:marker>
            <c:symbol val="circle"/>
            <c:size val="5"/>
            <c:spPr>
              <a:ln>
                <a:prstDash val="solid"/>
              </a:ln>
            </c:spPr>
          </c:marker>
          <c:xVal>
            <c:numRef>
              <c:f>Tables!$E$99:$E$117</c:f>
              <c:numCache>
                <c:formatCode>General</c:formatCode>
                <c:ptCount val="19"/>
                <c:pt idx="0">
                  <c:v>1.018E-2</c:v>
                </c:pt>
                <c:pt idx="1">
                  <c:v>1.061E-2</c:v>
                </c:pt>
                <c:pt idx="2">
                  <c:v>1.2109999999999999E-2</c:v>
                </c:pt>
                <c:pt idx="3">
                  <c:v>1.3939999999999999E-2</c:v>
                </c:pt>
                <c:pt idx="4">
                  <c:v>1.541E-2</c:v>
                </c:pt>
                <c:pt idx="5">
                  <c:v>1.729E-2</c:v>
                </c:pt>
                <c:pt idx="6">
                  <c:v>2.018E-2</c:v>
                </c:pt>
                <c:pt idx="7">
                  <c:v>2.4250000000000001E-2</c:v>
                </c:pt>
                <c:pt idx="8">
                  <c:v>2.9909999999999999E-2</c:v>
                </c:pt>
                <c:pt idx="9">
                  <c:v>3.5819999999999998E-2</c:v>
                </c:pt>
                <c:pt idx="10">
                  <c:v>4.0070000000000001E-2</c:v>
                </c:pt>
                <c:pt idx="11">
                  <c:v>4.4839999999999998E-2</c:v>
                </c:pt>
                <c:pt idx="12">
                  <c:v>5.0119999999999998E-2</c:v>
                </c:pt>
                <c:pt idx="13">
                  <c:v>5.4960000000000002E-2</c:v>
                </c:pt>
                <c:pt idx="14">
                  <c:v>5.9990000000000002E-2</c:v>
                </c:pt>
                <c:pt idx="15">
                  <c:v>6.4879999999999993E-2</c:v>
                </c:pt>
                <c:pt idx="16">
                  <c:v>7.0050000000000001E-2</c:v>
                </c:pt>
                <c:pt idx="17">
                  <c:v>7.4929999999999997E-2</c:v>
                </c:pt>
                <c:pt idx="18">
                  <c:v>0.08</c:v>
                </c:pt>
              </c:numCache>
            </c:numRef>
          </c:xVal>
          <c:yVal>
            <c:numRef>
              <c:f>Tables!$F$99:$F$117</c:f>
              <c:numCache>
                <c:formatCode>General</c:formatCode>
                <c:ptCount val="19"/>
                <c:pt idx="0">
                  <c:v>6.8559999999999999</c:v>
                </c:pt>
                <c:pt idx="1">
                  <c:v>7.2169999999999996</c:v>
                </c:pt>
                <c:pt idx="2">
                  <c:v>8.1029999999999998</c:v>
                </c:pt>
                <c:pt idx="3">
                  <c:v>8.7859999999999996</c:v>
                </c:pt>
                <c:pt idx="4">
                  <c:v>9.1210000000000004</c:v>
                </c:pt>
                <c:pt idx="5">
                  <c:v>9.3870000000000005</c:v>
                </c:pt>
                <c:pt idx="6">
                  <c:v>9.51</c:v>
                </c:pt>
                <c:pt idx="7">
                  <c:v>9.3230000000000004</c:v>
                </c:pt>
                <c:pt idx="8">
                  <c:v>8.4469999999999992</c:v>
                </c:pt>
                <c:pt idx="9">
                  <c:v>7.2</c:v>
                </c:pt>
                <c:pt idx="10">
                  <c:v>6.367</c:v>
                </c:pt>
                <c:pt idx="11">
                  <c:v>5.55</c:v>
                </c:pt>
                <c:pt idx="12">
                  <c:v>4.734</c:v>
                </c:pt>
                <c:pt idx="13">
                  <c:v>4.0359999999999996</c:v>
                </c:pt>
                <c:pt idx="14">
                  <c:v>3.3260000000000001</c:v>
                </c:pt>
                <c:pt idx="15">
                  <c:v>2.7530000000000001</c:v>
                </c:pt>
                <c:pt idx="16">
                  <c:v>2.1859999999999999</c:v>
                </c:pt>
                <c:pt idx="17">
                  <c:v>1.7270000000000001</c:v>
                </c:pt>
                <c:pt idx="18">
                  <c:v>1.3009999999999999</c:v>
                </c:pt>
              </c:numCache>
            </c:numRef>
          </c:yVal>
          <c:smooth val="1"/>
          <c:extLst>
            <c:ext xmlns:c16="http://schemas.microsoft.com/office/drawing/2014/chart" uri="{C3380CC4-5D6E-409C-BE32-E72D297353CC}">
              <c16:uniqueId val="{00000002-D1EF-4C82-9B7E-0C85D89D7EAB}"/>
            </c:ext>
          </c:extLst>
        </c:ser>
        <c:dLbls>
          <c:showLegendKey val="0"/>
          <c:showVal val="0"/>
          <c:showCatName val="0"/>
          <c:showSerName val="0"/>
          <c:showPercent val="0"/>
          <c:showBubbleSize val="0"/>
        </c:dLbls>
        <c:axId val="48650112"/>
        <c:axId val="48672768"/>
      </c:scatterChart>
      <c:valAx>
        <c:axId val="48650112"/>
        <c:scaling>
          <c:orientation val="minMax"/>
        </c:scaling>
        <c:delete val="0"/>
        <c:axPos val="b"/>
        <c:majorGridlines>
          <c:spPr>
            <a:ln w="9525">
              <a:solidFill>
                <a:schemeClr val="tx1">
                  <a:lumMod val="15000"/>
                  <a:lumOff val="85000"/>
                </a:schemeClr>
              </a:solidFill>
              <a:prstDash val="solid"/>
            </a:ln>
          </c:spPr>
        </c:majorGridlines>
        <c:numFmt formatCode="General" sourceLinked="1"/>
        <c:majorTickMark val="none"/>
        <c:minorTickMark val="none"/>
        <c:tickLblPos val="nextTo"/>
        <c:spPr>
          <a:ln w="9525">
            <a:solidFill>
              <a:schemeClr val="tx1">
                <a:lumMod val="25000"/>
                <a:lumOff val="75000"/>
              </a:schemeClr>
            </a:solidFill>
            <a:prstDash val="solid"/>
          </a:ln>
        </c:spPr>
        <c:txPr>
          <a:bodyPr rot="-60000000" vert="horz" anchor="ctr" anchorCtr="1"/>
          <a:lstStyle/>
          <a:p>
            <a:pPr>
              <a:defRPr sz="900" b="0" i="0">
                <a:solidFill>
                  <a:schemeClr val="tx1">
                    <a:lumMod val="65000"/>
                    <a:lumOff val="35000"/>
                  </a:schemeClr>
                </a:solidFill>
                <a:latin typeface="+mn-lt"/>
                <a:ea typeface="+mn-lt"/>
                <a:cs typeface="+mn-lt"/>
              </a:defRPr>
            </a:pPr>
            <a:endParaRPr lang="en-US"/>
          </a:p>
        </c:txPr>
        <c:crossAx val="48672768"/>
        <c:crosses val="autoZero"/>
        <c:crossBetween val="midCat"/>
      </c:valAx>
      <c:valAx>
        <c:axId val="48672768"/>
        <c:scaling>
          <c:orientation val="minMax"/>
        </c:scaling>
        <c:delete val="0"/>
        <c:axPos val="l"/>
        <c:majorGridlines>
          <c:spPr>
            <a:ln w="9525">
              <a:solidFill>
                <a:schemeClr val="tx1">
                  <a:lumMod val="15000"/>
                  <a:lumOff val="85000"/>
                </a:schemeClr>
              </a:solidFill>
              <a:prstDash val="solid"/>
            </a:ln>
          </c:spPr>
        </c:majorGridlines>
        <c:numFmt formatCode="General" sourceLinked="1"/>
        <c:majorTickMark val="none"/>
        <c:minorTickMark val="none"/>
        <c:tickLblPos val="nextTo"/>
        <c:spPr>
          <a:ln w="9525">
            <a:solidFill>
              <a:schemeClr val="tx1">
                <a:lumMod val="25000"/>
                <a:lumOff val="75000"/>
              </a:schemeClr>
            </a:solidFill>
            <a:prstDash val="solid"/>
          </a:ln>
        </c:spPr>
        <c:txPr>
          <a:bodyPr rot="-60000000" vert="horz" anchor="ctr" anchorCtr="1"/>
          <a:lstStyle/>
          <a:p>
            <a:pPr>
              <a:defRPr sz="900" b="0" i="0">
                <a:solidFill>
                  <a:schemeClr val="tx1">
                    <a:lumMod val="65000"/>
                    <a:lumOff val="35000"/>
                  </a:schemeClr>
                </a:solidFill>
                <a:latin typeface="+mn-lt"/>
                <a:ea typeface="+mn-lt"/>
                <a:cs typeface="+mn-lt"/>
              </a:defRPr>
            </a:pPr>
            <a:endParaRPr lang="en-US"/>
          </a:p>
        </c:txPr>
        <c:crossAx val="48650112"/>
        <c:crosses val="autoZero"/>
        <c:crossBetween val="midCat"/>
      </c:valAx>
    </c:plotArea>
    <c:legend>
      <c:legendPos val="b"/>
      <c:overlay val="0"/>
      <c:spPr>
        <a:noFill/>
        <a:ln>
          <a:prstDash val="solid"/>
        </a:ln>
      </c:spPr>
      <c:txPr>
        <a:bodyPr rot="0" vert="horz" anchor="ctr" anchorCtr="1"/>
        <a:lstStyle/>
        <a:p>
          <a:pPr>
            <a:defRPr sz="900" b="0" i="0">
              <a:solidFill>
                <a:schemeClr val="tx1">
                  <a:lumMod val="65000"/>
                  <a:lumOff val="35000"/>
                </a:schemeClr>
              </a:solidFill>
              <a:latin typeface="+mn-lt"/>
              <a:ea typeface="+mn-lt"/>
              <a:cs typeface="+mn-lt"/>
            </a:defRPr>
          </a:pPr>
          <a:endParaRPr lang="en-US"/>
        </a:p>
      </c:txPr>
    </c:legend>
    <c:plotVisOnly val="1"/>
    <c:dispBlanksAs val="gap"/>
    <c:showDLblsOverMax val="1"/>
  </c:chart>
  <c:spPr>
    <a:solidFill>
      <a:schemeClr val="bg1"/>
    </a:solidFill>
    <a:ln w="9525">
      <a:solidFill>
        <a:schemeClr val="tx1">
          <a:lumMod val="15000"/>
          <a:lumOff val="85000"/>
        </a:schemeClr>
      </a:solidFill>
      <a:prstDash val="soli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r>
              <a:rPr sz="1400" b="0" i="0">
                <a:solidFill>
                  <a:schemeClr val="tx1">
                    <a:lumMod val="65000"/>
                    <a:lumOff val="35000"/>
                  </a:schemeClr>
                </a:solidFill>
                <a:latin typeface="+mn-lt"/>
                <a:ea typeface="+mn-lt"/>
                <a:cs typeface="+mn-lt"/>
              </a:rPr>
              <a:t>Highway Geometry Factor for Cyclic Circumferential Stress</a:t>
            </a:r>
          </a:p>
        </c:rich>
      </c:tx>
      <c:overlay val="0"/>
    </c:title>
    <c:autoTitleDeleted val="0"/>
    <c:plotArea>
      <c:layout/>
      <c:scatterChart>
        <c:scatterStyle val="lineMarker"/>
        <c:varyColors val="0"/>
        <c:ser>
          <c:idx val="0"/>
          <c:order val="0"/>
          <c:tx>
            <c:strRef>
              <c:f>Tables!$B$121:$B$122</c:f>
              <c:strCache>
                <c:ptCount val="2"/>
                <c:pt idx="0">
                  <c:v>H = 3' to 4'</c:v>
                </c:pt>
                <c:pt idx="1">
                  <c:v>Y (GHh)</c:v>
                </c:pt>
              </c:strCache>
            </c:strRef>
          </c:tx>
          <c:spPr>
            <a:ln w="19050">
              <a:solidFill>
                <a:schemeClr val="accent1"/>
              </a:solidFill>
              <a:prstDash val="solid"/>
            </a:ln>
          </c:spPr>
          <c:marker>
            <c:symbol val="circle"/>
            <c:size val="5"/>
            <c:spPr>
              <a:ln>
                <a:prstDash val="solid"/>
              </a:ln>
            </c:spPr>
          </c:marker>
          <c:xVal>
            <c:numRef>
              <c:f>Tables!$A$124:$A$137</c:f>
              <c:numCache>
                <c:formatCode>General</c:formatCode>
                <c:ptCount val="14"/>
                <c:pt idx="0">
                  <c:v>2.1240000000000001</c:v>
                </c:pt>
                <c:pt idx="1">
                  <c:v>2.35</c:v>
                </c:pt>
                <c:pt idx="2">
                  <c:v>3.1720000000000002</c:v>
                </c:pt>
                <c:pt idx="3">
                  <c:v>3.952</c:v>
                </c:pt>
                <c:pt idx="4">
                  <c:v>4.9349999999999996</c:v>
                </c:pt>
                <c:pt idx="5">
                  <c:v>6</c:v>
                </c:pt>
                <c:pt idx="6">
                  <c:v>8</c:v>
                </c:pt>
                <c:pt idx="7">
                  <c:v>10</c:v>
                </c:pt>
                <c:pt idx="8">
                  <c:v>12</c:v>
                </c:pt>
                <c:pt idx="9">
                  <c:v>14</c:v>
                </c:pt>
                <c:pt idx="10">
                  <c:v>18</c:v>
                </c:pt>
                <c:pt idx="11">
                  <c:v>30</c:v>
                </c:pt>
                <c:pt idx="12">
                  <c:v>40</c:v>
                </c:pt>
                <c:pt idx="13">
                  <c:v>42</c:v>
                </c:pt>
              </c:numCache>
            </c:numRef>
          </c:xVal>
          <c:yVal>
            <c:numRef>
              <c:f>Tables!$B$124:$B$137</c:f>
              <c:numCache>
                <c:formatCode>General</c:formatCode>
                <c:ptCount val="14"/>
                <c:pt idx="0">
                  <c:v>1.444</c:v>
                </c:pt>
                <c:pt idx="1">
                  <c:v>1.444</c:v>
                </c:pt>
                <c:pt idx="2">
                  <c:v>1.48</c:v>
                </c:pt>
                <c:pt idx="3">
                  <c:v>1.4910000000000001</c:v>
                </c:pt>
                <c:pt idx="4">
                  <c:v>1.4830000000000001</c:v>
                </c:pt>
                <c:pt idx="5">
                  <c:v>1.4670000000000001</c:v>
                </c:pt>
                <c:pt idx="6">
                  <c:v>1.413</c:v>
                </c:pt>
                <c:pt idx="7">
                  <c:v>1.339</c:v>
                </c:pt>
                <c:pt idx="8">
                  <c:v>1.272</c:v>
                </c:pt>
                <c:pt idx="9">
                  <c:v>1.2230000000000001</c:v>
                </c:pt>
                <c:pt idx="10">
                  <c:v>1.1679999999999999</c:v>
                </c:pt>
                <c:pt idx="11">
                  <c:v>1.0469999999999999</c:v>
                </c:pt>
                <c:pt idx="12">
                  <c:v>0.96299999999999997</c:v>
                </c:pt>
                <c:pt idx="13">
                  <c:v>0.94599999999999995</c:v>
                </c:pt>
              </c:numCache>
            </c:numRef>
          </c:yVal>
          <c:smooth val="1"/>
          <c:extLst>
            <c:ext xmlns:c16="http://schemas.microsoft.com/office/drawing/2014/chart" uri="{C3380CC4-5D6E-409C-BE32-E72D297353CC}">
              <c16:uniqueId val="{00000000-DD35-4BEF-9265-10DFD2EBB4D1}"/>
            </c:ext>
          </c:extLst>
        </c:ser>
        <c:ser>
          <c:idx val="1"/>
          <c:order val="1"/>
          <c:tx>
            <c:strRef>
              <c:f>Tables!$D$121:$D$122</c:f>
              <c:strCache>
                <c:ptCount val="2"/>
                <c:pt idx="0">
                  <c:v>H = 6'</c:v>
                </c:pt>
                <c:pt idx="1">
                  <c:v>Y (GHh)</c:v>
                </c:pt>
              </c:strCache>
            </c:strRef>
          </c:tx>
          <c:spPr>
            <a:ln w="19050">
              <a:solidFill>
                <a:schemeClr val="accent2"/>
              </a:solidFill>
              <a:prstDash val="solid"/>
            </a:ln>
          </c:spPr>
          <c:marker>
            <c:symbol val="circle"/>
            <c:size val="5"/>
            <c:spPr>
              <a:ln>
                <a:prstDash val="solid"/>
              </a:ln>
            </c:spPr>
          </c:marker>
          <c:xVal>
            <c:numRef>
              <c:f>Tables!$C$124:$C$137</c:f>
              <c:numCache>
                <c:formatCode>General</c:formatCode>
                <c:ptCount val="14"/>
                <c:pt idx="0">
                  <c:v>2.1240000000000001</c:v>
                </c:pt>
                <c:pt idx="1">
                  <c:v>2.35</c:v>
                </c:pt>
                <c:pt idx="2">
                  <c:v>3.1720000000000002</c:v>
                </c:pt>
                <c:pt idx="3">
                  <c:v>3.952</c:v>
                </c:pt>
                <c:pt idx="4">
                  <c:v>4.9349999999999996</c:v>
                </c:pt>
                <c:pt idx="5">
                  <c:v>6</c:v>
                </c:pt>
                <c:pt idx="6">
                  <c:v>8</c:v>
                </c:pt>
                <c:pt idx="7">
                  <c:v>10</c:v>
                </c:pt>
                <c:pt idx="8">
                  <c:v>12</c:v>
                </c:pt>
                <c:pt idx="9">
                  <c:v>14</c:v>
                </c:pt>
                <c:pt idx="10">
                  <c:v>18</c:v>
                </c:pt>
                <c:pt idx="11">
                  <c:v>30</c:v>
                </c:pt>
                <c:pt idx="12">
                  <c:v>40</c:v>
                </c:pt>
                <c:pt idx="13">
                  <c:v>42</c:v>
                </c:pt>
              </c:numCache>
            </c:numRef>
          </c:xVal>
          <c:yVal>
            <c:numRef>
              <c:f>Tables!$D$124:$D$137</c:f>
              <c:numCache>
                <c:formatCode>General</c:formatCode>
                <c:ptCount val="14"/>
                <c:pt idx="0">
                  <c:v>1.093</c:v>
                </c:pt>
                <c:pt idx="1">
                  <c:v>1.105</c:v>
                </c:pt>
                <c:pt idx="2">
                  <c:v>1.141</c:v>
                </c:pt>
                <c:pt idx="3">
                  <c:v>1.1579999999999999</c:v>
                </c:pt>
                <c:pt idx="4">
                  <c:v>1.1639999999999999</c:v>
                </c:pt>
                <c:pt idx="5">
                  <c:v>1.157</c:v>
                </c:pt>
                <c:pt idx="6">
                  <c:v>1.117</c:v>
                </c:pt>
                <c:pt idx="7">
                  <c:v>1.0720000000000001</c:v>
                </c:pt>
                <c:pt idx="8">
                  <c:v>1.0309999999999999</c:v>
                </c:pt>
                <c:pt idx="9">
                  <c:v>0.99299999999999999</c:v>
                </c:pt>
                <c:pt idx="10">
                  <c:v>0.93200000000000005</c:v>
                </c:pt>
                <c:pt idx="11">
                  <c:v>0.79900000000000004</c:v>
                </c:pt>
                <c:pt idx="12">
                  <c:v>0.72599999999999998</c:v>
                </c:pt>
                <c:pt idx="13">
                  <c:v>0.71399999999999997</c:v>
                </c:pt>
              </c:numCache>
            </c:numRef>
          </c:yVal>
          <c:smooth val="1"/>
          <c:extLst>
            <c:ext xmlns:c16="http://schemas.microsoft.com/office/drawing/2014/chart" uri="{C3380CC4-5D6E-409C-BE32-E72D297353CC}">
              <c16:uniqueId val="{00000001-DD35-4BEF-9265-10DFD2EBB4D1}"/>
            </c:ext>
          </c:extLst>
        </c:ser>
        <c:ser>
          <c:idx val="2"/>
          <c:order val="2"/>
          <c:tx>
            <c:strRef>
              <c:f>Tables!$F$121:$F$122</c:f>
              <c:strCache>
                <c:ptCount val="2"/>
                <c:pt idx="0">
                  <c:v>H = 8'</c:v>
                </c:pt>
                <c:pt idx="1">
                  <c:v>Y (GHh)</c:v>
                </c:pt>
              </c:strCache>
            </c:strRef>
          </c:tx>
          <c:spPr>
            <a:ln w="19050">
              <a:solidFill>
                <a:schemeClr val="accent3"/>
              </a:solidFill>
              <a:prstDash val="solid"/>
            </a:ln>
          </c:spPr>
          <c:marker>
            <c:symbol val="circle"/>
            <c:size val="5"/>
            <c:spPr>
              <a:ln>
                <a:prstDash val="solid"/>
              </a:ln>
            </c:spPr>
          </c:marker>
          <c:xVal>
            <c:numRef>
              <c:f>Tables!$E$124:$E$137</c:f>
              <c:numCache>
                <c:formatCode>General</c:formatCode>
                <c:ptCount val="14"/>
                <c:pt idx="0">
                  <c:v>2.1240000000000001</c:v>
                </c:pt>
                <c:pt idx="1">
                  <c:v>2.35</c:v>
                </c:pt>
                <c:pt idx="2">
                  <c:v>3.1720000000000002</c:v>
                </c:pt>
                <c:pt idx="3">
                  <c:v>3.952</c:v>
                </c:pt>
                <c:pt idx="4">
                  <c:v>4.9349999999999996</c:v>
                </c:pt>
                <c:pt idx="5">
                  <c:v>6</c:v>
                </c:pt>
                <c:pt idx="6">
                  <c:v>8</c:v>
                </c:pt>
                <c:pt idx="7">
                  <c:v>10</c:v>
                </c:pt>
                <c:pt idx="8">
                  <c:v>12</c:v>
                </c:pt>
                <c:pt idx="9">
                  <c:v>14</c:v>
                </c:pt>
                <c:pt idx="10">
                  <c:v>18</c:v>
                </c:pt>
                <c:pt idx="11">
                  <c:v>30</c:v>
                </c:pt>
                <c:pt idx="12">
                  <c:v>40</c:v>
                </c:pt>
                <c:pt idx="13">
                  <c:v>42</c:v>
                </c:pt>
              </c:numCache>
            </c:numRef>
          </c:xVal>
          <c:yVal>
            <c:numRef>
              <c:f>Tables!$F$124:$F$137</c:f>
              <c:numCache>
                <c:formatCode>General</c:formatCode>
                <c:ptCount val="14"/>
                <c:pt idx="0">
                  <c:v>0.85299999999999998</c:v>
                </c:pt>
                <c:pt idx="1">
                  <c:v>0.86399999999999999</c:v>
                </c:pt>
                <c:pt idx="2">
                  <c:v>0.88500000000000001</c:v>
                </c:pt>
                <c:pt idx="3">
                  <c:v>0.89600000000000002</c:v>
                </c:pt>
                <c:pt idx="4">
                  <c:v>0.90200000000000002</c:v>
                </c:pt>
                <c:pt idx="5">
                  <c:v>0.9</c:v>
                </c:pt>
                <c:pt idx="6">
                  <c:v>0.89</c:v>
                </c:pt>
                <c:pt idx="7">
                  <c:v>0.87</c:v>
                </c:pt>
                <c:pt idx="8">
                  <c:v>0.84399999999999997</c:v>
                </c:pt>
                <c:pt idx="9">
                  <c:v>0.81200000000000006</c:v>
                </c:pt>
                <c:pt idx="10">
                  <c:v>0.77200000000000002</c:v>
                </c:pt>
                <c:pt idx="11">
                  <c:v>0.67300000000000004</c:v>
                </c:pt>
                <c:pt idx="12">
                  <c:v>0.59599999999999997</c:v>
                </c:pt>
                <c:pt idx="13">
                  <c:v>0.57899999999999996</c:v>
                </c:pt>
              </c:numCache>
            </c:numRef>
          </c:yVal>
          <c:smooth val="1"/>
          <c:extLst>
            <c:ext xmlns:c16="http://schemas.microsoft.com/office/drawing/2014/chart" uri="{C3380CC4-5D6E-409C-BE32-E72D297353CC}">
              <c16:uniqueId val="{00000002-DD35-4BEF-9265-10DFD2EBB4D1}"/>
            </c:ext>
          </c:extLst>
        </c:ser>
        <c:ser>
          <c:idx val="3"/>
          <c:order val="3"/>
          <c:tx>
            <c:strRef>
              <c:f>Tables!$H$121:$H$122</c:f>
              <c:strCache>
                <c:ptCount val="2"/>
                <c:pt idx="0">
                  <c:v>H = 10'</c:v>
                </c:pt>
                <c:pt idx="1">
                  <c:v>Y (GHh)</c:v>
                </c:pt>
              </c:strCache>
            </c:strRef>
          </c:tx>
          <c:spPr>
            <a:ln w="19050">
              <a:solidFill>
                <a:schemeClr val="accent4"/>
              </a:solidFill>
              <a:prstDash val="solid"/>
            </a:ln>
          </c:spPr>
          <c:marker>
            <c:symbol val="circle"/>
            <c:size val="5"/>
            <c:spPr>
              <a:ln>
                <a:prstDash val="solid"/>
              </a:ln>
            </c:spPr>
          </c:marker>
          <c:xVal>
            <c:numRef>
              <c:f>Tables!$G$124:$G$137</c:f>
              <c:numCache>
                <c:formatCode>General</c:formatCode>
                <c:ptCount val="14"/>
                <c:pt idx="0">
                  <c:v>2.1240000000000001</c:v>
                </c:pt>
                <c:pt idx="1">
                  <c:v>2.35</c:v>
                </c:pt>
                <c:pt idx="2">
                  <c:v>3.1720000000000002</c:v>
                </c:pt>
                <c:pt idx="3">
                  <c:v>3.952</c:v>
                </c:pt>
                <c:pt idx="4">
                  <c:v>4.9349999999999996</c:v>
                </c:pt>
                <c:pt idx="5">
                  <c:v>6</c:v>
                </c:pt>
                <c:pt idx="6">
                  <c:v>8</c:v>
                </c:pt>
                <c:pt idx="7">
                  <c:v>10</c:v>
                </c:pt>
                <c:pt idx="8">
                  <c:v>12</c:v>
                </c:pt>
                <c:pt idx="9">
                  <c:v>14</c:v>
                </c:pt>
                <c:pt idx="10">
                  <c:v>18</c:v>
                </c:pt>
                <c:pt idx="11">
                  <c:v>30</c:v>
                </c:pt>
                <c:pt idx="12">
                  <c:v>40</c:v>
                </c:pt>
                <c:pt idx="13">
                  <c:v>42</c:v>
                </c:pt>
              </c:numCache>
            </c:numRef>
          </c:xVal>
          <c:yVal>
            <c:numRef>
              <c:f>Tables!$H$124:$H$137</c:f>
              <c:numCache>
                <c:formatCode>General</c:formatCode>
                <c:ptCount val="14"/>
                <c:pt idx="0">
                  <c:v>0.67900000000000005</c:v>
                </c:pt>
                <c:pt idx="1">
                  <c:v>0.68899999999999995</c:v>
                </c:pt>
                <c:pt idx="2">
                  <c:v>0.71099999999999997</c:v>
                </c:pt>
                <c:pt idx="3">
                  <c:v>0.72499999999999998</c:v>
                </c:pt>
                <c:pt idx="4">
                  <c:v>0.73199999999999998</c:v>
                </c:pt>
                <c:pt idx="5">
                  <c:v>0.72699999999999998</c:v>
                </c:pt>
                <c:pt idx="6">
                  <c:v>0.71299999999999997</c:v>
                </c:pt>
                <c:pt idx="7">
                  <c:v>0.69599999999999995</c:v>
                </c:pt>
                <c:pt idx="8">
                  <c:v>0.67400000000000004</c:v>
                </c:pt>
                <c:pt idx="9">
                  <c:v>0.65300000000000002</c:v>
                </c:pt>
                <c:pt idx="10">
                  <c:v>0.61899999999999999</c:v>
                </c:pt>
                <c:pt idx="11">
                  <c:v>0.53600000000000003</c:v>
                </c:pt>
                <c:pt idx="12">
                  <c:v>0.47699999999999998</c:v>
                </c:pt>
                <c:pt idx="13">
                  <c:v>0.46899999999999997</c:v>
                </c:pt>
              </c:numCache>
            </c:numRef>
          </c:yVal>
          <c:smooth val="1"/>
          <c:extLst>
            <c:ext xmlns:c16="http://schemas.microsoft.com/office/drawing/2014/chart" uri="{C3380CC4-5D6E-409C-BE32-E72D297353CC}">
              <c16:uniqueId val="{00000003-DD35-4BEF-9265-10DFD2EBB4D1}"/>
            </c:ext>
          </c:extLst>
        </c:ser>
        <c:dLbls>
          <c:showLegendKey val="0"/>
          <c:showVal val="0"/>
          <c:showCatName val="0"/>
          <c:showSerName val="0"/>
          <c:showPercent val="0"/>
          <c:showBubbleSize val="0"/>
        </c:dLbls>
        <c:axId val="48650112"/>
        <c:axId val="48672768"/>
      </c:scatterChart>
      <c:valAx>
        <c:axId val="48650112"/>
        <c:scaling>
          <c:orientation val="minMax"/>
        </c:scaling>
        <c:delete val="0"/>
        <c:axPos val="b"/>
        <c:majorGridlines>
          <c:spPr>
            <a:ln w="9525">
              <a:solidFill>
                <a:schemeClr val="tx1">
                  <a:lumMod val="15000"/>
                  <a:lumOff val="85000"/>
                </a:schemeClr>
              </a:solidFill>
              <a:prstDash val="solid"/>
            </a:ln>
          </c:spPr>
        </c:majorGridlines>
        <c:numFmt formatCode="General" sourceLinked="1"/>
        <c:majorTickMark val="none"/>
        <c:minorTickMark val="none"/>
        <c:tickLblPos val="nextTo"/>
        <c:spPr>
          <a:ln w="9525">
            <a:solidFill>
              <a:schemeClr val="tx1">
                <a:lumMod val="25000"/>
                <a:lumOff val="75000"/>
              </a:schemeClr>
            </a:solidFill>
            <a:prstDash val="solid"/>
          </a:ln>
        </c:spPr>
        <c:txPr>
          <a:bodyPr rot="-60000000" vert="horz" anchor="ctr" anchorCtr="1"/>
          <a:lstStyle/>
          <a:p>
            <a:pPr>
              <a:defRPr sz="900" b="0" i="0">
                <a:solidFill>
                  <a:schemeClr val="tx1">
                    <a:lumMod val="65000"/>
                    <a:lumOff val="35000"/>
                  </a:schemeClr>
                </a:solidFill>
                <a:latin typeface="+mn-lt"/>
                <a:ea typeface="+mn-lt"/>
                <a:cs typeface="+mn-lt"/>
              </a:defRPr>
            </a:pPr>
            <a:endParaRPr lang="en-US"/>
          </a:p>
        </c:txPr>
        <c:crossAx val="48672768"/>
        <c:crosses val="autoZero"/>
        <c:crossBetween val="midCat"/>
      </c:valAx>
      <c:valAx>
        <c:axId val="48672768"/>
        <c:scaling>
          <c:orientation val="minMax"/>
        </c:scaling>
        <c:delete val="0"/>
        <c:axPos val="l"/>
        <c:majorGridlines>
          <c:spPr>
            <a:ln w="9525">
              <a:solidFill>
                <a:schemeClr val="tx1">
                  <a:lumMod val="15000"/>
                  <a:lumOff val="85000"/>
                </a:schemeClr>
              </a:solidFill>
              <a:prstDash val="solid"/>
            </a:ln>
          </c:spPr>
        </c:majorGridlines>
        <c:numFmt formatCode="General" sourceLinked="1"/>
        <c:majorTickMark val="none"/>
        <c:minorTickMark val="none"/>
        <c:tickLblPos val="nextTo"/>
        <c:spPr>
          <a:ln w="9525">
            <a:solidFill>
              <a:schemeClr val="tx1">
                <a:lumMod val="25000"/>
                <a:lumOff val="75000"/>
              </a:schemeClr>
            </a:solidFill>
            <a:prstDash val="solid"/>
          </a:ln>
        </c:spPr>
        <c:txPr>
          <a:bodyPr rot="-60000000" vert="horz" anchor="ctr" anchorCtr="1"/>
          <a:lstStyle/>
          <a:p>
            <a:pPr>
              <a:defRPr sz="900" b="0" i="0">
                <a:solidFill>
                  <a:schemeClr val="tx1">
                    <a:lumMod val="65000"/>
                    <a:lumOff val="35000"/>
                  </a:schemeClr>
                </a:solidFill>
                <a:latin typeface="+mn-lt"/>
                <a:ea typeface="+mn-lt"/>
                <a:cs typeface="+mn-lt"/>
              </a:defRPr>
            </a:pPr>
            <a:endParaRPr lang="en-US"/>
          </a:p>
        </c:txPr>
        <c:crossAx val="48650112"/>
        <c:crosses val="autoZero"/>
        <c:crossBetween val="midCat"/>
      </c:valAx>
    </c:plotArea>
    <c:legend>
      <c:legendPos val="b"/>
      <c:overlay val="0"/>
      <c:spPr>
        <a:noFill/>
        <a:ln>
          <a:prstDash val="solid"/>
        </a:ln>
      </c:spPr>
      <c:txPr>
        <a:bodyPr rot="0" vert="horz" anchor="ctr" anchorCtr="1"/>
        <a:lstStyle/>
        <a:p>
          <a:pPr>
            <a:defRPr sz="900" b="0" i="0">
              <a:solidFill>
                <a:schemeClr val="tx1">
                  <a:lumMod val="65000"/>
                  <a:lumOff val="35000"/>
                </a:schemeClr>
              </a:solidFill>
              <a:latin typeface="+mn-lt"/>
              <a:ea typeface="+mn-lt"/>
              <a:cs typeface="+mn-lt"/>
            </a:defRPr>
          </a:pPr>
          <a:endParaRPr lang="en-US"/>
        </a:p>
      </c:txPr>
    </c:legend>
    <c:plotVisOnly val="1"/>
    <c:dispBlanksAs val="gap"/>
    <c:showDLblsOverMax val="1"/>
  </c:chart>
  <c:spPr>
    <a:solidFill>
      <a:schemeClr val="bg1"/>
    </a:solidFill>
    <a:ln w="9525">
      <a:solidFill>
        <a:schemeClr val="tx1">
          <a:lumMod val="15000"/>
          <a:lumOff val="85000"/>
        </a:schemeClr>
      </a:solidFill>
      <a:prstDash val="soli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r>
              <a:rPr sz="1400" b="0" i="0">
                <a:solidFill>
                  <a:schemeClr val="tx1">
                    <a:lumMod val="65000"/>
                    <a:lumOff val="35000"/>
                  </a:schemeClr>
                </a:solidFill>
                <a:latin typeface="+mn-lt"/>
                <a:ea typeface="+mn-lt"/>
                <a:cs typeface="+mn-lt"/>
              </a:rPr>
              <a:t>Highway Stiffness Factor for Cyclic Longitudinal Stress</a:t>
            </a:r>
          </a:p>
        </c:rich>
      </c:tx>
      <c:overlay val="0"/>
    </c:title>
    <c:autoTitleDeleted val="0"/>
    <c:plotArea>
      <c:layout/>
      <c:scatterChart>
        <c:scatterStyle val="lineMarker"/>
        <c:varyColors val="0"/>
        <c:ser>
          <c:idx val="0"/>
          <c:order val="0"/>
          <c:tx>
            <c:strRef>
              <c:f>Tables!$B$242:$B$243</c:f>
              <c:strCache>
                <c:ptCount val="2"/>
                <c:pt idx="0">
                  <c:v>Er = 5 ksi</c:v>
                </c:pt>
                <c:pt idx="1">
                  <c:v>Y (KLh)</c:v>
                </c:pt>
              </c:strCache>
            </c:strRef>
          </c:tx>
          <c:spPr>
            <a:ln w="19050">
              <a:solidFill>
                <a:schemeClr val="accent1"/>
              </a:solidFill>
              <a:prstDash val="solid"/>
            </a:ln>
          </c:spPr>
          <c:marker>
            <c:symbol val="circle"/>
            <c:size val="5"/>
            <c:spPr>
              <a:ln>
                <a:prstDash val="solid"/>
              </a:ln>
            </c:spPr>
          </c:marker>
          <c:xVal>
            <c:numRef>
              <c:f>Tables!$A$245:$A$254</c:f>
              <c:numCache>
                <c:formatCode>General</c:formatCode>
                <c:ptCount val="10"/>
                <c:pt idx="0">
                  <c:v>1.0500000000000001E-2</c:v>
                </c:pt>
                <c:pt idx="1">
                  <c:v>1.4999999999999999E-2</c:v>
                </c:pt>
                <c:pt idx="2">
                  <c:v>0.02</c:v>
                </c:pt>
                <c:pt idx="3">
                  <c:v>2.5000000000000001E-2</c:v>
                </c:pt>
                <c:pt idx="4">
                  <c:v>0.03</c:v>
                </c:pt>
                <c:pt idx="5">
                  <c:v>0.04</c:v>
                </c:pt>
                <c:pt idx="6">
                  <c:v>0.05</c:v>
                </c:pt>
                <c:pt idx="7">
                  <c:v>0.06</c:v>
                </c:pt>
                <c:pt idx="8">
                  <c:v>7.0000000000000007E-2</c:v>
                </c:pt>
                <c:pt idx="9">
                  <c:v>0.08</c:v>
                </c:pt>
              </c:numCache>
            </c:numRef>
          </c:xVal>
          <c:yVal>
            <c:numRef>
              <c:f>Tables!$B$245:$B$254</c:f>
              <c:numCache>
                <c:formatCode>General</c:formatCode>
                <c:ptCount val="10"/>
                <c:pt idx="0">
                  <c:v>14.659000000000001</c:v>
                </c:pt>
                <c:pt idx="1">
                  <c:v>15</c:v>
                </c:pt>
                <c:pt idx="2">
                  <c:v>14.385</c:v>
                </c:pt>
                <c:pt idx="3">
                  <c:v>13.278</c:v>
                </c:pt>
                <c:pt idx="4">
                  <c:v>11.77</c:v>
                </c:pt>
                <c:pt idx="5">
                  <c:v>9.6579999999999995</c:v>
                </c:pt>
                <c:pt idx="6">
                  <c:v>8.3629999999999995</c:v>
                </c:pt>
                <c:pt idx="7">
                  <c:v>7.5739999999999998</c:v>
                </c:pt>
                <c:pt idx="8">
                  <c:v>7.1029999999999998</c:v>
                </c:pt>
                <c:pt idx="9">
                  <c:v>6.9409999999999998</c:v>
                </c:pt>
              </c:numCache>
            </c:numRef>
          </c:yVal>
          <c:smooth val="1"/>
          <c:extLst>
            <c:ext xmlns:c16="http://schemas.microsoft.com/office/drawing/2014/chart" uri="{C3380CC4-5D6E-409C-BE32-E72D297353CC}">
              <c16:uniqueId val="{00000000-6D68-4912-8D5D-210649F39BA3}"/>
            </c:ext>
          </c:extLst>
        </c:ser>
        <c:ser>
          <c:idx val="1"/>
          <c:order val="1"/>
          <c:tx>
            <c:strRef>
              <c:f>Tables!$D$242:$D$243</c:f>
              <c:strCache>
                <c:ptCount val="2"/>
                <c:pt idx="0">
                  <c:v>Er = 10 ksi</c:v>
                </c:pt>
                <c:pt idx="1">
                  <c:v>Y (KLh)</c:v>
                </c:pt>
              </c:strCache>
            </c:strRef>
          </c:tx>
          <c:spPr>
            <a:ln w="19050">
              <a:solidFill>
                <a:schemeClr val="accent2"/>
              </a:solidFill>
              <a:prstDash val="solid"/>
            </a:ln>
          </c:spPr>
          <c:marker>
            <c:symbol val="circle"/>
            <c:size val="5"/>
            <c:spPr>
              <a:ln>
                <a:prstDash val="solid"/>
              </a:ln>
            </c:spPr>
          </c:marker>
          <c:xVal>
            <c:numRef>
              <c:f>Tables!$C$245:$C$254</c:f>
              <c:numCache>
                <c:formatCode>General</c:formatCode>
                <c:ptCount val="10"/>
                <c:pt idx="0">
                  <c:v>1.0500000000000001E-2</c:v>
                </c:pt>
                <c:pt idx="1">
                  <c:v>1.4999999999999999E-2</c:v>
                </c:pt>
                <c:pt idx="2">
                  <c:v>0.02</c:v>
                </c:pt>
                <c:pt idx="3">
                  <c:v>2.5000000000000001E-2</c:v>
                </c:pt>
                <c:pt idx="4">
                  <c:v>0.03</c:v>
                </c:pt>
                <c:pt idx="5">
                  <c:v>0.04</c:v>
                </c:pt>
                <c:pt idx="6">
                  <c:v>0.05</c:v>
                </c:pt>
                <c:pt idx="7">
                  <c:v>0.06</c:v>
                </c:pt>
                <c:pt idx="8">
                  <c:v>7.0000000000000007E-2</c:v>
                </c:pt>
                <c:pt idx="9">
                  <c:v>0.08</c:v>
                </c:pt>
              </c:numCache>
            </c:numRef>
          </c:xVal>
          <c:yVal>
            <c:numRef>
              <c:f>Tables!$D$245:$D$254</c:f>
              <c:numCache>
                <c:formatCode>General</c:formatCode>
                <c:ptCount val="10"/>
                <c:pt idx="0">
                  <c:v>9.7669999999999995</c:v>
                </c:pt>
                <c:pt idx="1">
                  <c:v>10</c:v>
                </c:pt>
                <c:pt idx="2">
                  <c:v>9.7669999999999995</c:v>
                </c:pt>
                <c:pt idx="3">
                  <c:v>9.1579999999999995</c:v>
                </c:pt>
                <c:pt idx="4">
                  <c:v>8.4130000000000003</c:v>
                </c:pt>
                <c:pt idx="5">
                  <c:v>6.8170000000000002</c:v>
                </c:pt>
                <c:pt idx="6">
                  <c:v>5.8330000000000002</c:v>
                </c:pt>
                <c:pt idx="7">
                  <c:v>5.1989999999999998</c:v>
                </c:pt>
                <c:pt idx="8">
                  <c:v>4.8239999999999998</c:v>
                </c:pt>
                <c:pt idx="9">
                  <c:v>4.6459999999999999</c:v>
                </c:pt>
              </c:numCache>
            </c:numRef>
          </c:yVal>
          <c:smooth val="1"/>
          <c:extLst>
            <c:ext xmlns:c16="http://schemas.microsoft.com/office/drawing/2014/chart" uri="{C3380CC4-5D6E-409C-BE32-E72D297353CC}">
              <c16:uniqueId val="{00000001-6D68-4912-8D5D-210649F39BA3}"/>
            </c:ext>
          </c:extLst>
        </c:ser>
        <c:ser>
          <c:idx val="2"/>
          <c:order val="2"/>
          <c:tx>
            <c:strRef>
              <c:f>Tables!$F$242:$F$243</c:f>
              <c:strCache>
                <c:ptCount val="2"/>
                <c:pt idx="0">
                  <c:v>Er = 20 ksi</c:v>
                </c:pt>
                <c:pt idx="1">
                  <c:v>Y (KLh)</c:v>
                </c:pt>
              </c:strCache>
            </c:strRef>
          </c:tx>
          <c:spPr>
            <a:ln w="19050">
              <a:solidFill>
                <a:schemeClr val="accent3"/>
              </a:solidFill>
              <a:prstDash val="solid"/>
            </a:ln>
          </c:spPr>
          <c:marker>
            <c:symbol val="circle"/>
            <c:size val="5"/>
            <c:spPr>
              <a:ln>
                <a:prstDash val="solid"/>
              </a:ln>
            </c:spPr>
          </c:marker>
          <c:xVal>
            <c:numRef>
              <c:f>Tables!$E$245:$E$254</c:f>
              <c:numCache>
                <c:formatCode>General</c:formatCode>
                <c:ptCount val="10"/>
                <c:pt idx="0">
                  <c:v>1.0500000000000001E-2</c:v>
                </c:pt>
                <c:pt idx="1">
                  <c:v>1.4999999999999999E-2</c:v>
                </c:pt>
                <c:pt idx="2">
                  <c:v>0.02</c:v>
                </c:pt>
                <c:pt idx="3">
                  <c:v>2.5000000000000001E-2</c:v>
                </c:pt>
                <c:pt idx="4">
                  <c:v>0.03</c:v>
                </c:pt>
                <c:pt idx="5">
                  <c:v>0.04</c:v>
                </c:pt>
                <c:pt idx="6">
                  <c:v>0.05</c:v>
                </c:pt>
                <c:pt idx="7">
                  <c:v>0.06</c:v>
                </c:pt>
                <c:pt idx="8">
                  <c:v>7.0000000000000007E-2</c:v>
                </c:pt>
                <c:pt idx="9">
                  <c:v>0.08</c:v>
                </c:pt>
              </c:numCache>
            </c:numRef>
          </c:xVal>
          <c:yVal>
            <c:numRef>
              <c:f>Tables!$F$245:$F$254</c:f>
              <c:numCache>
                <c:formatCode>General</c:formatCode>
                <c:ptCount val="10"/>
                <c:pt idx="0">
                  <c:v>6.0990000000000002</c:v>
                </c:pt>
                <c:pt idx="1">
                  <c:v>6.5839999999999996</c:v>
                </c:pt>
                <c:pt idx="2">
                  <c:v>6.5839999999999996</c:v>
                </c:pt>
                <c:pt idx="3">
                  <c:v>6.32</c:v>
                </c:pt>
                <c:pt idx="4">
                  <c:v>5.7640000000000002</c:v>
                </c:pt>
                <c:pt idx="5">
                  <c:v>4.7690000000000001</c:v>
                </c:pt>
                <c:pt idx="6">
                  <c:v>3.96</c:v>
                </c:pt>
                <c:pt idx="7">
                  <c:v>3.3929999999999998</c:v>
                </c:pt>
                <c:pt idx="8">
                  <c:v>3.0369999999999999</c:v>
                </c:pt>
                <c:pt idx="9">
                  <c:v>2.9929999999999999</c:v>
                </c:pt>
              </c:numCache>
            </c:numRef>
          </c:yVal>
          <c:smooth val="1"/>
          <c:extLst>
            <c:ext xmlns:c16="http://schemas.microsoft.com/office/drawing/2014/chart" uri="{C3380CC4-5D6E-409C-BE32-E72D297353CC}">
              <c16:uniqueId val="{00000002-6D68-4912-8D5D-210649F39BA3}"/>
            </c:ext>
          </c:extLst>
        </c:ser>
        <c:dLbls>
          <c:showLegendKey val="0"/>
          <c:showVal val="0"/>
          <c:showCatName val="0"/>
          <c:showSerName val="0"/>
          <c:showPercent val="0"/>
          <c:showBubbleSize val="0"/>
        </c:dLbls>
        <c:axId val="48650112"/>
        <c:axId val="48672768"/>
      </c:scatterChart>
      <c:valAx>
        <c:axId val="48650112"/>
        <c:scaling>
          <c:orientation val="minMax"/>
        </c:scaling>
        <c:delete val="0"/>
        <c:axPos val="b"/>
        <c:majorGridlines>
          <c:spPr>
            <a:ln w="9525">
              <a:solidFill>
                <a:schemeClr val="tx1">
                  <a:lumMod val="15000"/>
                  <a:lumOff val="85000"/>
                </a:schemeClr>
              </a:solidFill>
              <a:prstDash val="solid"/>
            </a:ln>
          </c:spPr>
        </c:majorGridlines>
        <c:numFmt formatCode="General" sourceLinked="1"/>
        <c:majorTickMark val="none"/>
        <c:minorTickMark val="none"/>
        <c:tickLblPos val="nextTo"/>
        <c:spPr>
          <a:ln w="9525">
            <a:solidFill>
              <a:schemeClr val="tx1">
                <a:lumMod val="25000"/>
                <a:lumOff val="75000"/>
              </a:schemeClr>
            </a:solidFill>
            <a:prstDash val="solid"/>
          </a:ln>
        </c:spPr>
        <c:txPr>
          <a:bodyPr rot="-60000000" vert="horz" anchor="ctr" anchorCtr="1"/>
          <a:lstStyle/>
          <a:p>
            <a:pPr>
              <a:defRPr sz="900" b="0" i="0">
                <a:solidFill>
                  <a:schemeClr val="tx1">
                    <a:lumMod val="65000"/>
                    <a:lumOff val="35000"/>
                  </a:schemeClr>
                </a:solidFill>
                <a:latin typeface="+mn-lt"/>
                <a:ea typeface="+mn-lt"/>
                <a:cs typeface="+mn-lt"/>
              </a:defRPr>
            </a:pPr>
            <a:endParaRPr lang="en-US"/>
          </a:p>
        </c:txPr>
        <c:crossAx val="48672768"/>
        <c:crosses val="autoZero"/>
        <c:crossBetween val="midCat"/>
      </c:valAx>
      <c:valAx>
        <c:axId val="48672768"/>
        <c:scaling>
          <c:orientation val="minMax"/>
        </c:scaling>
        <c:delete val="0"/>
        <c:axPos val="l"/>
        <c:majorGridlines>
          <c:spPr>
            <a:ln w="9525">
              <a:solidFill>
                <a:schemeClr val="tx1">
                  <a:lumMod val="15000"/>
                  <a:lumOff val="85000"/>
                </a:schemeClr>
              </a:solidFill>
              <a:prstDash val="solid"/>
            </a:ln>
          </c:spPr>
        </c:majorGridlines>
        <c:numFmt formatCode="General" sourceLinked="1"/>
        <c:majorTickMark val="none"/>
        <c:minorTickMark val="none"/>
        <c:tickLblPos val="nextTo"/>
        <c:spPr>
          <a:ln w="9525">
            <a:solidFill>
              <a:schemeClr val="tx1">
                <a:lumMod val="25000"/>
                <a:lumOff val="75000"/>
              </a:schemeClr>
            </a:solidFill>
            <a:prstDash val="solid"/>
          </a:ln>
        </c:spPr>
        <c:txPr>
          <a:bodyPr rot="-60000000" vert="horz" anchor="ctr" anchorCtr="1"/>
          <a:lstStyle/>
          <a:p>
            <a:pPr>
              <a:defRPr sz="900" b="0" i="0">
                <a:solidFill>
                  <a:schemeClr val="tx1">
                    <a:lumMod val="65000"/>
                    <a:lumOff val="35000"/>
                  </a:schemeClr>
                </a:solidFill>
                <a:latin typeface="+mn-lt"/>
                <a:ea typeface="+mn-lt"/>
                <a:cs typeface="+mn-lt"/>
              </a:defRPr>
            </a:pPr>
            <a:endParaRPr lang="en-US"/>
          </a:p>
        </c:txPr>
        <c:crossAx val="48650112"/>
        <c:crosses val="autoZero"/>
        <c:crossBetween val="midCat"/>
      </c:valAx>
    </c:plotArea>
    <c:legend>
      <c:legendPos val="b"/>
      <c:overlay val="0"/>
      <c:spPr>
        <a:noFill/>
        <a:ln>
          <a:prstDash val="solid"/>
        </a:ln>
      </c:spPr>
      <c:txPr>
        <a:bodyPr rot="0" vert="horz" anchor="ctr" anchorCtr="1"/>
        <a:lstStyle/>
        <a:p>
          <a:pPr>
            <a:defRPr sz="900" b="0" i="0">
              <a:solidFill>
                <a:schemeClr val="tx1">
                  <a:lumMod val="65000"/>
                  <a:lumOff val="35000"/>
                </a:schemeClr>
              </a:solidFill>
              <a:latin typeface="+mn-lt"/>
              <a:ea typeface="+mn-lt"/>
              <a:cs typeface="+mn-lt"/>
            </a:defRPr>
          </a:pPr>
          <a:endParaRPr lang="en-US"/>
        </a:p>
      </c:txPr>
    </c:legend>
    <c:plotVisOnly val="1"/>
    <c:dispBlanksAs val="gap"/>
    <c:showDLblsOverMax val="1"/>
  </c:chart>
  <c:spPr>
    <a:solidFill>
      <a:schemeClr val="bg1"/>
    </a:solidFill>
    <a:ln w="9525">
      <a:solidFill>
        <a:schemeClr val="tx1">
          <a:lumMod val="15000"/>
          <a:lumOff val="85000"/>
        </a:schemeClr>
      </a:solidFill>
      <a:prstDash val="solid"/>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r>
              <a:rPr sz="1400" b="0" i="0">
                <a:solidFill>
                  <a:schemeClr val="tx1">
                    <a:lumMod val="65000"/>
                    <a:lumOff val="35000"/>
                  </a:schemeClr>
                </a:solidFill>
                <a:latin typeface="+mn-lt"/>
                <a:ea typeface="+mn-lt"/>
                <a:cs typeface="+mn-lt"/>
              </a:rPr>
              <a:t>Highway Geometry Factor for Cyclic Longitudinal Stress</a:t>
            </a:r>
          </a:p>
        </c:rich>
      </c:tx>
      <c:overlay val="0"/>
    </c:title>
    <c:autoTitleDeleted val="0"/>
    <c:plotArea>
      <c:layout/>
      <c:scatterChart>
        <c:scatterStyle val="lineMarker"/>
        <c:varyColors val="0"/>
        <c:ser>
          <c:idx val="0"/>
          <c:order val="0"/>
          <c:tx>
            <c:strRef>
              <c:f>Tables!$B$258:$B$259</c:f>
              <c:strCache>
                <c:ptCount val="2"/>
                <c:pt idx="0">
                  <c:v>H = 3' to 4'</c:v>
                </c:pt>
                <c:pt idx="1">
                  <c:v>Y (GLh)</c:v>
                </c:pt>
              </c:strCache>
            </c:strRef>
          </c:tx>
          <c:spPr>
            <a:ln w="19050">
              <a:solidFill>
                <a:schemeClr val="accent1"/>
              </a:solidFill>
              <a:prstDash val="solid"/>
            </a:ln>
          </c:spPr>
          <c:marker>
            <c:symbol val="circle"/>
            <c:size val="5"/>
            <c:spPr>
              <a:ln>
                <a:prstDash val="solid"/>
              </a:ln>
            </c:spPr>
          </c:marker>
          <c:xVal>
            <c:numRef>
              <c:f>Tables!$A$261:$A$273</c:f>
              <c:numCache>
                <c:formatCode>General</c:formatCode>
                <c:ptCount val="13"/>
                <c:pt idx="0">
                  <c:v>2.2970000000000002</c:v>
                </c:pt>
                <c:pt idx="1">
                  <c:v>2.7530000000000001</c:v>
                </c:pt>
                <c:pt idx="2">
                  <c:v>3.4079999999999999</c:v>
                </c:pt>
                <c:pt idx="3">
                  <c:v>4</c:v>
                </c:pt>
                <c:pt idx="4">
                  <c:v>4.9320000000000004</c:v>
                </c:pt>
                <c:pt idx="5">
                  <c:v>6</c:v>
                </c:pt>
                <c:pt idx="6">
                  <c:v>8</c:v>
                </c:pt>
                <c:pt idx="7">
                  <c:v>10</c:v>
                </c:pt>
                <c:pt idx="8">
                  <c:v>12</c:v>
                </c:pt>
                <c:pt idx="9">
                  <c:v>14</c:v>
                </c:pt>
                <c:pt idx="10">
                  <c:v>16</c:v>
                </c:pt>
                <c:pt idx="11">
                  <c:v>28</c:v>
                </c:pt>
                <c:pt idx="12">
                  <c:v>42</c:v>
                </c:pt>
              </c:numCache>
            </c:numRef>
          </c:xVal>
          <c:yVal>
            <c:numRef>
              <c:f>Tables!$B$261:$B$273</c:f>
              <c:numCache>
                <c:formatCode>General</c:formatCode>
                <c:ptCount val="13"/>
                <c:pt idx="0">
                  <c:v>2.5920000000000001</c:v>
                </c:pt>
                <c:pt idx="1">
                  <c:v>2.25</c:v>
                </c:pt>
                <c:pt idx="2">
                  <c:v>2.032</c:v>
                </c:pt>
                <c:pt idx="3">
                  <c:v>1.901</c:v>
                </c:pt>
                <c:pt idx="4">
                  <c:v>1.724</c:v>
                </c:pt>
                <c:pt idx="5">
                  <c:v>1.5640000000000001</c:v>
                </c:pt>
                <c:pt idx="6">
                  <c:v>1.3480000000000001</c:v>
                </c:pt>
                <c:pt idx="7">
                  <c:v>1.234</c:v>
                </c:pt>
                <c:pt idx="8">
                  <c:v>1.169</c:v>
                </c:pt>
                <c:pt idx="9">
                  <c:v>1.1299999999999999</c:v>
                </c:pt>
                <c:pt idx="10">
                  <c:v>1.1000000000000001</c:v>
                </c:pt>
                <c:pt idx="11">
                  <c:v>0.97099999999999997</c:v>
                </c:pt>
                <c:pt idx="12">
                  <c:v>0.77500000000000002</c:v>
                </c:pt>
              </c:numCache>
            </c:numRef>
          </c:yVal>
          <c:smooth val="1"/>
          <c:extLst>
            <c:ext xmlns:c16="http://schemas.microsoft.com/office/drawing/2014/chart" uri="{C3380CC4-5D6E-409C-BE32-E72D297353CC}">
              <c16:uniqueId val="{00000000-0A87-4871-9792-00BAD1C6F685}"/>
            </c:ext>
          </c:extLst>
        </c:ser>
        <c:ser>
          <c:idx val="1"/>
          <c:order val="1"/>
          <c:tx>
            <c:strRef>
              <c:f>Tables!$D$258:$D$259</c:f>
              <c:strCache>
                <c:ptCount val="2"/>
                <c:pt idx="0">
                  <c:v>H = 6'</c:v>
                </c:pt>
                <c:pt idx="1">
                  <c:v>Y (GLh)</c:v>
                </c:pt>
              </c:strCache>
            </c:strRef>
          </c:tx>
          <c:spPr>
            <a:ln w="19050">
              <a:solidFill>
                <a:schemeClr val="accent2"/>
              </a:solidFill>
              <a:prstDash val="solid"/>
            </a:ln>
          </c:spPr>
          <c:marker>
            <c:symbol val="circle"/>
            <c:size val="5"/>
            <c:spPr>
              <a:ln>
                <a:prstDash val="solid"/>
              </a:ln>
            </c:spPr>
          </c:marker>
          <c:xVal>
            <c:numRef>
              <c:f>Tables!$C$261:$C$273</c:f>
              <c:numCache>
                <c:formatCode>General</c:formatCode>
                <c:ptCount val="13"/>
                <c:pt idx="0">
                  <c:v>2.2970000000000002</c:v>
                </c:pt>
                <c:pt idx="1">
                  <c:v>2.7530000000000001</c:v>
                </c:pt>
                <c:pt idx="2">
                  <c:v>3.4079999999999999</c:v>
                </c:pt>
                <c:pt idx="3">
                  <c:v>4</c:v>
                </c:pt>
                <c:pt idx="4">
                  <c:v>4.9320000000000004</c:v>
                </c:pt>
                <c:pt idx="5">
                  <c:v>6</c:v>
                </c:pt>
                <c:pt idx="6">
                  <c:v>8</c:v>
                </c:pt>
                <c:pt idx="7">
                  <c:v>10</c:v>
                </c:pt>
                <c:pt idx="8">
                  <c:v>12</c:v>
                </c:pt>
                <c:pt idx="9">
                  <c:v>14</c:v>
                </c:pt>
                <c:pt idx="10">
                  <c:v>16</c:v>
                </c:pt>
                <c:pt idx="11">
                  <c:v>28</c:v>
                </c:pt>
                <c:pt idx="12">
                  <c:v>42</c:v>
                </c:pt>
              </c:numCache>
            </c:numRef>
          </c:xVal>
          <c:yVal>
            <c:numRef>
              <c:f>Tables!$D$261:$D$273</c:f>
              <c:numCache>
                <c:formatCode>General</c:formatCode>
                <c:ptCount val="13"/>
                <c:pt idx="0">
                  <c:v>2.5920000000000001</c:v>
                </c:pt>
                <c:pt idx="1">
                  <c:v>2.1749999999999998</c:v>
                </c:pt>
                <c:pt idx="2">
                  <c:v>1.9339999999999999</c:v>
                </c:pt>
                <c:pt idx="3">
                  <c:v>1.796</c:v>
                </c:pt>
                <c:pt idx="4">
                  <c:v>1.613</c:v>
                </c:pt>
                <c:pt idx="5">
                  <c:v>1.448</c:v>
                </c:pt>
                <c:pt idx="6">
                  <c:v>1.244</c:v>
                </c:pt>
                <c:pt idx="7">
                  <c:v>1.115</c:v>
                </c:pt>
                <c:pt idx="8">
                  <c:v>1.022</c:v>
                </c:pt>
                <c:pt idx="9">
                  <c:v>0.97</c:v>
                </c:pt>
                <c:pt idx="10">
                  <c:v>0.95199999999999996</c:v>
                </c:pt>
                <c:pt idx="11">
                  <c:v>0.83099999999999996</c:v>
                </c:pt>
                <c:pt idx="12">
                  <c:v>0.63200000000000001</c:v>
                </c:pt>
              </c:numCache>
            </c:numRef>
          </c:yVal>
          <c:smooth val="1"/>
          <c:extLst>
            <c:ext xmlns:c16="http://schemas.microsoft.com/office/drawing/2014/chart" uri="{C3380CC4-5D6E-409C-BE32-E72D297353CC}">
              <c16:uniqueId val="{00000001-0A87-4871-9792-00BAD1C6F685}"/>
            </c:ext>
          </c:extLst>
        </c:ser>
        <c:ser>
          <c:idx val="2"/>
          <c:order val="2"/>
          <c:tx>
            <c:strRef>
              <c:f>Tables!$F$258:$F$259</c:f>
              <c:strCache>
                <c:ptCount val="2"/>
                <c:pt idx="0">
                  <c:v>H = 8'</c:v>
                </c:pt>
                <c:pt idx="1">
                  <c:v>Y (GLh)</c:v>
                </c:pt>
              </c:strCache>
            </c:strRef>
          </c:tx>
          <c:spPr>
            <a:ln w="19050">
              <a:solidFill>
                <a:schemeClr val="accent3"/>
              </a:solidFill>
              <a:prstDash val="solid"/>
            </a:ln>
          </c:spPr>
          <c:marker>
            <c:symbol val="circle"/>
            <c:size val="5"/>
            <c:spPr>
              <a:ln>
                <a:prstDash val="solid"/>
              </a:ln>
            </c:spPr>
          </c:marker>
          <c:xVal>
            <c:numRef>
              <c:f>Tables!$E$261:$E$273</c:f>
              <c:numCache>
                <c:formatCode>General</c:formatCode>
                <c:ptCount val="13"/>
                <c:pt idx="0">
                  <c:v>2.2970000000000002</c:v>
                </c:pt>
                <c:pt idx="1">
                  <c:v>2.7530000000000001</c:v>
                </c:pt>
                <c:pt idx="2">
                  <c:v>3.4079999999999999</c:v>
                </c:pt>
                <c:pt idx="3">
                  <c:v>4</c:v>
                </c:pt>
                <c:pt idx="4">
                  <c:v>4.9320000000000004</c:v>
                </c:pt>
                <c:pt idx="5">
                  <c:v>6</c:v>
                </c:pt>
                <c:pt idx="6">
                  <c:v>8</c:v>
                </c:pt>
                <c:pt idx="7">
                  <c:v>10</c:v>
                </c:pt>
                <c:pt idx="8">
                  <c:v>12</c:v>
                </c:pt>
                <c:pt idx="9">
                  <c:v>14</c:v>
                </c:pt>
                <c:pt idx="10">
                  <c:v>16</c:v>
                </c:pt>
                <c:pt idx="11">
                  <c:v>28</c:v>
                </c:pt>
                <c:pt idx="12">
                  <c:v>42</c:v>
                </c:pt>
              </c:numCache>
            </c:numRef>
          </c:xVal>
          <c:yVal>
            <c:numRef>
              <c:f>Tables!$F$261:$F$273</c:f>
              <c:numCache>
                <c:formatCode>General</c:formatCode>
                <c:ptCount val="13"/>
                <c:pt idx="0">
                  <c:v>2.5920000000000001</c:v>
                </c:pt>
                <c:pt idx="1">
                  <c:v>2.1749999999999998</c:v>
                </c:pt>
                <c:pt idx="2">
                  <c:v>1.907</c:v>
                </c:pt>
                <c:pt idx="3">
                  <c:v>1.7450000000000001</c:v>
                </c:pt>
                <c:pt idx="4">
                  <c:v>1.542</c:v>
                </c:pt>
                <c:pt idx="5">
                  <c:v>1.373</c:v>
                </c:pt>
                <c:pt idx="6">
                  <c:v>1.157</c:v>
                </c:pt>
                <c:pt idx="7">
                  <c:v>1.016</c:v>
                </c:pt>
                <c:pt idx="8">
                  <c:v>0.91800000000000004</c:v>
                </c:pt>
                <c:pt idx="9">
                  <c:v>0.86</c:v>
                </c:pt>
                <c:pt idx="10">
                  <c:v>0.84099999999999997</c:v>
                </c:pt>
                <c:pt idx="11">
                  <c:v>0.71299999999999997</c:v>
                </c:pt>
                <c:pt idx="12">
                  <c:v>0.54500000000000004</c:v>
                </c:pt>
              </c:numCache>
            </c:numRef>
          </c:yVal>
          <c:smooth val="1"/>
          <c:extLst>
            <c:ext xmlns:c16="http://schemas.microsoft.com/office/drawing/2014/chart" uri="{C3380CC4-5D6E-409C-BE32-E72D297353CC}">
              <c16:uniqueId val="{00000002-0A87-4871-9792-00BAD1C6F685}"/>
            </c:ext>
          </c:extLst>
        </c:ser>
        <c:ser>
          <c:idx val="3"/>
          <c:order val="3"/>
          <c:tx>
            <c:strRef>
              <c:f>Tables!$H$258:$H$259</c:f>
              <c:strCache>
                <c:ptCount val="2"/>
                <c:pt idx="0">
                  <c:v>H = 10'</c:v>
                </c:pt>
                <c:pt idx="1">
                  <c:v>Y (GLh)</c:v>
                </c:pt>
              </c:strCache>
            </c:strRef>
          </c:tx>
          <c:spPr>
            <a:ln w="19050">
              <a:solidFill>
                <a:schemeClr val="accent4"/>
              </a:solidFill>
              <a:prstDash val="solid"/>
            </a:ln>
          </c:spPr>
          <c:marker>
            <c:symbol val="circle"/>
            <c:size val="5"/>
            <c:spPr>
              <a:ln>
                <a:prstDash val="solid"/>
              </a:ln>
            </c:spPr>
          </c:marker>
          <c:xVal>
            <c:numRef>
              <c:f>Tables!$G$261:$G$273</c:f>
              <c:numCache>
                <c:formatCode>General</c:formatCode>
                <c:ptCount val="13"/>
                <c:pt idx="0">
                  <c:v>2.2970000000000002</c:v>
                </c:pt>
                <c:pt idx="1">
                  <c:v>2.7530000000000001</c:v>
                </c:pt>
                <c:pt idx="2">
                  <c:v>3.4079999999999999</c:v>
                </c:pt>
                <c:pt idx="3">
                  <c:v>4</c:v>
                </c:pt>
                <c:pt idx="4">
                  <c:v>4.9320000000000004</c:v>
                </c:pt>
                <c:pt idx="5">
                  <c:v>6</c:v>
                </c:pt>
                <c:pt idx="6">
                  <c:v>8</c:v>
                </c:pt>
                <c:pt idx="7">
                  <c:v>10</c:v>
                </c:pt>
                <c:pt idx="8">
                  <c:v>12</c:v>
                </c:pt>
                <c:pt idx="9">
                  <c:v>14</c:v>
                </c:pt>
                <c:pt idx="10">
                  <c:v>16</c:v>
                </c:pt>
                <c:pt idx="11">
                  <c:v>28</c:v>
                </c:pt>
                <c:pt idx="12">
                  <c:v>42</c:v>
                </c:pt>
              </c:numCache>
            </c:numRef>
          </c:xVal>
          <c:yVal>
            <c:numRef>
              <c:f>Tables!$H$261:$H$273</c:f>
              <c:numCache>
                <c:formatCode>General</c:formatCode>
                <c:ptCount val="13"/>
                <c:pt idx="0">
                  <c:v>2.5920000000000001</c:v>
                </c:pt>
                <c:pt idx="1">
                  <c:v>2.0739999999999998</c:v>
                </c:pt>
                <c:pt idx="2">
                  <c:v>1.7849999999999999</c:v>
                </c:pt>
                <c:pt idx="3">
                  <c:v>1.623</c:v>
                </c:pt>
                <c:pt idx="4">
                  <c:v>1.4370000000000001</c:v>
                </c:pt>
                <c:pt idx="5">
                  <c:v>1.2749999999999999</c:v>
                </c:pt>
                <c:pt idx="6">
                  <c:v>1.0640000000000001</c:v>
                </c:pt>
                <c:pt idx="7">
                  <c:v>0.91900000000000004</c:v>
                </c:pt>
                <c:pt idx="8">
                  <c:v>0.82</c:v>
                </c:pt>
                <c:pt idx="9">
                  <c:v>0.76300000000000001</c:v>
                </c:pt>
                <c:pt idx="10">
                  <c:v>0.73599999999999999</c:v>
                </c:pt>
                <c:pt idx="11">
                  <c:v>0.6</c:v>
                </c:pt>
                <c:pt idx="12">
                  <c:v>0.45700000000000002</c:v>
                </c:pt>
              </c:numCache>
            </c:numRef>
          </c:yVal>
          <c:smooth val="1"/>
          <c:extLst>
            <c:ext xmlns:c16="http://schemas.microsoft.com/office/drawing/2014/chart" uri="{C3380CC4-5D6E-409C-BE32-E72D297353CC}">
              <c16:uniqueId val="{00000003-0A87-4871-9792-00BAD1C6F685}"/>
            </c:ext>
          </c:extLst>
        </c:ser>
        <c:dLbls>
          <c:showLegendKey val="0"/>
          <c:showVal val="0"/>
          <c:showCatName val="0"/>
          <c:showSerName val="0"/>
          <c:showPercent val="0"/>
          <c:showBubbleSize val="0"/>
        </c:dLbls>
        <c:axId val="48650112"/>
        <c:axId val="48672768"/>
      </c:scatterChart>
      <c:valAx>
        <c:axId val="48650112"/>
        <c:scaling>
          <c:orientation val="minMax"/>
        </c:scaling>
        <c:delete val="0"/>
        <c:axPos val="b"/>
        <c:majorGridlines>
          <c:spPr>
            <a:ln w="9525">
              <a:solidFill>
                <a:schemeClr val="tx1">
                  <a:lumMod val="15000"/>
                  <a:lumOff val="85000"/>
                </a:schemeClr>
              </a:solidFill>
              <a:prstDash val="solid"/>
            </a:ln>
          </c:spPr>
        </c:majorGridlines>
        <c:numFmt formatCode="General" sourceLinked="1"/>
        <c:majorTickMark val="none"/>
        <c:minorTickMark val="none"/>
        <c:tickLblPos val="nextTo"/>
        <c:spPr>
          <a:ln w="9525">
            <a:solidFill>
              <a:schemeClr val="tx1">
                <a:lumMod val="25000"/>
                <a:lumOff val="75000"/>
              </a:schemeClr>
            </a:solidFill>
            <a:prstDash val="solid"/>
          </a:ln>
        </c:spPr>
        <c:txPr>
          <a:bodyPr rot="-60000000" vert="horz" anchor="ctr" anchorCtr="1"/>
          <a:lstStyle/>
          <a:p>
            <a:pPr>
              <a:defRPr sz="900" b="0" i="0">
                <a:solidFill>
                  <a:schemeClr val="tx1">
                    <a:lumMod val="65000"/>
                    <a:lumOff val="35000"/>
                  </a:schemeClr>
                </a:solidFill>
                <a:latin typeface="+mn-lt"/>
                <a:ea typeface="+mn-lt"/>
                <a:cs typeface="+mn-lt"/>
              </a:defRPr>
            </a:pPr>
            <a:endParaRPr lang="en-US"/>
          </a:p>
        </c:txPr>
        <c:crossAx val="48672768"/>
        <c:crosses val="autoZero"/>
        <c:crossBetween val="midCat"/>
      </c:valAx>
      <c:valAx>
        <c:axId val="48672768"/>
        <c:scaling>
          <c:orientation val="minMax"/>
        </c:scaling>
        <c:delete val="0"/>
        <c:axPos val="l"/>
        <c:majorGridlines>
          <c:spPr>
            <a:ln w="9525">
              <a:solidFill>
                <a:schemeClr val="tx1">
                  <a:lumMod val="15000"/>
                  <a:lumOff val="85000"/>
                </a:schemeClr>
              </a:solidFill>
              <a:prstDash val="solid"/>
            </a:ln>
          </c:spPr>
        </c:majorGridlines>
        <c:numFmt formatCode="General" sourceLinked="1"/>
        <c:majorTickMark val="none"/>
        <c:minorTickMark val="none"/>
        <c:tickLblPos val="nextTo"/>
        <c:spPr>
          <a:ln w="9525">
            <a:solidFill>
              <a:schemeClr val="tx1">
                <a:lumMod val="25000"/>
                <a:lumOff val="75000"/>
              </a:schemeClr>
            </a:solidFill>
            <a:prstDash val="solid"/>
          </a:ln>
        </c:spPr>
        <c:txPr>
          <a:bodyPr rot="-60000000" vert="horz" anchor="ctr" anchorCtr="1"/>
          <a:lstStyle/>
          <a:p>
            <a:pPr>
              <a:defRPr sz="900" b="0" i="0">
                <a:solidFill>
                  <a:schemeClr val="tx1">
                    <a:lumMod val="65000"/>
                    <a:lumOff val="35000"/>
                  </a:schemeClr>
                </a:solidFill>
                <a:latin typeface="+mn-lt"/>
                <a:ea typeface="+mn-lt"/>
                <a:cs typeface="+mn-lt"/>
              </a:defRPr>
            </a:pPr>
            <a:endParaRPr lang="en-US"/>
          </a:p>
        </c:txPr>
        <c:crossAx val="48650112"/>
        <c:crosses val="autoZero"/>
        <c:crossBetween val="midCat"/>
      </c:valAx>
    </c:plotArea>
    <c:legend>
      <c:legendPos val="b"/>
      <c:overlay val="0"/>
      <c:spPr>
        <a:noFill/>
        <a:ln>
          <a:prstDash val="solid"/>
        </a:ln>
      </c:spPr>
      <c:txPr>
        <a:bodyPr rot="0" vert="horz" anchor="ctr" anchorCtr="1"/>
        <a:lstStyle/>
        <a:p>
          <a:pPr>
            <a:defRPr sz="900" b="0" i="0">
              <a:solidFill>
                <a:schemeClr val="tx1">
                  <a:lumMod val="65000"/>
                  <a:lumOff val="35000"/>
                </a:schemeClr>
              </a:solidFill>
              <a:latin typeface="+mn-lt"/>
              <a:ea typeface="+mn-lt"/>
              <a:cs typeface="+mn-lt"/>
            </a:defRPr>
          </a:pPr>
          <a:endParaRPr lang="en-US"/>
        </a:p>
      </c:txPr>
    </c:legend>
    <c:plotVisOnly val="1"/>
    <c:dispBlanksAs val="gap"/>
    <c:showDLblsOverMax val="1"/>
  </c:chart>
  <c:spPr>
    <a:solidFill>
      <a:schemeClr val="bg1"/>
    </a:solidFill>
    <a:ln w="9525">
      <a:solidFill>
        <a:schemeClr val="tx1">
          <a:lumMod val="15000"/>
          <a:lumOff val="85000"/>
        </a:schemeClr>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8" Type="http://schemas.openxmlformats.org/officeDocument/2006/relationships/image" Target="../media/image10.png"/><Relationship Id="rId13" Type="http://schemas.openxmlformats.org/officeDocument/2006/relationships/image" Target="../media/image15.png"/><Relationship Id="rId18" Type="http://schemas.openxmlformats.org/officeDocument/2006/relationships/image" Target="../media/image20.png"/><Relationship Id="rId3" Type="http://schemas.openxmlformats.org/officeDocument/2006/relationships/image" Target="../media/image5.png"/><Relationship Id="rId7" Type="http://schemas.openxmlformats.org/officeDocument/2006/relationships/image" Target="../media/image9.png"/><Relationship Id="rId12" Type="http://schemas.openxmlformats.org/officeDocument/2006/relationships/image" Target="../media/image14.png"/><Relationship Id="rId17" Type="http://schemas.openxmlformats.org/officeDocument/2006/relationships/image" Target="../media/image19.png"/><Relationship Id="rId2" Type="http://schemas.openxmlformats.org/officeDocument/2006/relationships/image" Target="../media/image4.png"/><Relationship Id="rId16" Type="http://schemas.openxmlformats.org/officeDocument/2006/relationships/image" Target="../media/image18.png"/><Relationship Id="rId1" Type="http://schemas.openxmlformats.org/officeDocument/2006/relationships/image" Target="../media/image3.png"/><Relationship Id="rId6" Type="http://schemas.openxmlformats.org/officeDocument/2006/relationships/image" Target="../media/image8.png"/><Relationship Id="rId11" Type="http://schemas.openxmlformats.org/officeDocument/2006/relationships/image" Target="../media/image13.png"/><Relationship Id="rId5" Type="http://schemas.openxmlformats.org/officeDocument/2006/relationships/image" Target="../media/image7.png"/><Relationship Id="rId15" Type="http://schemas.openxmlformats.org/officeDocument/2006/relationships/image" Target="../media/image17.png"/><Relationship Id="rId10" Type="http://schemas.openxmlformats.org/officeDocument/2006/relationships/image" Target="../media/image12.png"/><Relationship Id="rId4" Type="http://schemas.openxmlformats.org/officeDocument/2006/relationships/image" Target="../media/image6.png"/><Relationship Id="rId9" Type="http://schemas.openxmlformats.org/officeDocument/2006/relationships/image" Target="../media/image11.png"/><Relationship Id="rId14" Type="http://schemas.openxmlformats.org/officeDocument/2006/relationships/image" Target="../media/image16.png"/></Relationships>
</file>

<file path=xl/drawings/_rels/drawing4.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5.xml.rels><?xml version="1.0" encoding="UTF-8" standalone="yes"?>
<Relationships xmlns="http://schemas.openxmlformats.org/package/2006/relationships"><Relationship Id="rId8" Type="http://schemas.openxmlformats.org/officeDocument/2006/relationships/image" Target="../media/image28.png"/><Relationship Id="rId13" Type="http://schemas.openxmlformats.org/officeDocument/2006/relationships/image" Target="../media/image33.png"/><Relationship Id="rId18" Type="http://schemas.openxmlformats.org/officeDocument/2006/relationships/image" Target="../media/image38.png"/><Relationship Id="rId3" Type="http://schemas.openxmlformats.org/officeDocument/2006/relationships/image" Target="../media/image23.png"/><Relationship Id="rId7" Type="http://schemas.openxmlformats.org/officeDocument/2006/relationships/image" Target="../media/image27.png"/><Relationship Id="rId12" Type="http://schemas.openxmlformats.org/officeDocument/2006/relationships/image" Target="../media/image32.png"/><Relationship Id="rId17" Type="http://schemas.openxmlformats.org/officeDocument/2006/relationships/image" Target="../media/image37.png"/><Relationship Id="rId2" Type="http://schemas.openxmlformats.org/officeDocument/2006/relationships/image" Target="../media/image22.png"/><Relationship Id="rId16" Type="http://schemas.openxmlformats.org/officeDocument/2006/relationships/image" Target="../media/image36.png"/><Relationship Id="rId1" Type="http://schemas.openxmlformats.org/officeDocument/2006/relationships/image" Target="../media/image21.png"/><Relationship Id="rId6" Type="http://schemas.openxmlformats.org/officeDocument/2006/relationships/image" Target="../media/image26.png"/><Relationship Id="rId11" Type="http://schemas.openxmlformats.org/officeDocument/2006/relationships/image" Target="../media/image31.png"/><Relationship Id="rId5" Type="http://schemas.openxmlformats.org/officeDocument/2006/relationships/image" Target="../media/image25.png"/><Relationship Id="rId15" Type="http://schemas.openxmlformats.org/officeDocument/2006/relationships/image" Target="../media/image35.png"/><Relationship Id="rId10" Type="http://schemas.openxmlformats.org/officeDocument/2006/relationships/image" Target="../media/image30.png"/><Relationship Id="rId4" Type="http://schemas.openxmlformats.org/officeDocument/2006/relationships/image" Target="../media/image24.png"/><Relationship Id="rId9" Type="http://schemas.openxmlformats.org/officeDocument/2006/relationships/image" Target="../media/image29.png"/><Relationship Id="rId14" Type="http://schemas.openxmlformats.org/officeDocument/2006/relationships/image" Target="../media/image34.png"/></Relationships>
</file>

<file path=xl/drawings/drawing1.xml><?xml version="1.0" encoding="utf-8"?>
<xdr:wsDr xmlns:xdr="http://schemas.openxmlformats.org/drawingml/2006/spreadsheetDrawing" xmlns:a="http://schemas.openxmlformats.org/drawingml/2006/main">
  <xdr:twoCellAnchor editAs="oneCell">
    <xdr:from>
      <xdr:col>1</xdr:col>
      <xdr:colOff>7620</xdr:colOff>
      <xdr:row>2</xdr:row>
      <xdr:rowOff>22860</xdr:rowOff>
    </xdr:from>
    <xdr:to>
      <xdr:col>2</xdr:col>
      <xdr:colOff>173355</xdr:colOff>
      <xdr:row>4</xdr:row>
      <xdr:rowOff>149153</xdr:rowOff>
    </xdr:to>
    <xdr:pic>
      <xdr:nvPicPr>
        <xdr:cNvPr id="2" name="/xl/media/image11.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prstGeom prst="rect">
          <a:avLst/>
        </a:prstGeom>
        <a:ln>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12</xdr:col>
      <xdr:colOff>456228</xdr:colOff>
      <xdr:row>69</xdr:row>
      <xdr:rowOff>181280</xdr:rowOff>
    </xdr:to>
    <xdr:pic>
      <xdr:nvPicPr>
        <xdr:cNvPr id="2" name="/xl/media/image12.png">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prstGeom prst="rect">
          <a:avLst/>
        </a:prstGeom>
        <a:ln>
          <a:prstDash val="soli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11</xdr:col>
      <xdr:colOff>8468</xdr:colOff>
      <xdr:row>38</xdr:row>
      <xdr:rowOff>8467</xdr:rowOff>
    </xdr:from>
    <xdr:to>
      <xdr:col>21</xdr:col>
      <xdr:colOff>252858</xdr:colOff>
      <xdr:row>60</xdr:row>
      <xdr:rowOff>153784</xdr:rowOff>
    </xdr:to>
    <xdr:pic>
      <xdr:nvPicPr>
        <xdr:cNvPr id="3" name="/xl/media/image13.png">
          <a:extLst>
            <a:ext uri="{FF2B5EF4-FFF2-40B4-BE49-F238E27FC236}">
              <a16:creationId xmlns:a16="http://schemas.microsoft.com/office/drawing/2014/main" id="{00000000-0008-0000-0600-000003000000}"/>
            </a:ext>
          </a:extLst>
        </xdr:cNvPr>
        <xdr:cNvPicPr>
          <a:picLocks noChangeAspect="1"/>
        </xdr:cNvPicPr>
      </xdr:nvPicPr>
      <xdr:blipFill>
        <a:blip xmlns:r="http://schemas.openxmlformats.org/officeDocument/2006/relationships" r:embed="rId1"/>
        <a:stretch>
          <a:fillRect/>
        </a:stretch>
      </xdr:blipFill>
      <xdr:spPr>
        <a:prstGeom prst="rect">
          <a:avLst/>
        </a:prstGeom>
        <a:ln>
          <a:prstDash val="solid"/>
        </a:ln>
      </xdr:spPr>
    </xdr:pic>
    <xdr:clientData/>
  </xdr:twoCellAnchor>
  <xdr:twoCellAnchor editAs="oneCell">
    <xdr:from>
      <xdr:col>6</xdr:col>
      <xdr:colOff>42333</xdr:colOff>
      <xdr:row>30</xdr:row>
      <xdr:rowOff>8466</xdr:rowOff>
    </xdr:from>
    <xdr:to>
      <xdr:col>8</xdr:col>
      <xdr:colOff>180056</xdr:colOff>
      <xdr:row>31</xdr:row>
      <xdr:rowOff>27533</xdr:rowOff>
    </xdr:to>
    <xdr:pic>
      <xdr:nvPicPr>
        <xdr:cNvPr id="4" name="/xl/media/image14.png">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2"/>
        <a:stretch>
          <a:fillRect/>
        </a:stretch>
      </xdr:blipFill>
      <xdr:spPr>
        <a:prstGeom prst="rect">
          <a:avLst/>
        </a:prstGeom>
        <a:ln>
          <a:prstDash val="solid"/>
        </a:ln>
      </xdr:spPr>
    </xdr:pic>
    <xdr:clientData/>
  </xdr:twoCellAnchor>
  <xdr:twoCellAnchor editAs="oneCell">
    <xdr:from>
      <xdr:col>6</xdr:col>
      <xdr:colOff>42334</xdr:colOff>
      <xdr:row>31</xdr:row>
      <xdr:rowOff>0</xdr:rowOff>
    </xdr:from>
    <xdr:to>
      <xdr:col>7</xdr:col>
      <xdr:colOff>671091</xdr:colOff>
      <xdr:row>31</xdr:row>
      <xdr:rowOff>171465</xdr:rowOff>
    </xdr:to>
    <xdr:pic>
      <xdr:nvPicPr>
        <xdr:cNvPr id="5" name="/xl/media/image15.png">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3"/>
        <a:stretch>
          <a:fillRect/>
        </a:stretch>
      </xdr:blipFill>
      <xdr:spPr>
        <a:prstGeom prst="rect">
          <a:avLst/>
        </a:prstGeom>
        <a:ln>
          <a:prstDash val="solid"/>
        </a:ln>
      </xdr:spPr>
    </xdr:pic>
    <xdr:clientData/>
  </xdr:twoCellAnchor>
  <xdr:twoCellAnchor editAs="oneCell">
    <xdr:from>
      <xdr:col>6</xdr:col>
      <xdr:colOff>0</xdr:colOff>
      <xdr:row>36</xdr:row>
      <xdr:rowOff>0</xdr:rowOff>
    </xdr:from>
    <xdr:to>
      <xdr:col>7</xdr:col>
      <xdr:colOff>663050</xdr:colOff>
      <xdr:row>37</xdr:row>
      <xdr:rowOff>15256</xdr:rowOff>
    </xdr:to>
    <xdr:pic>
      <xdr:nvPicPr>
        <xdr:cNvPr id="6" name="/xl/media/image16.png">
          <a:extLst>
            <a:ext uri="{FF2B5EF4-FFF2-40B4-BE49-F238E27FC236}">
              <a16:creationId xmlns:a16="http://schemas.microsoft.com/office/drawing/2014/main" id="{00000000-0008-0000-0600-000006000000}"/>
            </a:ext>
          </a:extLst>
        </xdr:cNvPr>
        <xdr:cNvPicPr>
          <a:picLocks noChangeAspect="1"/>
        </xdr:cNvPicPr>
      </xdr:nvPicPr>
      <xdr:blipFill>
        <a:blip xmlns:r="http://schemas.openxmlformats.org/officeDocument/2006/relationships" r:embed="rId4"/>
        <a:stretch>
          <a:fillRect/>
        </a:stretch>
      </xdr:blipFill>
      <xdr:spPr>
        <a:prstGeom prst="rect">
          <a:avLst/>
        </a:prstGeom>
        <a:ln>
          <a:prstDash val="solid"/>
        </a:ln>
      </xdr:spPr>
    </xdr:pic>
    <xdr:clientData/>
  </xdr:twoCellAnchor>
  <xdr:twoCellAnchor editAs="oneCell">
    <xdr:from>
      <xdr:col>6</xdr:col>
      <xdr:colOff>0</xdr:colOff>
      <xdr:row>49</xdr:row>
      <xdr:rowOff>0</xdr:rowOff>
    </xdr:from>
    <xdr:to>
      <xdr:col>7</xdr:col>
      <xdr:colOff>666860</xdr:colOff>
      <xdr:row>49</xdr:row>
      <xdr:rowOff>171465</xdr:rowOff>
    </xdr:to>
    <xdr:pic>
      <xdr:nvPicPr>
        <xdr:cNvPr id="7" name="/xl/media/image17.png">
          <a:extLst>
            <a:ext uri="{FF2B5EF4-FFF2-40B4-BE49-F238E27FC236}">
              <a16:creationId xmlns:a16="http://schemas.microsoft.com/office/drawing/2014/main" id="{00000000-0008-0000-0600-000007000000}"/>
            </a:ext>
          </a:extLst>
        </xdr:cNvPr>
        <xdr:cNvPicPr>
          <a:picLocks noChangeAspect="1"/>
        </xdr:cNvPicPr>
      </xdr:nvPicPr>
      <xdr:blipFill>
        <a:blip xmlns:r="http://schemas.openxmlformats.org/officeDocument/2006/relationships" r:embed="rId5"/>
        <a:stretch>
          <a:fillRect/>
        </a:stretch>
      </xdr:blipFill>
      <xdr:spPr>
        <a:prstGeom prst="rect">
          <a:avLst/>
        </a:prstGeom>
        <a:ln>
          <a:prstDash val="solid"/>
        </a:ln>
      </xdr:spPr>
    </xdr:pic>
    <xdr:clientData/>
  </xdr:twoCellAnchor>
  <xdr:twoCellAnchor editAs="oneCell">
    <xdr:from>
      <xdr:col>6</xdr:col>
      <xdr:colOff>0</xdr:colOff>
      <xdr:row>50</xdr:row>
      <xdr:rowOff>0</xdr:rowOff>
    </xdr:from>
    <xdr:to>
      <xdr:col>7</xdr:col>
      <xdr:colOff>724016</xdr:colOff>
      <xdr:row>50</xdr:row>
      <xdr:rowOff>171465</xdr:rowOff>
    </xdr:to>
    <xdr:pic>
      <xdr:nvPicPr>
        <xdr:cNvPr id="8" name="/xl/media/image18.png">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6"/>
        <a:stretch>
          <a:fillRect/>
        </a:stretch>
      </xdr:blipFill>
      <xdr:spPr>
        <a:prstGeom prst="rect">
          <a:avLst/>
        </a:prstGeom>
        <a:ln>
          <a:prstDash val="solid"/>
        </a:ln>
      </xdr:spPr>
    </xdr:pic>
    <xdr:clientData/>
  </xdr:twoCellAnchor>
  <xdr:twoCellAnchor editAs="oneCell">
    <xdr:from>
      <xdr:col>6</xdr:col>
      <xdr:colOff>0</xdr:colOff>
      <xdr:row>51</xdr:row>
      <xdr:rowOff>0</xdr:rowOff>
    </xdr:from>
    <xdr:to>
      <xdr:col>9</xdr:col>
      <xdr:colOff>89121</xdr:colOff>
      <xdr:row>52</xdr:row>
      <xdr:rowOff>15</xdr:rowOff>
    </xdr:to>
    <xdr:pic>
      <xdr:nvPicPr>
        <xdr:cNvPr id="9" name="/xl/media/image19.png">
          <a:extLst>
            <a:ext uri="{FF2B5EF4-FFF2-40B4-BE49-F238E27FC236}">
              <a16:creationId xmlns:a16="http://schemas.microsoft.com/office/drawing/2014/main" id="{00000000-0008-0000-0600-000009000000}"/>
            </a:ext>
          </a:extLst>
        </xdr:cNvPr>
        <xdr:cNvPicPr>
          <a:picLocks noChangeAspect="1"/>
        </xdr:cNvPicPr>
      </xdr:nvPicPr>
      <xdr:blipFill>
        <a:blip xmlns:r="http://schemas.openxmlformats.org/officeDocument/2006/relationships" r:embed="rId7"/>
        <a:stretch>
          <a:fillRect/>
        </a:stretch>
      </xdr:blipFill>
      <xdr:spPr>
        <a:prstGeom prst="rect">
          <a:avLst/>
        </a:prstGeom>
        <a:ln>
          <a:prstDash val="solid"/>
        </a:ln>
      </xdr:spPr>
    </xdr:pic>
    <xdr:clientData/>
  </xdr:twoCellAnchor>
  <xdr:twoCellAnchor editAs="oneCell">
    <xdr:from>
      <xdr:col>6</xdr:col>
      <xdr:colOff>0</xdr:colOff>
      <xdr:row>52</xdr:row>
      <xdr:rowOff>0</xdr:rowOff>
    </xdr:from>
    <xdr:to>
      <xdr:col>8</xdr:col>
      <xdr:colOff>410162</xdr:colOff>
      <xdr:row>52</xdr:row>
      <xdr:rowOff>171465</xdr:rowOff>
    </xdr:to>
    <xdr:pic>
      <xdr:nvPicPr>
        <xdr:cNvPr id="10" name="/xl/media/image20.png">
          <a:extLst>
            <a:ext uri="{FF2B5EF4-FFF2-40B4-BE49-F238E27FC236}">
              <a16:creationId xmlns:a16="http://schemas.microsoft.com/office/drawing/2014/main" id="{00000000-0008-0000-0600-00000A000000}"/>
            </a:ext>
          </a:extLst>
        </xdr:cNvPr>
        <xdr:cNvPicPr>
          <a:picLocks noChangeAspect="1"/>
        </xdr:cNvPicPr>
      </xdr:nvPicPr>
      <xdr:blipFill>
        <a:blip xmlns:r="http://schemas.openxmlformats.org/officeDocument/2006/relationships" r:embed="rId8"/>
        <a:stretch>
          <a:fillRect/>
        </a:stretch>
      </xdr:blipFill>
      <xdr:spPr>
        <a:prstGeom prst="rect">
          <a:avLst/>
        </a:prstGeom>
        <a:ln>
          <a:prstDash val="solid"/>
        </a:ln>
      </xdr:spPr>
    </xdr:pic>
    <xdr:clientData/>
  </xdr:twoCellAnchor>
  <xdr:twoCellAnchor editAs="oneCell">
    <xdr:from>
      <xdr:col>6</xdr:col>
      <xdr:colOff>0</xdr:colOff>
      <xdr:row>53</xdr:row>
      <xdr:rowOff>0</xdr:rowOff>
    </xdr:from>
    <xdr:to>
      <xdr:col>9</xdr:col>
      <xdr:colOff>409188</xdr:colOff>
      <xdr:row>55</xdr:row>
      <xdr:rowOff>91478</xdr:rowOff>
    </xdr:to>
    <xdr:pic>
      <xdr:nvPicPr>
        <xdr:cNvPr id="11" name="/xl/media/image21.png">
          <a:extLst>
            <a:ext uri="{FF2B5EF4-FFF2-40B4-BE49-F238E27FC236}">
              <a16:creationId xmlns:a16="http://schemas.microsoft.com/office/drawing/2014/main" id="{00000000-0008-0000-0600-00000B000000}"/>
            </a:ext>
          </a:extLst>
        </xdr:cNvPr>
        <xdr:cNvPicPr>
          <a:picLocks noChangeAspect="1"/>
        </xdr:cNvPicPr>
      </xdr:nvPicPr>
      <xdr:blipFill>
        <a:blip xmlns:r="http://schemas.openxmlformats.org/officeDocument/2006/relationships" r:embed="rId9"/>
        <a:stretch>
          <a:fillRect/>
        </a:stretch>
      </xdr:blipFill>
      <xdr:spPr>
        <a:prstGeom prst="rect">
          <a:avLst/>
        </a:prstGeom>
        <a:ln>
          <a:prstDash val="solid"/>
        </a:ln>
      </xdr:spPr>
    </xdr:pic>
    <xdr:clientData/>
  </xdr:twoCellAnchor>
  <xdr:twoCellAnchor editAs="oneCell">
    <xdr:from>
      <xdr:col>6</xdr:col>
      <xdr:colOff>0</xdr:colOff>
      <xdr:row>56</xdr:row>
      <xdr:rowOff>0</xdr:rowOff>
    </xdr:from>
    <xdr:to>
      <xdr:col>7</xdr:col>
      <xdr:colOff>438241</xdr:colOff>
      <xdr:row>56</xdr:row>
      <xdr:rowOff>152413</xdr:rowOff>
    </xdr:to>
    <xdr:pic>
      <xdr:nvPicPr>
        <xdr:cNvPr id="12" name="/xl/media/image22.png">
          <a:extLst>
            <a:ext uri="{FF2B5EF4-FFF2-40B4-BE49-F238E27FC236}">
              <a16:creationId xmlns:a16="http://schemas.microsoft.com/office/drawing/2014/main" id="{00000000-0008-0000-0600-00000C000000}"/>
            </a:ext>
          </a:extLst>
        </xdr:cNvPr>
        <xdr:cNvPicPr>
          <a:picLocks noChangeAspect="1"/>
        </xdr:cNvPicPr>
      </xdr:nvPicPr>
      <xdr:blipFill>
        <a:blip xmlns:r="http://schemas.openxmlformats.org/officeDocument/2006/relationships" r:embed="rId10"/>
        <a:stretch>
          <a:fillRect/>
        </a:stretch>
      </xdr:blipFill>
      <xdr:spPr>
        <a:prstGeom prst="rect">
          <a:avLst/>
        </a:prstGeom>
        <a:ln>
          <a:prstDash val="solid"/>
        </a:ln>
      </xdr:spPr>
    </xdr:pic>
    <xdr:clientData/>
  </xdr:twoCellAnchor>
  <xdr:twoCellAnchor editAs="oneCell">
    <xdr:from>
      <xdr:col>6</xdr:col>
      <xdr:colOff>1</xdr:colOff>
      <xdr:row>61</xdr:row>
      <xdr:rowOff>1</xdr:rowOff>
    </xdr:from>
    <xdr:to>
      <xdr:col>6</xdr:col>
      <xdr:colOff>552451</xdr:colOff>
      <xdr:row>62</xdr:row>
      <xdr:rowOff>11823</xdr:rowOff>
    </xdr:to>
    <xdr:pic>
      <xdr:nvPicPr>
        <xdr:cNvPr id="13" name="/xl/media/image23.png">
          <a:extLst>
            <a:ext uri="{FF2B5EF4-FFF2-40B4-BE49-F238E27FC236}">
              <a16:creationId xmlns:a16="http://schemas.microsoft.com/office/drawing/2014/main" id="{00000000-0008-0000-0600-00000D000000}"/>
            </a:ext>
          </a:extLst>
        </xdr:cNvPr>
        <xdr:cNvPicPr>
          <a:picLocks noChangeAspect="1"/>
        </xdr:cNvPicPr>
      </xdr:nvPicPr>
      <xdr:blipFill>
        <a:blip xmlns:r="http://schemas.openxmlformats.org/officeDocument/2006/relationships" r:embed="rId11"/>
        <a:stretch>
          <a:fillRect/>
        </a:stretch>
      </xdr:blipFill>
      <xdr:spPr>
        <a:prstGeom prst="rect">
          <a:avLst/>
        </a:prstGeom>
        <a:ln>
          <a:prstDash val="solid"/>
        </a:ln>
      </xdr:spPr>
    </xdr:pic>
    <xdr:clientData/>
  </xdr:twoCellAnchor>
  <xdr:twoCellAnchor editAs="oneCell">
    <xdr:from>
      <xdr:col>6</xdr:col>
      <xdr:colOff>0</xdr:colOff>
      <xdr:row>60</xdr:row>
      <xdr:rowOff>0</xdr:rowOff>
    </xdr:from>
    <xdr:to>
      <xdr:col>6</xdr:col>
      <xdr:colOff>586740</xdr:colOff>
      <xdr:row>61</xdr:row>
      <xdr:rowOff>19050</xdr:rowOff>
    </xdr:to>
    <xdr:pic>
      <xdr:nvPicPr>
        <xdr:cNvPr id="14" name="/xl/media/image24.png">
          <a:extLst>
            <a:ext uri="{FF2B5EF4-FFF2-40B4-BE49-F238E27FC236}">
              <a16:creationId xmlns:a16="http://schemas.microsoft.com/office/drawing/2014/main" id="{00000000-0008-0000-0600-00000E000000}"/>
            </a:ext>
          </a:extLst>
        </xdr:cNvPr>
        <xdr:cNvPicPr>
          <a:picLocks noChangeAspect="1"/>
        </xdr:cNvPicPr>
      </xdr:nvPicPr>
      <xdr:blipFill>
        <a:blip xmlns:r="http://schemas.openxmlformats.org/officeDocument/2006/relationships" r:embed="rId12"/>
        <a:stretch>
          <a:fillRect/>
        </a:stretch>
      </xdr:blipFill>
      <xdr:spPr>
        <a:prstGeom prst="rect">
          <a:avLst/>
        </a:prstGeom>
        <a:ln>
          <a:prstDash val="solid"/>
        </a:ln>
      </xdr:spPr>
    </xdr:pic>
    <xdr:clientData/>
  </xdr:twoCellAnchor>
  <xdr:twoCellAnchor editAs="oneCell">
    <xdr:from>
      <xdr:col>6</xdr:col>
      <xdr:colOff>0</xdr:colOff>
      <xdr:row>60</xdr:row>
      <xdr:rowOff>0</xdr:rowOff>
    </xdr:from>
    <xdr:to>
      <xdr:col>6</xdr:col>
      <xdr:colOff>586740</xdr:colOff>
      <xdr:row>61</xdr:row>
      <xdr:rowOff>19050</xdr:rowOff>
    </xdr:to>
    <xdr:pic>
      <xdr:nvPicPr>
        <xdr:cNvPr id="15" name="/xl/media/image24.png">
          <a:extLst>
            <a:ext uri="{FF2B5EF4-FFF2-40B4-BE49-F238E27FC236}">
              <a16:creationId xmlns:a16="http://schemas.microsoft.com/office/drawing/2014/main" id="{00000000-0008-0000-0600-00000F000000}"/>
            </a:ext>
          </a:extLst>
        </xdr:cNvPr>
        <xdr:cNvPicPr>
          <a:picLocks noChangeAspect="1"/>
        </xdr:cNvPicPr>
      </xdr:nvPicPr>
      <xdr:blipFill>
        <a:blip xmlns:r="http://schemas.openxmlformats.org/officeDocument/2006/relationships" r:embed="rId12"/>
        <a:stretch>
          <a:fillRect/>
        </a:stretch>
      </xdr:blipFill>
      <xdr:spPr>
        <a:prstGeom prst="rect">
          <a:avLst/>
        </a:prstGeom>
        <a:ln>
          <a:prstDash val="solid"/>
        </a:ln>
      </xdr:spPr>
    </xdr:pic>
    <xdr:clientData/>
  </xdr:twoCellAnchor>
  <xdr:twoCellAnchor editAs="oneCell">
    <xdr:from>
      <xdr:col>3</xdr:col>
      <xdr:colOff>42333</xdr:colOff>
      <xdr:row>72</xdr:row>
      <xdr:rowOff>16934</xdr:rowOff>
    </xdr:from>
    <xdr:to>
      <xdr:col>3</xdr:col>
      <xdr:colOff>1284391</xdr:colOff>
      <xdr:row>73</xdr:row>
      <xdr:rowOff>2117</xdr:rowOff>
    </xdr:to>
    <xdr:pic>
      <xdr:nvPicPr>
        <xdr:cNvPr id="16" name="/xl/media/image25.png">
          <a:extLst>
            <a:ext uri="{FF2B5EF4-FFF2-40B4-BE49-F238E27FC236}">
              <a16:creationId xmlns:a16="http://schemas.microsoft.com/office/drawing/2014/main" id="{00000000-0008-0000-0600-000010000000}"/>
            </a:ext>
          </a:extLst>
        </xdr:cNvPr>
        <xdr:cNvPicPr>
          <a:picLocks noChangeAspect="1"/>
        </xdr:cNvPicPr>
      </xdr:nvPicPr>
      <xdr:blipFill>
        <a:blip xmlns:r="http://schemas.openxmlformats.org/officeDocument/2006/relationships" r:embed="rId13"/>
        <a:stretch>
          <a:fillRect/>
        </a:stretch>
      </xdr:blipFill>
      <xdr:spPr>
        <a:prstGeom prst="rect">
          <a:avLst/>
        </a:prstGeom>
        <a:ln>
          <a:prstDash val="solid"/>
        </a:ln>
      </xdr:spPr>
    </xdr:pic>
    <xdr:clientData/>
  </xdr:twoCellAnchor>
  <xdr:twoCellAnchor editAs="oneCell">
    <xdr:from>
      <xdr:col>3</xdr:col>
      <xdr:colOff>42334</xdr:colOff>
      <xdr:row>71</xdr:row>
      <xdr:rowOff>16935</xdr:rowOff>
    </xdr:from>
    <xdr:to>
      <xdr:col>3</xdr:col>
      <xdr:colOff>3225860</xdr:colOff>
      <xdr:row>72</xdr:row>
      <xdr:rowOff>4921</xdr:rowOff>
    </xdr:to>
    <xdr:pic>
      <xdr:nvPicPr>
        <xdr:cNvPr id="17" name="/xl/media/image26.png">
          <a:extLst>
            <a:ext uri="{FF2B5EF4-FFF2-40B4-BE49-F238E27FC236}">
              <a16:creationId xmlns:a16="http://schemas.microsoft.com/office/drawing/2014/main" id="{00000000-0008-0000-0600-000011000000}"/>
            </a:ext>
          </a:extLst>
        </xdr:cNvPr>
        <xdr:cNvPicPr>
          <a:picLocks noChangeAspect="1"/>
        </xdr:cNvPicPr>
      </xdr:nvPicPr>
      <xdr:blipFill>
        <a:blip xmlns:r="http://schemas.openxmlformats.org/officeDocument/2006/relationships" r:embed="rId14"/>
        <a:stretch>
          <a:fillRect/>
        </a:stretch>
      </xdr:blipFill>
      <xdr:spPr>
        <a:prstGeom prst="rect">
          <a:avLst/>
        </a:prstGeom>
        <a:ln>
          <a:prstDash val="solid"/>
        </a:ln>
      </xdr:spPr>
    </xdr:pic>
    <xdr:clientData/>
  </xdr:twoCellAnchor>
  <xdr:twoCellAnchor editAs="oneCell">
    <xdr:from>
      <xdr:col>3</xdr:col>
      <xdr:colOff>49953</xdr:colOff>
      <xdr:row>73</xdr:row>
      <xdr:rowOff>16934</xdr:rowOff>
    </xdr:from>
    <xdr:to>
      <xdr:col>3</xdr:col>
      <xdr:colOff>1170093</xdr:colOff>
      <xdr:row>74</xdr:row>
      <xdr:rowOff>32796</xdr:rowOff>
    </xdr:to>
    <xdr:pic>
      <xdr:nvPicPr>
        <xdr:cNvPr id="18" name="/xl/media/image27.png">
          <a:extLst>
            <a:ext uri="{FF2B5EF4-FFF2-40B4-BE49-F238E27FC236}">
              <a16:creationId xmlns:a16="http://schemas.microsoft.com/office/drawing/2014/main" id="{00000000-0008-0000-0600-000012000000}"/>
            </a:ext>
          </a:extLst>
        </xdr:cNvPr>
        <xdr:cNvPicPr>
          <a:picLocks noChangeAspect="1"/>
        </xdr:cNvPicPr>
      </xdr:nvPicPr>
      <xdr:blipFill>
        <a:blip xmlns:r="http://schemas.openxmlformats.org/officeDocument/2006/relationships" r:embed="rId15"/>
        <a:stretch>
          <a:fillRect/>
        </a:stretch>
      </xdr:blipFill>
      <xdr:spPr>
        <a:prstGeom prst="rect">
          <a:avLst/>
        </a:prstGeom>
        <a:ln>
          <a:prstDash val="solid"/>
        </a:ln>
      </xdr:spPr>
    </xdr:pic>
    <xdr:clientData/>
  </xdr:twoCellAnchor>
  <xdr:twoCellAnchor editAs="oneCell">
    <xdr:from>
      <xdr:col>3</xdr:col>
      <xdr:colOff>49953</xdr:colOff>
      <xdr:row>74</xdr:row>
      <xdr:rowOff>16935</xdr:rowOff>
    </xdr:from>
    <xdr:to>
      <xdr:col>3</xdr:col>
      <xdr:colOff>1131993</xdr:colOff>
      <xdr:row>75</xdr:row>
      <xdr:rowOff>5273</xdr:rowOff>
    </xdr:to>
    <xdr:pic>
      <xdr:nvPicPr>
        <xdr:cNvPr id="19" name="/xl/media/image28.png">
          <a:extLst>
            <a:ext uri="{FF2B5EF4-FFF2-40B4-BE49-F238E27FC236}">
              <a16:creationId xmlns:a16="http://schemas.microsoft.com/office/drawing/2014/main" id="{00000000-0008-0000-0600-000013000000}"/>
            </a:ext>
          </a:extLst>
        </xdr:cNvPr>
        <xdr:cNvPicPr>
          <a:picLocks noChangeAspect="1"/>
        </xdr:cNvPicPr>
      </xdr:nvPicPr>
      <xdr:blipFill>
        <a:blip xmlns:r="http://schemas.openxmlformats.org/officeDocument/2006/relationships" r:embed="rId16"/>
        <a:stretch>
          <a:fillRect/>
        </a:stretch>
      </xdr:blipFill>
      <xdr:spPr>
        <a:prstGeom prst="rect">
          <a:avLst/>
        </a:prstGeom>
        <a:ln>
          <a:prstDash val="solid"/>
        </a:ln>
      </xdr:spPr>
    </xdr:pic>
    <xdr:clientData/>
  </xdr:twoCellAnchor>
  <xdr:twoCellAnchor editAs="oneCell">
    <xdr:from>
      <xdr:col>6</xdr:col>
      <xdr:colOff>15240</xdr:colOff>
      <xdr:row>43</xdr:row>
      <xdr:rowOff>167640</xdr:rowOff>
    </xdr:from>
    <xdr:to>
      <xdr:col>8</xdr:col>
      <xdr:colOff>305223</xdr:colOff>
      <xdr:row>45</xdr:row>
      <xdr:rowOff>5983</xdr:rowOff>
    </xdr:to>
    <xdr:pic>
      <xdr:nvPicPr>
        <xdr:cNvPr id="20" name="/xl/media/image29.png">
          <a:extLst>
            <a:ext uri="{FF2B5EF4-FFF2-40B4-BE49-F238E27FC236}">
              <a16:creationId xmlns:a16="http://schemas.microsoft.com/office/drawing/2014/main" id="{00000000-0008-0000-0600-000014000000}"/>
            </a:ext>
          </a:extLst>
        </xdr:cNvPr>
        <xdr:cNvPicPr>
          <a:picLocks noChangeAspect="1"/>
        </xdr:cNvPicPr>
      </xdr:nvPicPr>
      <xdr:blipFill>
        <a:blip xmlns:r="http://schemas.openxmlformats.org/officeDocument/2006/relationships" r:embed="rId17"/>
        <a:stretch>
          <a:fillRect/>
        </a:stretch>
      </xdr:blipFill>
      <xdr:spPr>
        <a:prstGeom prst="rect">
          <a:avLst/>
        </a:prstGeom>
        <a:ln>
          <a:prstDash val="solid"/>
        </a:ln>
      </xdr:spPr>
    </xdr:pic>
    <xdr:clientData/>
  </xdr:twoCellAnchor>
  <xdr:twoCellAnchor editAs="oneCell">
    <xdr:from>
      <xdr:col>6</xdr:col>
      <xdr:colOff>7622</xdr:colOff>
      <xdr:row>47</xdr:row>
      <xdr:rowOff>15241</xdr:rowOff>
    </xdr:from>
    <xdr:to>
      <xdr:col>8</xdr:col>
      <xdr:colOff>147109</xdr:colOff>
      <xdr:row>48</xdr:row>
      <xdr:rowOff>30986</xdr:rowOff>
    </xdr:to>
    <xdr:pic>
      <xdr:nvPicPr>
        <xdr:cNvPr id="21" name="/xl/media/image30.png">
          <a:extLst>
            <a:ext uri="{FF2B5EF4-FFF2-40B4-BE49-F238E27FC236}">
              <a16:creationId xmlns:a16="http://schemas.microsoft.com/office/drawing/2014/main" id="{00000000-0008-0000-0600-000015000000}"/>
            </a:ext>
          </a:extLst>
        </xdr:cNvPr>
        <xdr:cNvPicPr>
          <a:picLocks noChangeAspect="1"/>
        </xdr:cNvPicPr>
      </xdr:nvPicPr>
      <xdr:blipFill>
        <a:blip xmlns:r="http://schemas.openxmlformats.org/officeDocument/2006/relationships" r:embed="rId18"/>
        <a:stretch>
          <a:fillRect/>
        </a:stretch>
      </xdr:blipFill>
      <xdr:spPr>
        <a:prstGeom prst="rect">
          <a:avLst/>
        </a:prstGeom>
        <a:ln>
          <a:prstDash val="solid"/>
        </a:ln>
      </xdr:spPr>
    </xdr:pic>
    <xdr:clientData/>
  </xdr:twoCellAnchor>
</xdr:wsDr>
</file>

<file path=xl/drawings/drawing4.xml><?xml version="1.0" encoding="utf-8"?>
<xdr:wsDr xmlns:xdr="http://schemas.openxmlformats.org/drawingml/2006/spreadsheetDrawing" xmlns:a="http://schemas.openxmlformats.org/drawingml/2006/main">
  <xdr:twoCellAnchor>
    <xdr:from>
      <xdr:col>8</xdr:col>
      <xdr:colOff>248817</xdr:colOff>
      <xdr:row>17</xdr:row>
      <xdr:rowOff>160175</xdr:rowOff>
    </xdr:from>
    <xdr:to>
      <xdr:col>15</xdr:col>
      <xdr:colOff>575388</xdr:colOff>
      <xdr:row>32</xdr:row>
      <xdr:rowOff>104192</xdr:rowOff>
    </xdr:to>
    <xdr:graphicFrame macro="">
      <xdr:nvGraphicFramePr>
        <xdr:cNvPr id="2" name="Chart 1">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716796</xdr:colOff>
      <xdr:row>51</xdr:row>
      <xdr:rowOff>55536</xdr:rowOff>
    </xdr:from>
    <xdr:to>
      <xdr:col>6</xdr:col>
      <xdr:colOff>2163305</xdr:colOff>
      <xdr:row>66</xdr:row>
      <xdr:rowOff>86533</xdr:rowOff>
    </xdr:to>
    <xdr:graphicFrame macro="">
      <xdr:nvGraphicFramePr>
        <xdr:cNvPr id="3" name="Chart 2">
          <a:extLst>
            <a:ext uri="{FF2B5EF4-FFF2-40B4-BE49-F238E27FC236}">
              <a16:creationId xmlns:a16="http://schemas.microsoft.com/office/drawing/2014/main" id="{00000000-0008-0000-07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523068</xdr:colOff>
      <xdr:row>76</xdr:row>
      <xdr:rowOff>145943</xdr:rowOff>
    </xdr:from>
    <xdr:to>
      <xdr:col>3</xdr:col>
      <xdr:colOff>2151062</xdr:colOff>
      <xdr:row>86</xdr:row>
      <xdr:rowOff>47625</xdr:rowOff>
    </xdr:to>
    <xdr:graphicFrame macro="">
      <xdr:nvGraphicFramePr>
        <xdr:cNvPr id="4" name="Chart 3">
          <a:extLst>
            <a:ext uri="{FF2B5EF4-FFF2-40B4-BE49-F238E27FC236}">
              <a16:creationId xmlns:a16="http://schemas.microsoft.com/office/drawing/2014/main" id="{00000000-0008-0000-07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301624</xdr:colOff>
      <xdr:row>87</xdr:row>
      <xdr:rowOff>13493</xdr:rowOff>
    </xdr:from>
    <xdr:to>
      <xdr:col>3</xdr:col>
      <xdr:colOff>2222500</xdr:colOff>
      <xdr:row>94</xdr:row>
      <xdr:rowOff>79374</xdr:rowOff>
    </xdr:to>
    <xdr:graphicFrame macro="">
      <xdr:nvGraphicFramePr>
        <xdr:cNvPr id="5" name="Chart 4">
          <a:extLst>
            <a:ext uri="{FF2B5EF4-FFF2-40B4-BE49-F238E27FC236}">
              <a16:creationId xmlns:a16="http://schemas.microsoft.com/office/drawing/2014/main" id="{00000000-0008-0000-07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350520</xdr:colOff>
      <xdr:row>98</xdr:row>
      <xdr:rowOff>99060</xdr:rowOff>
    </xdr:from>
    <xdr:to>
      <xdr:col>6</xdr:col>
      <xdr:colOff>4922520</xdr:colOff>
      <xdr:row>113</xdr:row>
      <xdr:rowOff>99060</xdr:rowOff>
    </xdr:to>
    <xdr:graphicFrame macro="">
      <xdr:nvGraphicFramePr>
        <xdr:cNvPr id="6" name="Chart 5">
          <a:extLst>
            <a:ext uri="{FF2B5EF4-FFF2-40B4-BE49-F238E27FC236}">
              <a16:creationId xmlns:a16="http://schemas.microsoft.com/office/drawing/2014/main" id="{00000000-0008-0000-07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428625</xdr:colOff>
      <xdr:row>121</xdr:row>
      <xdr:rowOff>160338</xdr:rowOff>
    </xdr:from>
    <xdr:to>
      <xdr:col>16</xdr:col>
      <xdr:colOff>174625</xdr:colOff>
      <xdr:row>136</xdr:row>
      <xdr:rowOff>38418</xdr:rowOff>
    </xdr:to>
    <xdr:graphicFrame macro="">
      <xdr:nvGraphicFramePr>
        <xdr:cNvPr id="7" name="Chart 6">
          <a:extLst>
            <a:ext uri="{FF2B5EF4-FFF2-40B4-BE49-F238E27FC236}">
              <a16:creationId xmlns:a16="http://schemas.microsoft.com/office/drawing/2014/main" id="{00000000-0008-0000-07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508000</xdr:colOff>
      <xdr:row>240</xdr:row>
      <xdr:rowOff>1588</xdr:rowOff>
    </xdr:from>
    <xdr:to>
      <xdr:col>6</xdr:col>
      <xdr:colOff>5080000</xdr:colOff>
      <xdr:row>254</xdr:row>
      <xdr:rowOff>77788</xdr:rowOff>
    </xdr:to>
    <xdr:graphicFrame macro="">
      <xdr:nvGraphicFramePr>
        <xdr:cNvPr id="8" name="Chart 7">
          <a:extLst>
            <a:ext uri="{FF2B5EF4-FFF2-40B4-BE49-F238E27FC236}">
              <a16:creationId xmlns:a16="http://schemas.microsoft.com/office/drawing/2014/main" id="{00000000-0008-0000-07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450273</xdr:colOff>
      <xdr:row>257</xdr:row>
      <xdr:rowOff>169718</xdr:rowOff>
    </xdr:from>
    <xdr:to>
      <xdr:col>16</xdr:col>
      <xdr:colOff>173182</xdr:colOff>
      <xdr:row>272</xdr:row>
      <xdr:rowOff>55418</xdr:rowOff>
    </xdr:to>
    <xdr:graphicFrame macro="">
      <xdr:nvGraphicFramePr>
        <xdr:cNvPr id="9" name="Chart 8">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76200</xdr:colOff>
      <xdr:row>57</xdr:row>
      <xdr:rowOff>152400</xdr:rowOff>
    </xdr:from>
    <xdr:to>
      <xdr:col>20</xdr:col>
      <xdr:colOff>511634</xdr:colOff>
      <xdr:row>91</xdr:row>
      <xdr:rowOff>46250</xdr:rowOff>
    </xdr:to>
    <xdr:pic>
      <xdr:nvPicPr>
        <xdr:cNvPr id="2" name="/xl/media/image31.png">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a:stretch>
          <a:fillRect/>
        </a:stretch>
      </xdr:blipFill>
      <xdr:spPr>
        <a:prstGeom prst="rect">
          <a:avLst/>
        </a:prstGeom>
        <a:ln>
          <a:prstDash val="solid"/>
        </a:ln>
      </xdr:spPr>
    </xdr:pic>
    <xdr:clientData/>
  </xdr:twoCellAnchor>
  <xdr:twoCellAnchor editAs="oneCell">
    <xdr:from>
      <xdr:col>0</xdr:col>
      <xdr:colOff>0</xdr:colOff>
      <xdr:row>5</xdr:row>
      <xdr:rowOff>0</xdr:rowOff>
    </xdr:from>
    <xdr:to>
      <xdr:col>16</xdr:col>
      <xdr:colOff>244706</xdr:colOff>
      <xdr:row>26</xdr:row>
      <xdr:rowOff>84160</xdr:rowOff>
    </xdr:to>
    <xdr:pic>
      <xdr:nvPicPr>
        <xdr:cNvPr id="3" name="/xl/media/image32.png">
          <a:extLst>
            <a:ext uri="{FF2B5EF4-FFF2-40B4-BE49-F238E27FC236}">
              <a16:creationId xmlns:a16="http://schemas.microsoft.com/office/drawing/2014/main" id="{00000000-0008-0000-0800-000003000000}"/>
            </a:ext>
          </a:extLst>
        </xdr:cNvPr>
        <xdr:cNvPicPr>
          <a:picLocks noChangeAspect="1"/>
        </xdr:cNvPicPr>
      </xdr:nvPicPr>
      <xdr:blipFill>
        <a:blip xmlns:r="http://schemas.openxmlformats.org/officeDocument/2006/relationships" r:embed="rId2"/>
        <a:stretch>
          <a:fillRect/>
        </a:stretch>
      </xdr:blipFill>
      <xdr:spPr>
        <a:prstGeom prst="rect">
          <a:avLst/>
        </a:prstGeom>
        <a:ln>
          <a:prstDash val="solid"/>
        </a:ln>
      </xdr:spPr>
    </xdr:pic>
    <xdr:clientData/>
  </xdr:twoCellAnchor>
  <xdr:twoCellAnchor editAs="oneCell">
    <xdr:from>
      <xdr:col>0</xdr:col>
      <xdr:colOff>0</xdr:colOff>
      <xdr:row>29</xdr:row>
      <xdr:rowOff>0</xdr:rowOff>
    </xdr:from>
    <xdr:to>
      <xdr:col>6</xdr:col>
      <xdr:colOff>419453</xdr:colOff>
      <xdr:row>54</xdr:row>
      <xdr:rowOff>91844</xdr:rowOff>
    </xdr:to>
    <xdr:pic>
      <xdr:nvPicPr>
        <xdr:cNvPr id="4" name="/xl/media/image33.png">
          <a:extLst>
            <a:ext uri="{FF2B5EF4-FFF2-40B4-BE49-F238E27FC236}">
              <a16:creationId xmlns:a16="http://schemas.microsoft.com/office/drawing/2014/main" id="{00000000-0008-0000-0800-000004000000}"/>
            </a:ext>
          </a:extLst>
        </xdr:cNvPr>
        <xdr:cNvPicPr>
          <a:picLocks noChangeAspect="1"/>
        </xdr:cNvPicPr>
      </xdr:nvPicPr>
      <xdr:blipFill>
        <a:blip xmlns:r="http://schemas.openxmlformats.org/officeDocument/2006/relationships" r:embed="rId3"/>
        <a:stretch>
          <a:fillRect/>
        </a:stretch>
      </xdr:blipFill>
      <xdr:spPr>
        <a:prstGeom prst="rect">
          <a:avLst/>
        </a:prstGeom>
        <a:ln>
          <a:prstDash val="solid"/>
        </a:ln>
      </xdr:spPr>
    </xdr:pic>
    <xdr:clientData/>
  </xdr:twoCellAnchor>
  <xdr:twoCellAnchor editAs="oneCell">
    <xdr:from>
      <xdr:col>0</xdr:col>
      <xdr:colOff>0</xdr:colOff>
      <xdr:row>93</xdr:row>
      <xdr:rowOff>121920</xdr:rowOff>
    </xdr:from>
    <xdr:to>
      <xdr:col>14</xdr:col>
      <xdr:colOff>541807</xdr:colOff>
      <xdr:row>109</xdr:row>
      <xdr:rowOff>243</xdr:rowOff>
    </xdr:to>
    <xdr:pic>
      <xdr:nvPicPr>
        <xdr:cNvPr id="5" name="/xl/media/image34.png">
          <a:extLst>
            <a:ext uri="{FF2B5EF4-FFF2-40B4-BE49-F238E27FC236}">
              <a16:creationId xmlns:a16="http://schemas.microsoft.com/office/drawing/2014/main" id="{00000000-0008-0000-0800-000005000000}"/>
            </a:ext>
          </a:extLst>
        </xdr:cNvPr>
        <xdr:cNvPicPr>
          <a:picLocks noChangeAspect="1"/>
        </xdr:cNvPicPr>
      </xdr:nvPicPr>
      <xdr:blipFill>
        <a:blip xmlns:r="http://schemas.openxmlformats.org/officeDocument/2006/relationships" r:embed="rId4"/>
        <a:stretch>
          <a:fillRect/>
        </a:stretch>
      </xdr:blipFill>
      <xdr:spPr>
        <a:prstGeom prst="rect">
          <a:avLst/>
        </a:prstGeom>
        <a:ln>
          <a:prstDash val="solid"/>
        </a:ln>
      </xdr:spPr>
    </xdr:pic>
    <xdr:clientData/>
  </xdr:twoCellAnchor>
  <xdr:twoCellAnchor editAs="oneCell">
    <xdr:from>
      <xdr:col>0</xdr:col>
      <xdr:colOff>0</xdr:colOff>
      <xdr:row>109</xdr:row>
      <xdr:rowOff>76200</xdr:rowOff>
    </xdr:from>
    <xdr:to>
      <xdr:col>15</xdr:col>
      <xdr:colOff>2324</xdr:colOff>
      <xdr:row>123</xdr:row>
      <xdr:rowOff>30480</xdr:rowOff>
    </xdr:to>
    <xdr:pic>
      <xdr:nvPicPr>
        <xdr:cNvPr id="6" name="/xl/media/image35.png">
          <a:extLst>
            <a:ext uri="{FF2B5EF4-FFF2-40B4-BE49-F238E27FC236}">
              <a16:creationId xmlns:a16="http://schemas.microsoft.com/office/drawing/2014/main" id="{00000000-0008-0000-0800-000006000000}"/>
            </a:ext>
          </a:extLst>
        </xdr:cNvPr>
        <xdr:cNvPicPr>
          <a:picLocks noChangeAspect="1"/>
        </xdr:cNvPicPr>
      </xdr:nvPicPr>
      <xdr:blipFill>
        <a:blip xmlns:r="http://schemas.openxmlformats.org/officeDocument/2006/relationships" r:embed="rId5"/>
        <a:stretch>
          <a:fillRect/>
        </a:stretch>
      </xdr:blipFill>
      <xdr:spPr>
        <a:prstGeom prst="rect">
          <a:avLst/>
        </a:prstGeom>
        <a:ln>
          <a:prstDash val="solid"/>
        </a:ln>
      </xdr:spPr>
    </xdr:pic>
    <xdr:clientData/>
  </xdr:twoCellAnchor>
  <xdr:twoCellAnchor editAs="oneCell">
    <xdr:from>
      <xdr:col>0</xdr:col>
      <xdr:colOff>0</xdr:colOff>
      <xdr:row>124</xdr:row>
      <xdr:rowOff>0</xdr:rowOff>
    </xdr:from>
    <xdr:to>
      <xdr:col>6</xdr:col>
      <xdr:colOff>526143</xdr:colOff>
      <xdr:row>156</xdr:row>
      <xdr:rowOff>91955</xdr:rowOff>
    </xdr:to>
    <xdr:pic>
      <xdr:nvPicPr>
        <xdr:cNvPr id="7" name="/xl/media/image36.png">
          <a:extLst>
            <a:ext uri="{FF2B5EF4-FFF2-40B4-BE49-F238E27FC236}">
              <a16:creationId xmlns:a16="http://schemas.microsoft.com/office/drawing/2014/main" id="{00000000-0008-0000-0800-000007000000}"/>
            </a:ext>
          </a:extLst>
        </xdr:cNvPr>
        <xdr:cNvPicPr>
          <a:picLocks noChangeAspect="1"/>
        </xdr:cNvPicPr>
      </xdr:nvPicPr>
      <xdr:blipFill>
        <a:blip xmlns:r="http://schemas.openxmlformats.org/officeDocument/2006/relationships" r:embed="rId6"/>
        <a:stretch>
          <a:fillRect/>
        </a:stretch>
      </xdr:blipFill>
      <xdr:spPr>
        <a:prstGeom prst="rect">
          <a:avLst/>
        </a:prstGeom>
        <a:ln>
          <a:prstDash val="solid"/>
        </a:ln>
      </xdr:spPr>
    </xdr:pic>
    <xdr:clientData/>
  </xdr:twoCellAnchor>
  <xdr:twoCellAnchor editAs="oneCell">
    <xdr:from>
      <xdr:col>0</xdr:col>
      <xdr:colOff>0</xdr:colOff>
      <xdr:row>159</xdr:row>
      <xdr:rowOff>0</xdr:rowOff>
    </xdr:from>
    <xdr:to>
      <xdr:col>6</xdr:col>
      <xdr:colOff>518522</xdr:colOff>
      <xdr:row>191</xdr:row>
      <xdr:rowOff>69093</xdr:rowOff>
    </xdr:to>
    <xdr:pic>
      <xdr:nvPicPr>
        <xdr:cNvPr id="8" name="/xl/media/image37.png">
          <a:extLst>
            <a:ext uri="{FF2B5EF4-FFF2-40B4-BE49-F238E27FC236}">
              <a16:creationId xmlns:a16="http://schemas.microsoft.com/office/drawing/2014/main" id="{00000000-0008-0000-0800-000008000000}"/>
            </a:ext>
          </a:extLst>
        </xdr:cNvPr>
        <xdr:cNvPicPr>
          <a:picLocks noChangeAspect="1"/>
        </xdr:cNvPicPr>
      </xdr:nvPicPr>
      <xdr:blipFill>
        <a:blip xmlns:r="http://schemas.openxmlformats.org/officeDocument/2006/relationships" r:embed="rId7"/>
        <a:stretch>
          <a:fillRect/>
        </a:stretch>
      </xdr:blipFill>
      <xdr:spPr>
        <a:prstGeom prst="rect">
          <a:avLst/>
        </a:prstGeom>
        <a:ln>
          <a:prstDash val="solid"/>
        </a:ln>
      </xdr:spPr>
    </xdr:pic>
    <xdr:clientData/>
  </xdr:twoCellAnchor>
  <xdr:twoCellAnchor editAs="oneCell">
    <xdr:from>
      <xdr:col>0</xdr:col>
      <xdr:colOff>0</xdr:colOff>
      <xdr:row>195</xdr:row>
      <xdr:rowOff>0</xdr:rowOff>
    </xdr:from>
    <xdr:to>
      <xdr:col>6</xdr:col>
      <xdr:colOff>518522</xdr:colOff>
      <xdr:row>227</xdr:row>
      <xdr:rowOff>15748</xdr:rowOff>
    </xdr:to>
    <xdr:pic>
      <xdr:nvPicPr>
        <xdr:cNvPr id="9" name="/xl/media/image38.png">
          <a:extLst>
            <a:ext uri="{FF2B5EF4-FFF2-40B4-BE49-F238E27FC236}">
              <a16:creationId xmlns:a16="http://schemas.microsoft.com/office/drawing/2014/main" id="{00000000-0008-0000-0800-000009000000}"/>
            </a:ext>
          </a:extLst>
        </xdr:cNvPr>
        <xdr:cNvPicPr>
          <a:picLocks noChangeAspect="1"/>
        </xdr:cNvPicPr>
      </xdr:nvPicPr>
      <xdr:blipFill>
        <a:blip xmlns:r="http://schemas.openxmlformats.org/officeDocument/2006/relationships" r:embed="rId8"/>
        <a:stretch>
          <a:fillRect/>
        </a:stretch>
      </xdr:blipFill>
      <xdr:spPr>
        <a:prstGeom prst="rect">
          <a:avLst/>
        </a:prstGeom>
        <a:ln>
          <a:prstDash val="solid"/>
        </a:ln>
      </xdr:spPr>
    </xdr:pic>
    <xdr:clientData/>
  </xdr:twoCellAnchor>
  <xdr:twoCellAnchor editAs="oneCell">
    <xdr:from>
      <xdr:col>0</xdr:col>
      <xdr:colOff>0</xdr:colOff>
      <xdr:row>229</xdr:row>
      <xdr:rowOff>0</xdr:rowOff>
    </xdr:from>
    <xdr:to>
      <xdr:col>10</xdr:col>
      <xdr:colOff>152942</xdr:colOff>
      <xdr:row>249</xdr:row>
      <xdr:rowOff>137489</xdr:rowOff>
    </xdr:to>
    <xdr:pic>
      <xdr:nvPicPr>
        <xdr:cNvPr id="10" name="/xl/media/image39.png">
          <a:extLst>
            <a:ext uri="{FF2B5EF4-FFF2-40B4-BE49-F238E27FC236}">
              <a16:creationId xmlns:a16="http://schemas.microsoft.com/office/drawing/2014/main" id="{00000000-0008-0000-0800-00000A000000}"/>
            </a:ext>
          </a:extLst>
        </xdr:cNvPr>
        <xdr:cNvPicPr>
          <a:picLocks noChangeAspect="1"/>
        </xdr:cNvPicPr>
      </xdr:nvPicPr>
      <xdr:blipFill>
        <a:blip xmlns:r="http://schemas.openxmlformats.org/officeDocument/2006/relationships" r:embed="rId9"/>
        <a:stretch>
          <a:fillRect/>
        </a:stretch>
      </xdr:blipFill>
      <xdr:spPr>
        <a:prstGeom prst="rect">
          <a:avLst/>
        </a:prstGeom>
        <a:ln>
          <a:prstDash val="solid"/>
        </a:ln>
      </xdr:spPr>
    </xdr:pic>
    <xdr:clientData/>
  </xdr:twoCellAnchor>
  <xdr:twoCellAnchor editAs="oneCell">
    <xdr:from>
      <xdr:col>0</xdr:col>
      <xdr:colOff>0</xdr:colOff>
      <xdr:row>252</xdr:row>
      <xdr:rowOff>0</xdr:rowOff>
    </xdr:from>
    <xdr:to>
      <xdr:col>10</xdr:col>
      <xdr:colOff>206286</xdr:colOff>
      <xdr:row>280</xdr:row>
      <xdr:rowOff>23306</xdr:rowOff>
    </xdr:to>
    <xdr:pic>
      <xdr:nvPicPr>
        <xdr:cNvPr id="11" name="/xl/media/image40.png">
          <a:extLst>
            <a:ext uri="{FF2B5EF4-FFF2-40B4-BE49-F238E27FC236}">
              <a16:creationId xmlns:a16="http://schemas.microsoft.com/office/drawing/2014/main" id="{00000000-0008-0000-0800-00000B000000}"/>
            </a:ext>
          </a:extLst>
        </xdr:cNvPr>
        <xdr:cNvPicPr>
          <a:picLocks noChangeAspect="1"/>
        </xdr:cNvPicPr>
      </xdr:nvPicPr>
      <xdr:blipFill>
        <a:blip xmlns:r="http://schemas.openxmlformats.org/officeDocument/2006/relationships" r:embed="rId10"/>
        <a:stretch>
          <a:fillRect/>
        </a:stretch>
      </xdr:blipFill>
      <xdr:spPr>
        <a:prstGeom prst="rect">
          <a:avLst/>
        </a:prstGeom>
        <a:ln>
          <a:prstDash val="solid"/>
        </a:ln>
      </xdr:spPr>
    </xdr:pic>
    <xdr:clientData/>
  </xdr:twoCellAnchor>
  <xdr:twoCellAnchor editAs="oneCell">
    <xdr:from>
      <xdr:col>0</xdr:col>
      <xdr:colOff>7620</xdr:colOff>
      <xdr:row>283</xdr:row>
      <xdr:rowOff>45720</xdr:rowOff>
    </xdr:from>
    <xdr:to>
      <xdr:col>10</xdr:col>
      <xdr:colOff>267251</xdr:colOff>
      <xdr:row>309</xdr:row>
      <xdr:rowOff>23270</xdr:rowOff>
    </xdr:to>
    <xdr:pic>
      <xdr:nvPicPr>
        <xdr:cNvPr id="12" name="/xl/media/image41.png">
          <a:extLst>
            <a:ext uri="{FF2B5EF4-FFF2-40B4-BE49-F238E27FC236}">
              <a16:creationId xmlns:a16="http://schemas.microsoft.com/office/drawing/2014/main" id="{00000000-0008-0000-0800-00000C000000}"/>
            </a:ext>
          </a:extLst>
        </xdr:cNvPr>
        <xdr:cNvPicPr>
          <a:picLocks noChangeAspect="1"/>
        </xdr:cNvPicPr>
      </xdr:nvPicPr>
      <xdr:blipFill>
        <a:blip xmlns:r="http://schemas.openxmlformats.org/officeDocument/2006/relationships" r:embed="rId11"/>
        <a:stretch>
          <a:fillRect/>
        </a:stretch>
      </xdr:blipFill>
      <xdr:spPr>
        <a:prstGeom prst="rect">
          <a:avLst/>
        </a:prstGeom>
        <a:ln>
          <a:prstDash val="solid"/>
        </a:ln>
      </xdr:spPr>
    </xdr:pic>
    <xdr:clientData/>
  </xdr:twoCellAnchor>
  <xdr:twoCellAnchor editAs="oneCell">
    <xdr:from>
      <xdr:col>0</xdr:col>
      <xdr:colOff>0</xdr:colOff>
      <xdr:row>312</xdr:row>
      <xdr:rowOff>0</xdr:rowOff>
    </xdr:from>
    <xdr:to>
      <xdr:col>6</xdr:col>
      <xdr:colOff>510901</xdr:colOff>
      <xdr:row>344</xdr:row>
      <xdr:rowOff>38610</xdr:rowOff>
    </xdr:to>
    <xdr:pic>
      <xdr:nvPicPr>
        <xdr:cNvPr id="13" name="/xl/media/image42.png">
          <a:extLst>
            <a:ext uri="{FF2B5EF4-FFF2-40B4-BE49-F238E27FC236}">
              <a16:creationId xmlns:a16="http://schemas.microsoft.com/office/drawing/2014/main" id="{00000000-0008-0000-0800-00000D000000}"/>
            </a:ext>
          </a:extLst>
        </xdr:cNvPr>
        <xdr:cNvPicPr>
          <a:picLocks noChangeAspect="1"/>
        </xdr:cNvPicPr>
      </xdr:nvPicPr>
      <xdr:blipFill>
        <a:blip xmlns:r="http://schemas.openxmlformats.org/officeDocument/2006/relationships" r:embed="rId12"/>
        <a:stretch>
          <a:fillRect/>
        </a:stretch>
      </xdr:blipFill>
      <xdr:spPr>
        <a:prstGeom prst="rect">
          <a:avLst/>
        </a:prstGeom>
        <a:ln>
          <a:prstDash val="solid"/>
        </a:ln>
      </xdr:spPr>
    </xdr:pic>
    <xdr:clientData/>
  </xdr:twoCellAnchor>
  <xdr:twoCellAnchor editAs="oneCell">
    <xdr:from>
      <xdr:col>0</xdr:col>
      <xdr:colOff>0</xdr:colOff>
      <xdr:row>346</xdr:row>
      <xdr:rowOff>0</xdr:rowOff>
    </xdr:from>
    <xdr:to>
      <xdr:col>7</xdr:col>
      <xdr:colOff>180419</xdr:colOff>
      <xdr:row>361</xdr:row>
      <xdr:rowOff>85371</xdr:rowOff>
    </xdr:to>
    <xdr:pic>
      <xdr:nvPicPr>
        <xdr:cNvPr id="14" name="/xl/media/image43.png">
          <a:extLst>
            <a:ext uri="{FF2B5EF4-FFF2-40B4-BE49-F238E27FC236}">
              <a16:creationId xmlns:a16="http://schemas.microsoft.com/office/drawing/2014/main" id="{00000000-0008-0000-0800-00000E000000}"/>
            </a:ext>
          </a:extLst>
        </xdr:cNvPr>
        <xdr:cNvPicPr>
          <a:picLocks noChangeAspect="1"/>
        </xdr:cNvPicPr>
      </xdr:nvPicPr>
      <xdr:blipFill>
        <a:blip xmlns:r="http://schemas.openxmlformats.org/officeDocument/2006/relationships" r:embed="rId13"/>
        <a:stretch>
          <a:fillRect/>
        </a:stretch>
      </xdr:blipFill>
      <xdr:spPr>
        <a:prstGeom prst="rect">
          <a:avLst/>
        </a:prstGeom>
        <a:ln>
          <a:prstDash val="solid"/>
        </a:ln>
      </xdr:spPr>
    </xdr:pic>
    <xdr:clientData/>
  </xdr:twoCellAnchor>
  <xdr:twoCellAnchor editAs="oneCell">
    <xdr:from>
      <xdr:col>0</xdr:col>
      <xdr:colOff>0</xdr:colOff>
      <xdr:row>364</xdr:row>
      <xdr:rowOff>0</xdr:rowOff>
    </xdr:from>
    <xdr:to>
      <xdr:col>7</xdr:col>
      <xdr:colOff>75657</xdr:colOff>
      <xdr:row>381</xdr:row>
      <xdr:rowOff>91040</xdr:rowOff>
    </xdr:to>
    <xdr:pic>
      <xdr:nvPicPr>
        <xdr:cNvPr id="15" name="/xl/media/image44.png">
          <a:extLst>
            <a:ext uri="{FF2B5EF4-FFF2-40B4-BE49-F238E27FC236}">
              <a16:creationId xmlns:a16="http://schemas.microsoft.com/office/drawing/2014/main" id="{00000000-0008-0000-0800-00000F000000}"/>
            </a:ext>
          </a:extLst>
        </xdr:cNvPr>
        <xdr:cNvPicPr>
          <a:picLocks noChangeAspect="1"/>
        </xdr:cNvPicPr>
      </xdr:nvPicPr>
      <xdr:blipFill>
        <a:blip xmlns:r="http://schemas.openxmlformats.org/officeDocument/2006/relationships" r:embed="rId14"/>
        <a:stretch>
          <a:fillRect/>
        </a:stretch>
      </xdr:blipFill>
      <xdr:spPr>
        <a:prstGeom prst="rect">
          <a:avLst/>
        </a:prstGeom>
        <a:ln>
          <a:prstDash val="solid"/>
        </a:ln>
      </xdr:spPr>
    </xdr:pic>
    <xdr:clientData/>
  </xdr:twoCellAnchor>
  <xdr:twoCellAnchor editAs="oneCell">
    <xdr:from>
      <xdr:col>0</xdr:col>
      <xdr:colOff>0</xdr:colOff>
      <xdr:row>383</xdr:row>
      <xdr:rowOff>0</xdr:rowOff>
    </xdr:from>
    <xdr:to>
      <xdr:col>7</xdr:col>
      <xdr:colOff>28038</xdr:colOff>
      <xdr:row>402</xdr:row>
      <xdr:rowOff>134804</xdr:rowOff>
    </xdr:to>
    <xdr:pic>
      <xdr:nvPicPr>
        <xdr:cNvPr id="16" name="/xl/media/image45.png">
          <a:extLst>
            <a:ext uri="{FF2B5EF4-FFF2-40B4-BE49-F238E27FC236}">
              <a16:creationId xmlns:a16="http://schemas.microsoft.com/office/drawing/2014/main" id="{00000000-0008-0000-0800-000010000000}"/>
            </a:ext>
          </a:extLst>
        </xdr:cNvPr>
        <xdr:cNvPicPr>
          <a:picLocks noChangeAspect="1"/>
        </xdr:cNvPicPr>
      </xdr:nvPicPr>
      <xdr:blipFill>
        <a:blip xmlns:r="http://schemas.openxmlformats.org/officeDocument/2006/relationships" r:embed="rId15"/>
        <a:stretch>
          <a:fillRect/>
        </a:stretch>
      </xdr:blipFill>
      <xdr:spPr>
        <a:prstGeom prst="rect">
          <a:avLst/>
        </a:prstGeom>
        <a:ln>
          <a:prstDash val="solid"/>
        </a:ln>
      </xdr:spPr>
    </xdr:pic>
    <xdr:clientData/>
  </xdr:twoCellAnchor>
  <xdr:twoCellAnchor editAs="oneCell">
    <xdr:from>
      <xdr:col>0</xdr:col>
      <xdr:colOff>0</xdr:colOff>
      <xdr:row>404</xdr:row>
      <xdr:rowOff>0</xdr:rowOff>
    </xdr:from>
    <xdr:to>
      <xdr:col>7</xdr:col>
      <xdr:colOff>47086</xdr:colOff>
      <xdr:row>421</xdr:row>
      <xdr:rowOff>176754</xdr:rowOff>
    </xdr:to>
    <xdr:pic>
      <xdr:nvPicPr>
        <xdr:cNvPr id="17" name="/xl/media/image46.png">
          <a:extLst>
            <a:ext uri="{FF2B5EF4-FFF2-40B4-BE49-F238E27FC236}">
              <a16:creationId xmlns:a16="http://schemas.microsoft.com/office/drawing/2014/main" id="{00000000-0008-0000-0800-000011000000}"/>
            </a:ext>
          </a:extLst>
        </xdr:cNvPr>
        <xdr:cNvPicPr>
          <a:picLocks noChangeAspect="1"/>
        </xdr:cNvPicPr>
      </xdr:nvPicPr>
      <xdr:blipFill>
        <a:blip xmlns:r="http://schemas.openxmlformats.org/officeDocument/2006/relationships" r:embed="rId16"/>
        <a:stretch>
          <a:fillRect/>
        </a:stretch>
      </xdr:blipFill>
      <xdr:spPr>
        <a:prstGeom prst="rect">
          <a:avLst/>
        </a:prstGeom>
        <a:ln>
          <a:prstDash val="solid"/>
        </a:ln>
      </xdr:spPr>
    </xdr:pic>
    <xdr:clientData/>
  </xdr:twoCellAnchor>
  <xdr:twoCellAnchor editAs="oneCell">
    <xdr:from>
      <xdr:col>0</xdr:col>
      <xdr:colOff>0</xdr:colOff>
      <xdr:row>424</xdr:row>
      <xdr:rowOff>0</xdr:rowOff>
    </xdr:from>
    <xdr:to>
      <xdr:col>7</xdr:col>
      <xdr:colOff>123276</xdr:colOff>
      <xdr:row>443</xdr:row>
      <xdr:rowOff>87185</xdr:rowOff>
    </xdr:to>
    <xdr:pic>
      <xdr:nvPicPr>
        <xdr:cNvPr id="18" name="/xl/media/image47.png">
          <a:extLst>
            <a:ext uri="{FF2B5EF4-FFF2-40B4-BE49-F238E27FC236}">
              <a16:creationId xmlns:a16="http://schemas.microsoft.com/office/drawing/2014/main" id="{00000000-0008-0000-0800-000012000000}"/>
            </a:ext>
          </a:extLst>
        </xdr:cNvPr>
        <xdr:cNvPicPr>
          <a:picLocks noChangeAspect="1"/>
        </xdr:cNvPicPr>
      </xdr:nvPicPr>
      <xdr:blipFill>
        <a:blip xmlns:r="http://schemas.openxmlformats.org/officeDocument/2006/relationships" r:embed="rId17"/>
        <a:stretch>
          <a:fillRect/>
        </a:stretch>
      </xdr:blipFill>
      <xdr:spPr>
        <a:prstGeom prst="rect">
          <a:avLst/>
        </a:prstGeom>
        <a:ln>
          <a:prstDash val="solid"/>
        </a:ln>
      </xdr:spPr>
    </xdr:pic>
    <xdr:clientData/>
  </xdr:twoCellAnchor>
  <xdr:twoCellAnchor editAs="oneCell">
    <xdr:from>
      <xdr:col>0</xdr:col>
      <xdr:colOff>0</xdr:colOff>
      <xdr:row>445</xdr:row>
      <xdr:rowOff>0</xdr:rowOff>
    </xdr:from>
    <xdr:to>
      <xdr:col>7</xdr:col>
      <xdr:colOff>66133</xdr:colOff>
      <xdr:row>457</xdr:row>
      <xdr:rowOff>91154</xdr:rowOff>
    </xdr:to>
    <xdr:pic>
      <xdr:nvPicPr>
        <xdr:cNvPr id="19" name="/xl/media/image48.png">
          <a:extLst>
            <a:ext uri="{FF2B5EF4-FFF2-40B4-BE49-F238E27FC236}">
              <a16:creationId xmlns:a16="http://schemas.microsoft.com/office/drawing/2014/main" id="{00000000-0008-0000-0800-000013000000}"/>
            </a:ext>
          </a:extLst>
        </xdr:cNvPr>
        <xdr:cNvPicPr>
          <a:picLocks noChangeAspect="1"/>
        </xdr:cNvPicPr>
      </xdr:nvPicPr>
      <xdr:blipFill>
        <a:blip xmlns:r="http://schemas.openxmlformats.org/officeDocument/2006/relationships" r:embed="rId18"/>
        <a:stretch>
          <a:fillRect/>
        </a:stretch>
      </xdr:blipFill>
      <xdr:spPr>
        <a:prstGeom prst="rect">
          <a:avLst/>
        </a:prstGeom>
        <a:ln>
          <a:prstDash val="solid"/>
        </a:ln>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HighwayTestingTable" displayName="HighwayTestingTable" ref="A1:BU169">
  <tableColumns count="73">
    <tableColumn id="1" xr3:uid="{00000000-0010-0000-0000-000001000000}" name="Case_ID"/>
    <tableColumn id="2" xr3:uid="{00000000-0010-0000-0000-000002000000}" name="Case_Index"/>
    <tableColumn id="3" xr3:uid="{00000000-0010-0000-0000-000003000000}" name="Mode"/>
    <tableColumn id="4" xr3:uid="{00000000-0010-0000-0000-000004000000}" name="NPS"/>
    <tableColumn id="5" xr3:uid="{00000000-0010-0000-0000-000005000000}" name="Wall_Thickness_in"/>
    <tableColumn id="6" xr3:uid="{00000000-0010-0000-0000-000006000000}" name="Pipe_Specification"/>
    <tableColumn id="7" xr3:uid="{00000000-0010-0000-0000-000007000000}" name="Pipe_Grade"/>
    <tableColumn id="8" xr3:uid="{00000000-0010-0000-0000-000008000000}" name="Pipeline_Location"/>
    <tableColumn id="9" xr3:uid="{00000000-0010-0000-0000-000009000000}" name="Class_Location"/>
    <tableColumn id="10" xr3:uid="{00000000-0010-0000-0000-00000A000000}" name="Weld_Seam_Type"/>
    <tableColumn id="11" xr3:uid="{00000000-0010-0000-0000-00000B000000}" name="Pipe_Material"/>
    <tableColumn id="12" xr3:uid="{00000000-0010-0000-0000-00000C000000}" name="Operating_Temp_F"/>
    <tableColumn id="13" xr3:uid="{00000000-0010-0000-0000-00000D000000}" name="Operating_Pressure_psig"/>
    <tableColumn id="14" xr3:uid="{00000000-0010-0000-0000-00000E000000}" name="Soil_Type"/>
    <tableColumn id="15" xr3:uid="{00000000-0010-0000-0000-00000F000000}" name="Soil_Unit_Weight_pcf"/>
    <tableColumn id="16" xr3:uid="{00000000-0010-0000-0000-000010000000}" name="Cover_Depth_ft"/>
    <tableColumn id="17" xr3:uid="{00000000-0010-0000-0000-000011000000}" name="Bored_Diameter_in"/>
    <tableColumn id="18" xr3:uid="{00000000-0010-0000-0000-000012000000}" name="Pavement_Type"/>
    <tableColumn id="19" xr3:uid="{00000000-0010-0000-0000-000013000000}" name="Axle_Configuration"/>
    <tableColumn id="20" xr3:uid="{00000000-0010-0000-0000-000014000000}" name="Installation_Temp_F"/>
    <tableColumn id="21" xr3:uid="{00000000-0010-0000-0000-000015000000}" name="Outside_Diameter_in"/>
    <tableColumn id="22" xr3:uid="{00000000-0010-0000-0000-000016000000}" name="SMYS_psi"/>
    <tableColumn id="23" xr3:uid="{00000000-0010-0000-0000-000017000000}" name="Design_Factor"/>
    <tableColumn id="24" xr3:uid="{00000000-0010-0000-0000-000018000000}" name="Joint_Factor"/>
    <tableColumn id="25" xr3:uid="{00000000-0010-0000-0000-000019000000}" name="Youngs_Modulus_psi"/>
    <tableColumn id="26" xr3:uid="{00000000-0010-0000-0000-00001A000000}" name="Poisson_Ratio"/>
    <tableColumn id="27" xr3:uid="{00000000-0010-0000-0000-00001B000000}" name="Thermal_Expansion_1_F"/>
    <tableColumn id="28" xr3:uid="{00000000-0010-0000-0000-00001C000000}" name="Temp_Derating_Factor"/>
    <tableColumn id="29" xr3:uid="{00000000-0010-0000-0000-00001D000000}" name="E_Prime_psi"/>
    <tableColumn id="30" xr3:uid="{00000000-0010-0000-0000-00001E000000}" name="Er_psi"/>
    <tableColumn id="31" xr3:uid="{00000000-0010-0000-0000-00001F000000}" name="Design_Wheel_Load_lb"/>
    <tableColumn id="32" xr3:uid="{00000000-0010-0000-0000-000020000000}" name="tw_D"/>
    <tableColumn id="33" xr3:uid="{00000000-0010-0000-0000-000021000000}" name="H_Bd"/>
    <tableColumn id="34" xr3:uid="{00000000-0010-0000-0000-000022000000}" name="Bd_D"/>
    <tableColumn id="35" xr3:uid="{00000000-0010-0000-0000-000023000000}" name="SHi_Barlow_psi"/>
    <tableColumn id="36" xr3:uid="{00000000-0010-0000-0000-000024000000}" name="Allowable_Hoop_psi"/>
    <tableColumn id="37" xr3:uid="{00000000-0010-0000-0000-000025000000}" name="Khe"/>
    <tableColumn id="38" xr3:uid="{00000000-0010-0000-0000-000026000000}" name="Be"/>
    <tableColumn id="39" xr3:uid="{00000000-0010-0000-0000-000027000000}" name="Ee"/>
    <tableColumn id="40" xr3:uid="{00000000-0010-0000-0000-000028000000}" name="SHe_psi"/>
    <tableColumn id="41" xr3:uid="{00000000-0010-0000-0000-000029000000}" name="Fi"/>
    <tableColumn id="42" xr3:uid="{00000000-0010-0000-0000-00002A000000}" name="KHh"/>
    <tableColumn id="43" xr3:uid="{00000000-0010-0000-0000-00002B000000}" name="GHh"/>
    <tableColumn id="44" xr3:uid="{00000000-0010-0000-0000-00002C000000}" name="R"/>
    <tableColumn id="45" xr3:uid="{00000000-0010-0000-0000-00002D000000}" name="L"/>
    <tableColumn id="46" xr3:uid="{00000000-0010-0000-0000-00002E000000}" name="SHh_psi"/>
    <tableColumn id="47" xr3:uid="{00000000-0010-0000-0000-00002F000000}" name="KLh"/>
    <tableColumn id="48" xr3:uid="{00000000-0010-0000-0000-000030000000}" name="GLh"/>
    <tableColumn id="49" xr3:uid="{00000000-0010-0000-0000-000031000000}" name="SLh_psi"/>
    <tableColumn id="50" xr3:uid="{00000000-0010-0000-0000-000032000000}" name="SHi_Internal_psi"/>
    <tableColumn id="51" xr3:uid="{00000000-0010-0000-0000-000033000000}" name="S1_psi"/>
    <tableColumn id="52" xr3:uid="{00000000-0010-0000-0000-000034000000}" name="S2_psi"/>
    <tableColumn id="53" xr3:uid="{00000000-0010-0000-0000-000035000000}" name="S3_psi"/>
    <tableColumn id="54" xr3:uid="{00000000-0010-0000-0000-000036000000}" name="Seff_psi"/>
    <tableColumn id="55" xr3:uid="{00000000-0010-0000-0000-000037000000}" name="Allowable_Effective_psi"/>
    <tableColumn id="56" xr3:uid="{00000000-0010-0000-0000-000038000000}" name="Fatigue_Girth_psi"/>
    <tableColumn id="57" xr3:uid="{00000000-0010-0000-0000-000039000000}" name="Fatigue_Longitudinal_psi"/>
    <tableColumn id="58" xr3:uid="{00000000-0010-0000-0000-00003A000000}" name="Allowable_Girth_psi"/>
    <tableColumn id="59" xr3:uid="{00000000-0010-0000-0000-00003B000000}" name="Allowable_Longitudinal_psi"/>
    <tableColumn id="60" xr3:uid="{00000000-0010-0000-0000-00003C000000}" name="Barlow_Calc_psi"/>
    <tableColumn id="61" xr3:uid="{00000000-0010-0000-0000-00003D000000}" name="Barlow_Allow_psi"/>
    <tableColumn id="62" xr3:uid="{00000000-0010-0000-0000-00003E000000}" name="Effective_Calc_psi"/>
    <tableColumn id="63" xr3:uid="{00000000-0010-0000-0000-00003F000000}" name="Effective_Allow_psi"/>
    <tableColumn id="64" xr3:uid="{00000000-0010-0000-0000-000040000000}" name="Girth_Calc_psi"/>
    <tableColumn id="65" xr3:uid="{00000000-0010-0000-0000-000041000000}" name="Girth_Allow_psi"/>
    <tableColumn id="66" xr3:uid="{00000000-0010-0000-0000-000042000000}" name="Longitudinal_Calc_psi"/>
    <tableColumn id="67" xr3:uid="{00000000-0010-0000-0000-000043000000}" name="Longitudinal_Allow_psi"/>
    <tableColumn id="68" xr3:uid="{00000000-0010-0000-0000-000044000000}" name="Barlow_Result"/>
    <tableColumn id="69" xr3:uid="{00000000-0010-0000-0000-000045000000}" name="Effective_Result"/>
    <tableColumn id="70" xr3:uid="{00000000-0010-0000-0000-000046000000}" name="Girth_Result"/>
    <tableColumn id="71" xr3:uid="{00000000-0010-0000-0000-000047000000}" name="Longitudinal_Result"/>
    <tableColumn id="72" xr3:uid="{00000000-0010-0000-0000-000048000000}" name="Overall_Result"/>
    <tableColumn id="73" xr3:uid="{00000000-0010-0000-0000-000049000000}" name="Controlling_Check"/>
  </tableColumns>
  <tableStyleInfo name="TableStyleMedium2"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G33"/>
  <sheetViews>
    <sheetView workbookViewId="0"/>
  </sheetViews>
  <sheetFormatPr defaultColWidth="9.21875" defaultRowHeight="13.2"/>
  <cols>
    <col min="1" max="2" width="9.21875" style="12" customWidth="1"/>
    <col min="3" max="3" width="12.21875" style="12" customWidth="1"/>
    <col min="4" max="4" width="9.21875" style="12" customWidth="1"/>
    <col min="5" max="5" width="10.21875" style="12" customWidth="1"/>
    <col min="6" max="6" width="11.77734375" style="12" customWidth="1"/>
    <col min="7" max="7" width="14.44140625" style="12" customWidth="1"/>
    <col min="8" max="8" width="9.21875" style="12" customWidth="1"/>
    <col min="9" max="16384" width="9.21875" style="12"/>
  </cols>
  <sheetData>
    <row r="3" spans="2:7" ht="14.4">
      <c r="D3" s="182" t="s">
        <v>0</v>
      </c>
      <c r="E3" s="183"/>
      <c r="F3" s="183"/>
      <c r="G3" s="183"/>
    </row>
    <row r="4" spans="2:7" ht="14.4">
      <c r="D4" s="182" t="s">
        <v>1</v>
      </c>
      <c r="E4" s="183"/>
      <c r="F4" s="183"/>
      <c r="G4" s="183"/>
    </row>
    <row r="5" spans="2:7" ht="14.4">
      <c r="D5" s="182" t="s">
        <v>2</v>
      </c>
      <c r="E5" s="183"/>
      <c r="F5" s="183"/>
      <c r="G5" s="183"/>
    </row>
    <row r="8" spans="2:7">
      <c r="B8" s="13" t="s">
        <v>3</v>
      </c>
      <c r="C8" s="14"/>
      <c r="D8" s="15" t="s">
        <v>4</v>
      </c>
      <c r="E8" s="16"/>
      <c r="F8" s="13" t="s">
        <v>5</v>
      </c>
      <c r="G8" s="14"/>
    </row>
    <row r="9" spans="2:7" ht="15.6" customHeight="1">
      <c r="B9" s="184" t="s">
        <v>6</v>
      </c>
      <c r="C9" s="185"/>
      <c r="D9" s="17"/>
      <c r="E9" s="18"/>
      <c r="F9" s="19" t="s">
        <v>7</v>
      </c>
      <c r="G9" s="20">
        <v>45665</v>
      </c>
    </row>
    <row r="10" spans="2:7">
      <c r="B10" s="13"/>
      <c r="C10" s="21" t="s">
        <v>8</v>
      </c>
      <c r="D10" s="14" t="s">
        <v>9</v>
      </c>
      <c r="E10" s="14"/>
      <c r="F10" s="19" t="s">
        <v>10</v>
      </c>
      <c r="G10" s="14" t="s">
        <v>9</v>
      </c>
    </row>
    <row r="13" spans="2:7">
      <c r="B13" s="22" t="s">
        <v>11</v>
      </c>
    </row>
    <row r="14" spans="2:7" ht="14.4">
      <c r="B14" s="23" t="s">
        <v>12</v>
      </c>
      <c r="C14" s="186" t="s">
        <v>13</v>
      </c>
      <c r="D14" s="187"/>
      <c r="E14" s="187"/>
      <c r="F14" s="188"/>
      <c r="G14" s="24" t="s">
        <v>14</v>
      </c>
    </row>
    <row r="15" spans="2:7">
      <c r="B15" s="23"/>
      <c r="C15" s="77"/>
      <c r="D15" s="78" t="s">
        <v>15</v>
      </c>
      <c r="E15" s="78" t="s">
        <v>16</v>
      </c>
      <c r="F15" s="79" t="s">
        <v>17</v>
      </c>
      <c r="G15" s="24"/>
    </row>
    <row r="16" spans="2:7">
      <c r="B16" s="25">
        <v>0</v>
      </c>
      <c r="C16" s="13" t="s">
        <v>18</v>
      </c>
      <c r="D16" s="26" t="s">
        <v>19</v>
      </c>
      <c r="E16" s="26" t="s">
        <v>20</v>
      </c>
      <c r="F16" s="14"/>
      <c r="G16" s="27">
        <v>45665</v>
      </c>
    </row>
    <row r="17" spans="2:7">
      <c r="B17" s="25">
        <v>1</v>
      </c>
      <c r="C17" s="28"/>
      <c r="F17" s="29"/>
      <c r="G17" s="30"/>
    </row>
    <row r="18" spans="2:7">
      <c r="B18" s="25"/>
      <c r="C18" s="13"/>
      <c r="D18" s="26"/>
      <c r="E18" s="26"/>
      <c r="F18" s="14"/>
      <c r="G18" s="30"/>
    </row>
    <row r="19" spans="2:7">
      <c r="B19" s="25"/>
      <c r="C19" s="17"/>
      <c r="D19" s="31"/>
      <c r="E19" s="31"/>
      <c r="F19" s="18"/>
      <c r="G19" s="30"/>
    </row>
    <row r="20" spans="2:7">
      <c r="B20" s="32"/>
    </row>
    <row r="22" spans="2:7">
      <c r="B22" s="33" t="s">
        <v>21</v>
      </c>
    </row>
    <row r="24" spans="2:7">
      <c r="B24" s="33" t="s">
        <v>9</v>
      </c>
    </row>
    <row r="25" spans="2:7">
      <c r="B25" s="34" t="s">
        <v>22</v>
      </c>
    </row>
    <row r="26" spans="2:7" ht="14.4" customHeight="1">
      <c r="B26" s="35" t="s">
        <v>23</v>
      </c>
    </row>
    <row r="27" spans="2:7">
      <c r="B27" s="36"/>
    </row>
    <row r="28" spans="2:7">
      <c r="B28" s="12" t="s">
        <v>24</v>
      </c>
    </row>
    <row r="30" spans="2:7">
      <c r="B30" s="33" t="s">
        <v>25</v>
      </c>
    </row>
    <row r="31" spans="2:7">
      <c r="B31" s="12" t="s">
        <v>26</v>
      </c>
    </row>
    <row r="32" spans="2:7">
      <c r="B32" s="34" t="s">
        <v>27</v>
      </c>
    </row>
    <row r="33" spans="2:2" ht="14.4" customHeight="1">
      <c r="B33" s="6" t="s">
        <v>28</v>
      </c>
    </row>
  </sheetData>
  <mergeCells count="5">
    <mergeCell ref="D3:G3"/>
    <mergeCell ref="B9:C9"/>
    <mergeCell ref="D5:G5"/>
    <mergeCell ref="C14:F14"/>
    <mergeCell ref="D4:G4"/>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4.4"/>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3"/>
  <sheetViews>
    <sheetView workbookViewId="0"/>
  </sheetViews>
  <sheetFormatPr defaultColWidth="9.21875" defaultRowHeight="13.2"/>
  <cols>
    <col min="1" max="1" width="13.77734375" style="37" customWidth="1"/>
    <col min="2" max="2" width="35.77734375" style="37" customWidth="1"/>
    <col min="3" max="9" width="9.21875" style="37" customWidth="1"/>
    <col min="10" max="10" width="1.77734375" style="37" customWidth="1"/>
    <col min="11" max="11" width="9.21875" style="37" customWidth="1"/>
    <col min="12" max="16384" width="9.21875" style="37"/>
  </cols>
  <sheetData>
    <row r="1" spans="1:3" ht="15.6" customHeight="1">
      <c r="A1" s="189" t="s">
        <v>29</v>
      </c>
      <c r="B1" s="188"/>
    </row>
    <row r="2" spans="1:3">
      <c r="A2" s="38" t="s">
        <v>30</v>
      </c>
      <c r="B2" s="39" t="s">
        <v>31</v>
      </c>
    </row>
    <row r="3" spans="1:3">
      <c r="A3" s="40" t="s">
        <v>32</v>
      </c>
      <c r="B3" s="41" t="s">
        <v>33</v>
      </c>
    </row>
    <row r="4" spans="1:3">
      <c r="A4" s="42" t="s">
        <v>34</v>
      </c>
      <c r="B4" s="43" t="s">
        <v>35</v>
      </c>
    </row>
    <row r="5" spans="1:3">
      <c r="A5" s="44"/>
      <c r="B5" s="44"/>
      <c r="C5" s="44"/>
    </row>
    <row r="6" spans="1:3">
      <c r="A6" s="45"/>
    </row>
    <row r="8" spans="1:3" ht="15.6" customHeight="1">
      <c r="A8" s="46"/>
    </row>
    <row r="10" spans="1:3">
      <c r="A10" s="44"/>
    </row>
    <row r="11" spans="1:3">
      <c r="A11" s="47"/>
    </row>
    <row r="13" spans="1:3">
      <c r="A13" s="48"/>
    </row>
  </sheetData>
  <mergeCells count="1">
    <mergeCell ref="A1:B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D29"/>
  <sheetViews>
    <sheetView workbookViewId="0"/>
  </sheetViews>
  <sheetFormatPr defaultColWidth="9.21875" defaultRowHeight="13.2"/>
  <cols>
    <col min="1" max="1" width="4.21875" style="52" customWidth="1"/>
    <col min="2" max="2" width="27.21875" style="52" customWidth="1"/>
    <col min="3" max="3" width="117.44140625" style="52" customWidth="1"/>
    <col min="4" max="4" width="9.21875" style="52" customWidth="1"/>
    <col min="5" max="16384" width="9.21875" style="52"/>
  </cols>
  <sheetData>
    <row r="2" spans="1:4" s="49" customFormat="1" ht="15.6" customHeight="1">
      <c r="B2" s="50" t="s">
        <v>36</v>
      </c>
    </row>
    <row r="3" spans="1:4" s="49" customFormat="1" ht="15.6" customHeight="1">
      <c r="B3" s="51"/>
    </row>
    <row r="4" spans="1:4">
      <c r="B4" s="53" t="s">
        <v>37</v>
      </c>
      <c r="C4" s="53" t="s">
        <v>38</v>
      </c>
    </row>
    <row r="5" spans="1:4">
      <c r="B5" s="54" t="s">
        <v>39</v>
      </c>
      <c r="C5" s="55" t="s">
        <v>40</v>
      </c>
    </row>
    <row r="6" spans="1:4">
      <c r="A6" s="56">
        <v>1</v>
      </c>
      <c r="B6" s="54" t="s">
        <v>41</v>
      </c>
      <c r="C6" s="55" t="s">
        <v>42</v>
      </c>
      <c r="D6" s="56"/>
    </row>
    <row r="7" spans="1:4">
      <c r="A7" s="56">
        <f t="shared" ref="A7:A29" si="0">1+A6</f>
        <v>2</v>
      </c>
      <c r="B7" s="54" t="s">
        <v>38</v>
      </c>
      <c r="C7" s="57" t="s">
        <v>36</v>
      </c>
      <c r="D7" s="56"/>
    </row>
    <row r="8" spans="1:4">
      <c r="A8" s="56">
        <f t="shared" si="0"/>
        <v>3</v>
      </c>
      <c r="B8" s="54" t="s">
        <v>43</v>
      </c>
      <c r="C8" s="57" t="s">
        <v>44</v>
      </c>
      <c r="D8" s="56"/>
    </row>
    <row r="9" spans="1:4">
      <c r="A9" s="56">
        <f t="shared" si="0"/>
        <v>4</v>
      </c>
      <c r="B9" s="54" t="s">
        <v>45</v>
      </c>
      <c r="C9" s="55" t="s">
        <v>46</v>
      </c>
      <c r="D9" s="56"/>
    </row>
    <row r="10" spans="1:4">
      <c r="A10" s="56">
        <f t="shared" si="0"/>
        <v>5</v>
      </c>
      <c r="B10" s="54" t="s">
        <v>47</v>
      </c>
      <c r="C10" s="55" t="s">
        <v>48</v>
      </c>
      <c r="D10" s="56"/>
    </row>
    <row r="11" spans="1:4">
      <c r="A11" s="56">
        <f t="shared" si="0"/>
        <v>6</v>
      </c>
      <c r="B11" s="54" t="s">
        <v>49</v>
      </c>
      <c r="C11" s="55" t="s">
        <v>50</v>
      </c>
      <c r="D11" s="56"/>
    </row>
    <row r="12" spans="1:4">
      <c r="A12" s="56">
        <f t="shared" si="0"/>
        <v>7</v>
      </c>
      <c r="B12" s="54" t="s">
        <v>51</v>
      </c>
      <c r="C12" s="55" t="s">
        <v>52</v>
      </c>
      <c r="D12" s="56"/>
    </row>
    <row r="13" spans="1:4">
      <c r="A13" s="56">
        <f t="shared" si="0"/>
        <v>8</v>
      </c>
      <c r="B13" s="54"/>
      <c r="C13" s="55"/>
      <c r="D13" s="56"/>
    </row>
    <row r="14" spans="1:4">
      <c r="A14" s="56">
        <f t="shared" si="0"/>
        <v>9</v>
      </c>
      <c r="B14" s="54"/>
      <c r="C14" s="55"/>
      <c r="D14" s="56"/>
    </row>
    <row r="15" spans="1:4">
      <c r="A15" s="56">
        <f t="shared" si="0"/>
        <v>10</v>
      </c>
      <c r="B15" s="54"/>
      <c r="C15" s="55"/>
      <c r="D15" s="56"/>
    </row>
    <row r="16" spans="1:4">
      <c r="A16" s="56">
        <f t="shared" si="0"/>
        <v>11</v>
      </c>
      <c r="B16" s="54"/>
      <c r="C16" s="55"/>
      <c r="D16" s="56"/>
    </row>
    <row r="17" spans="1:4">
      <c r="A17" s="56">
        <f t="shared" si="0"/>
        <v>12</v>
      </c>
      <c r="B17" s="54"/>
      <c r="C17" s="55"/>
      <c r="D17" s="56"/>
    </row>
    <row r="18" spans="1:4">
      <c r="A18" s="56">
        <f t="shared" si="0"/>
        <v>13</v>
      </c>
      <c r="B18" s="54"/>
      <c r="C18" s="55"/>
      <c r="D18" s="56"/>
    </row>
    <row r="19" spans="1:4">
      <c r="A19" s="56">
        <f t="shared" si="0"/>
        <v>14</v>
      </c>
      <c r="B19" s="54"/>
      <c r="C19" s="55"/>
      <c r="D19" s="56"/>
    </row>
    <row r="20" spans="1:4">
      <c r="A20" s="56">
        <f t="shared" si="0"/>
        <v>15</v>
      </c>
      <c r="B20" s="54"/>
      <c r="C20" s="55"/>
      <c r="D20" s="56"/>
    </row>
    <row r="21" spans="1:4">
      <c r="A21" s="56">
        <f t="shared" si="0"/>
        <v>16</v>
      </c>
      <c r="B21" s="54"/>
      <c r="C21" s="55"/>
      <c r="D21" s="56"/>
    </row>
    <row r="22" spans="1:4">
      <c r="A22" s="56">
        <f t="shared" si="0"/>
        <v>17</v>
      </c>
      <c r="B22" s="54"/>
      <c r="C22" s="55"/>
      <c r="D22" s="56"/>
    </row>
    <row r="23" spans="1:4">
      <c r="A23" s="56">
        <f t="shared" si="0"/>
        <v>18</v>
      </c>
      <c r="B23" s="54"/>
      <c r="C23" s="55"/>
      <c r="D23" s="56"/>
    </row>
    <row r="24" spans="1:4">
      <c r="A24" s="56">
        <f t="shared" si="0"/>
        <v>19</v>
      </c>
      <c r="B24" s="54"/>
      <c r="C24" s="55"/>
      <c r="D24" s="56"/>
    </row>
    <row r="25" spans="1:4">
      <c r="A25" s="56">
        <f t="shared" si="0"/>
        <v>20</v>
      </c>
      <c r="B25" s="54"/>
      <c r="C25" s="55"/>
      <c r="D25" s="56"/>
    </row>
    <row r="26" spans="1:4">
      <c r="A26" s="56">
        <f t="shared" si="0"/>
        <v>21</v>
      </c>
      <c r="B26" s="54"/>
      <c r="C26" s="55"/>
      <c r="D26" s="56"/>
    </row>
    <row r="27" spans="1:4">
      <c r="A27" s="56">
        <f t="shared" si="0"/>
        <v>22</v>
      </c>
      <c r="B27" s="54"/>
      <c r="C27" s="55"/>
      <c r="D27" s="56"/>
    </row>
    <row r="28" spans="1:4">
      <c r="A28" s="56">
        <f t="shared" si="0"/>
        <v>23</v>
      </c>
      <c r="B28" s="54"/>
      <c r="C28" s="55"/>
      <c r="D28" s="56"/>
    </row>
    <row r="29" spans="1:4">
      <c r="A29" s="56">
        <f t="shared" si="0"/>
        <v>24</v>
      </c>
      <c r="B29" s="54"/>
      <c r="C29" s="55"/>
      <c r="D29" s="56"/>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49"/>
  <sheetViews>
    <sheetView workbookViewId="0"/>
  </sheetViews>
  <sheetFormatPr defaultColWidth="9.21875" defaultRowHeight="13.2"/>
  <cols>
    <col min="1" max="1" width="108.44140625" style="64" customWidth="1"/>
    <col min="2" max="3" width="9.21875" style="52" customWidth="1"/>
    <col min="4" max="4" width="66.88671875" style="52" customWidth="1"/>
    <col min="5" max="5" width="9.21875" style="52" customWidth="1"/>
    <col min="6" max="16384" width="9.21875" style="52"/>
  </cols>
  <sheetData>
    <row r="1" spans="1:7">
      <c r="A1" s="58" t="s">
        <v>53</v>
      </c>
    </row>
    <row r="3" spans="1:7" ht="15.6" customHeight="1">
      <c r="A3" s="59" t="s">
        <v>54</v>
      </c>
    </row>
    <row r="4" spans="1:7" ht="30" customHeight="1">
      <c r="A4" s="60" t="s">
        <v>55</v>
      </c>
    </row>
    <row r="5" spans="1:7" ht="15" customHeight="1">
      <c r="A5" s="61"/>
    </row>
    <row r="6" spans="1:7" ht="15.6" customHeight="1">
      <c r="A6" s="62" t="s">
        <v>56</v>
      </c>
    </row>
    <row r="7" spans="1:7" ht="15" customHeight="1">
      <c r="A7" s="60"/>
    </row>
    <row r="8" spans="1:7" ht="15" customHeight="1">
      <c r="A8" s="61"/>
    </row>
    <row r="9" spans="1:7" ht="15.6" customHeight="1">
      <c r="A9" s="63" t="s">
        <v>57</v>
      </c>
    </row>
    <row r="10" spans="1:7" ht="75.599999999999994" customHeight="1">
      <c r="A10" s="60" t="s">
        <v>58</v>
      </c>
      <c r="D10" s="190"/>
      <c r="E10" s="183"/>
      <c r="F10" s="183"/>
      <c r="G10" s="183"/>
    </row>
    <row r="11" spans="1:7" ht="15.6" customHeight="1">
      <c r="A11" s="62" t="s">
        <v>59</v>
      </c>
    </row>
    <row r="12" spans="1:7" ht="15" customHeight="1">
      <c r="A12" s="61" t="s">
        <v>60</v>
      </c>
    </row>
    <row r="13" spans="1:7" ht="15.6" customHeight="1">
      <c r="A13" s="62" t="s">
        <v>61</v>
      </c>
    </row>
    <row r="14" spans="1:7" ht="15" customHeight="1">
      <c r="A14" s="61" t="s">
        <v>62</v>
      </c>
    </row>
    <row r="15" spans="1:7" ht="15.6" customHeight="1">
      <c r="A15" s="62" t="s">
        <v>63</v>
      </c>
    </row>
    <row r="16" spans="1:7" ht="45" customHeight="1">
      <c r="A16" s="61" t="s">
        <v>64</v>
      </c>
    </row>
    <row r="17" spans="1:1" ht="15.6" customHeight="1">
      <c r="A17" s="62" t="s">
        <v>65</v>
      </c>
    </row>
    <row r="18" spans="1:1" ht="45" customHeight="1">
      <c r="A18" s="61" t="s">
        <v>66</v>
      </c>
    </row>
    <row r="19" spans="1:1" ht="15.6" customHeight="1">
      <c r="A19" s="62" t="s">
        <v>67</v>
      </c>
    </row>
    <row r="20" spans="1:1" ht="45" customHeight="1">
      <c r="A20" s="61" t="s">
        <v>68</v>
      </c>
    </row>
    <row r="21" spans="1:1" ht="15.6" customHeight="1">
      <c r="A21" s="62" t="s">
        <v>69</v>
      </c>
    </row>
    <row r="22" spans="1:1" ht="30" customHeight="1">
      <c r="A22" s="61" t="s">
        <v>70</v>
      </c>
    </row>
    <row r="23" spans="1:1" ht="15.6" customHeight="1">
      <c r="A23" s="62" t="s">
        <v>71</v>
      </c>
    </row>
    <row r="24" spans="1:1" ht="30" customHeight="1">
      <c r="A24" s="61" t="s">
        <v>72</v>
      </c>
    </row>
    <row r="25" spans="1:1" ht="15.6" customHeight="1">
      <c r="A25" s="62" t="s">
        <v>73</v>
      </c>
    </row>
    <row r="26" spans="1:1" ht="45" customHeight="1">
      <c r="A26" s="61" t="s">
        <v>74</v>
      </c>
    </row>
    <row r="27" spans="1:1" ht="15.6" customHeight="1">
      <c r="A27" s="62" t="s">
        <v>75</v>
      </c>
    </row>
    <row r="28" spans="1:1" ht="15" customHeight="1">
      <c r="A28" s="61" t="s">
        <v>76</v>
      </c>
    </row>
    <row r="29" spans="1:1" ht="15.6" customHeight="1">
      <c r="A29" s="62" t="s">
        <v>77</v>
      </c>
    </row>
    <row r="30" spans="1:1" ht="45" customHeight="1">
      <c r="A30" s="61" t="s">
        <v>78</v>
      </c>
    </row>
    <row r="31" spans="1:1" ht="15.6" customHeight="1">
      <c r="A31" s="62" t="s">
        <v>79</v>
      </c>
    </row>
    <row r="32" spans="1:1" ht="15" customHeight="1">
      <c r="A32" s="61" t="s">
        <v>80</v>
      </c>
    </row>
    <row r="33" spans="1:1" ht="15.6" customHeight="1">
      <c r="A33" s="62" t="s">
        <v>81</v>
      </c>
    </row>
    <row r="34" spans="1:1" ht="15" customHeight="1">
      <c r="A34" s="61" t="s">
        <v>82</v>
      </c>
    </row>
    <row r="35" spans="1:1" ht="15.6" customHeight="1">
      <c r="A35" s="62" t="s">
        <v>83</v>
      </c>
    </row>
    <row r="36" spans="1:1" ht="15" customHeight="1">
      <c r="A36" s="61" t="s">
        <v>84</v>
      </c>
    </row>
    <row r="37" spans="1:1" ht="15.6" customHeight="1">
      <c r="A37" s="62"/>
    </row>
    <row r="38" spans="1:1" ht="15.6" customHeight="1">
      <c r="A38" s="63" t="s">
        <v>85</v>
      </c>
    </row>
    <row r="39" spans="1:1" ht="45" customHeight="1">
      <c r="A39" s="60" t="s">
        <v>86</v>
      </c>
    </row>
    <row r="41" spans="1:1" ht="15.6" customHeight="1">
      <c r="A41" s="63" t="s">
        <v>87</v>
      </c>
    </row>
    <row r="42" spans="1:1" ht="15" customHeight="1">
      <c r="A42" s="178" t="s">
        <v>88</v>
      </c>
    </row>
    <row r="43" spans="1:1" ht="15" customHeight="1">
      <c r="A43" s="178" t="s">
        <v>89</v>
      </c>
    </row>
    <row r="44" spans="1:1" ht="15" customHeight="1">
      <c r="A44" s="178" t="s">
        <v>90</v>
      </c>
    </row>
    <row r="45" spans="1:1" ht="15" customHeight="1">
      <c r="A45" s="178" t="s">
        <v>91</v>
      </c>
    </row>
    <row r="46" spans="1:1" ht="15" customHeight="1">
      <c r="A46" s="178" t="s">
        <v>92</v>
      </c>
    </row>
    <row r="47" spans="1:1" ht="15" customHeight="1">
      <c r="A47" s="178" t="s">
        <v>93</v>
      </c>
    </row>
    <row r="48" spans="1:1" ht="15" customHeight="1">
      <c r="A48" s="178"/>
    </row>
    <row r="49" spans="1:1" ht="15" customHeight="1">
      <c r="A49" s="178" t="s">
        <v>94</v>
      </c>
    </row>
  </sheetData>
  <mergeCells count="1">
    <mergeCell ref="D10:G10"/>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G355"/>
  <sheetViews>
    <sheetView workbookViewId="0"/>
  </sheetViews>
  <sheetFormatPr defaultRowHeight="14.4"/>
  <cols>
    <col min="1" max="1" width="13.88671875" customWidth="1"/>
    <col min="2" max="2" width="57.88671875" customWidth="1"/>
    <col min="3" max="3" width="35.109375" customWidth="1"/>
    <col min="4" max="4" width="13.44140625" customWidth="1"/>
    <col min="5" max="5" width="63.88671875" customWidth="1"/>
    <col min="6" max="6" width="12.6640625" customWidth="1"/>
    <col min="8" max="8" width="53.33203125" customWidth="1"/>
    <col min="9" max="9" width="15.21875" customWidth="1"/>
    <col min="10" max="10" width="14.33203125" customWidth="1"/>
    <col min="11" max="11" width="12.109375" customWidth="1"/>
    <col min="12" max="12" width="53.33203125" customWidth="1"/>
    <col min="15" max="15" width="53.33203125" customWidth="1"/>
  </cols>
  <sheetData>
    <row r="1" spans="1:5">
      <c r="A1" s="196" t="s">
        <v>2</v>
      </c>
      <c r="B1" s="183"/>
      <c r="C1" s="183"/>
      <c r="D1" s="183"/>
      <c r="E1" s="183"/>
    </row>
    <row r="3" spans="1:5">
      <c r="A3" s="65" t="s">
        <v>95</v>
      </c>
      <c r="B3" s="202" t="s">
        <v>55</v>
      </c>
      <c r="C3" s="201"/>
      <c r="D3" s="201"/>
      <c r="E3" s="185"/>
    </row>
    <row r="5" spans="1:5">
      <c r="A5" s="66" t="s">
        <v>96</v>
      </c>
      <c r="B5" s="67" t="s">
        <v>97</v>
      </c>
      <c r="C5" s="67" t="s">
        <v>98</v>
      </c>
      <c r="D5" s="67" t="s">
        <v>99</v>
      </c>
      <c r="E5" s="68" t="s">
        <v>100</v>
      </c>
    </row>
    <row r="6" spans="1:5">
      <c r="A6" s="69"/>
      <c r="B6" t="s">
        <v>101</v>
      </c>
      <c r="C6" t="s">
        <v>102</v>
      </c>
      <c r="D6" t="s">
        <v>103</v>
      </c>
      <c r="E6" s="70"/>
    </row>
    <row r="7" spans="1:5">
      <c r="A7" s="69"/>
      <c r="B7" t="s">
        <v>104</v>
      </c>
      <c r="C7" t="s">
        <v>105</v>
      </c>
      <c r="D7" t="s">
        <v>103</v>
      </c>
      <c r="E7" s="70"/>
    </row>
    <row r="8" spans="1:5">
      <c r="A8" s="69"/>
      <c r="B8" t="s">
        <v>106</v>
      </c>
      <c r="C8" t="s">
        <v>107</v>
      </c>
      <c r="D8" t="s">
        <v>103</v>
      </c>
      <c r="E8" s="70"/>
    </row>
    <row r="9" spans="1:5">
      <c r="A9" s="71"/>
      <c r="B9" s="72" t="s">
        <v>108</v>
      </c>
      <c r="C9" s="72" t="s">
        <v>109</v>
      </c>
      <c r="D9" s="72" t="s">
        <v>103</v>
      </c>
      <c r="E9" s="73"/>
    </row>
    <row r="11" spans="1:5">
      <c r="A11" s="66" t="s">
        <v>110</v>
      </c>
      <c r="B11" s="67" t="s">
        <v>97</v>
      </c>
      <c r="C11" s="67" t="s">
        <v>111</v>
      </c>
      <c r="D11" s="67" t="s">
        <v>99</v>
      </c>
      <c r="E11" s="68" t="s">
        <v>100</v>
      </c>
    </row>
    <row r="12" spans="1:5">
      <c r="A12" s="69"/>
      <c r="B12" t="s">
        <v>112</v>
      </c>
      <c r="C12" s="3">
        <v>12</v>
      </c>
      <c r="D12" t="s">
        <v>113</v>
      </c>
      <c r="E12" s="70"/>
    </row>
    <row r="13" spans="1:5">
      <c r="A13" s="69"/>
      <c r="B13" t="s">
        <v>114</v>
      </c>
      <c r="C13">
        <f>IF(ISBLANK($C$12)=TRUE,"",HLOOKUP($C$12,'Highway Loading'!$C$155:$AD$156,2,FALSE))</f>
        <v>12.75</v>
      </c>
      <c r="D13" t="s">
        <v>113</v>
      </c>
      <c r="E13" s="70"/>
    </row>
    <row r="14" spans="1:5">
      <c r="A14" s="69"/>
      <c r="B14" t="s">
        <v>115</v>
      </c>
      <c r="C14" s="3">
        <v>0.25</v>
      </c>
      <c r="D14" t="s">
        <v>113</v>
      </c>
      <c r="E14" s="70"/>
    </row>
    <row r="15" spans="1:5">
      <c r="A15" s="69"/>
      <c r="B15" t="s">
        <v>116</v>
      </c>
      <c r="C15" s="171" t="s">
        <v>117</v>
      </c>
      <c r="E15" s="70"/>
    </row>
    <row r="16" spans="1:5">
      <c r="A16" s="69"/>
      <c r="B16" t="s">
        <v>118</v>
      </c>
      <c r="C16" s="171" t="s">
        <v>119</v>
      </c>
      <c r="E16" s="70"/>
    </row>
    <row r="17" spans="1:6">
      <c r="A17" s="69"/>
      <c r="B17" t="s">
        <v>120</v>
      </c>
      <c r="C17" s="166">
        <f>IF(ISBLANK($C$16)=TRUE,"",INDEX('Highway Loading'!$C$216:$AG$216,MATCH($C$16,'Highway Loading'!$C$215:$AG$215,0)))</f>
        <v>65000</v>
      </c>
      <c r="D17" t="s">
        <v>103</v>
      </c>
      <c r="E17" s="70"/>
    </row>
    <row r="18" spans="1:6">
      <c r="A18" s="69"/>
      <c r="B18" t="s">
        <v>121</v>
      </c>
      <c r="C18" s="5" t="s">
        <v>122</v>
      </c>
      <c r="E18" s="70"/>
    </row>
    <row r="19" spans="1:6">
      <c r="A19" s="69"/>
      <c r="B19" t="s">
        <v>123</v>
      </c>
      <c r="C19" s="3">
        <v>1</v>
      </c>
      <c r="E19" s="70"/>
    </row>
    <row r="20" spans="1:6">
      <c r="A20" s="69"/>
      <c r="B20" t="s">
        <v>124</v>
      </c>
      <c r="C20">
        <f>INDEX('Highway Loading'!I245:L253,MATCH(C18,'Highway Loading'!H245:H253,0),MATCH(C19,'Highway Loading'!I244:L244,0))</f>
        <v>0.72</v>
      </c>
      <c r="E20" s="70"/>
    </row>
    <row r="21" spans="1:6">
      <c r="A21" s="69"/>
      <c r="B21" t="s">
        <v>125</v>
      </c>
      <c r="C21" s="3" t="s">
        <v>126</v>
      </c>
      <c r="E21" s="70"/>
    </row>
    <row r="22" spans="1:6">
      <c r="A22" s="69"/>
      <c r="B22" t="s">
        <v>127</v>
      </c>
      <c r="C22">
        <f>IF(ISBLANK($C$21),"",IF(OR($C$21="SEAMLESS",$C$21="ELECTRIC RESISTANCE WELDED",$C$21="SUBMERGED ARC WELDED",$C$21="COMBINATION WELDED"),1,IF($C$21="FURNACE BUTT WELDED",0.6,IF($C$21="ELECTRIC FUSION WELDED, EVEN CLASS",1,IF($C$21="ELECTRIC FUSION WELDED, ODD CLASS",0.8,IF($C$13&gt;4.5,0.8,0.6))))))</f>
        <v>1</v>
      </c>
      <c r="E22" s="70"/>
    </row>
    <row r="23" spans="1:6">
      <c r="A23" s="69"/>
      <c r="B23" t="s">
        <v>128</v>
      </c>
      <c r="C23" s="3" t="s">
        <v>129</v>
      </c>
      <c r="E23" s="70"/>
    </row>
    <row r="24" spans="1:6">
      <c r="A24" s="69"/>
      <c r="B24" t="s">
        <v>130</v>
      </c>
      <c r="C24" s="74">
        <f>(VLOOKUP(C23,'Highway Loading'!B283:E292,2, FALSE))</f>
        <v>29000000</v>
      </c>
      <c r="D24" t="s">
        <v>103</v>
      </c>
      <c r="E24" s="70" t="str">
        <f>_xlfn.CONCAT("Typically ", (VLOOKUP(C23,'Highway Loading'!B283:E292,2, FALSE)), " psi")</f>
        <v>Typically 29000000 psi</v>
      </c>
      <c r="F24" s="11"/>
    </row>
    <row r="25" spans="1:6">
      <c r="A25" s="69"/>
      <c r="B25" t="s">
        <v>131</v>
      </c>
      <c r="C25">
        <f>(VLOOKUP(C23,'Highway Loading'!B283:E292,3, FALSE))</f>
        <v>0.3</v>
      </c>
      <c r="E25" s="70"/>
    </row>
    <row r="26" spans="1:6">
      <c r="A26" s="69"/>
      <c r="B26" t="s">
        <v>132</v>
      </c>
      <c r="C26">
        <f>(VLOOKUP(C23,'Highway Loading'!B283:E292,4, FALSE))</f>
        <v>6.4999999999999996E-6</v>
      </c>
      <c r="D26" t="s">
        <v>133</v>
      </c>
      <c r="E26" s="70"/>
    </row>
    <row r="27" spans="1:6">
      <c r="A27" s="69"/>
      <c r="B27" t="s">
        <v>134</v>
      </c>
      <c r="C27" s="3">
        <v>70</v>
      </c>
      <c r="D27" t="s">
        <v>135</v>
      </c>
      <c r="E27" s="76" t="s">
        <v>136</v>
      </c>
    </row>
    <row r="28" spans="1:6">
      <c r="A28" s="69"/>
      <c r="B28" t="s">
        <v>137</v>
      </c>
      <c r="C28">
        <f>IF(C27&gt;250, 1-(1/30/50*(C27-250)), 1)</f>
        <v>1</v>
      </c>
      <c r="E28" s="70"/>
    </row>
    <row r="29" spans="1:6">
      <c r="A29" s="69"/>
      <c r="B29" t="s">
        <v>138</v>
      </c>
      <c r="C29" s="3">
        <v>1000</v>
      </c>
      <c r="D29" t="s">
        <v>103</v>
      </c>
      <c r="E29" s="70" t="s">
        <v>139</v>
      </c>
    </row>
    <row r="30" spans="1:6">
      <c r="A30" s="69"/>
      <c r="B30" t="s">
        <v>140</v>
      </c>
      <c r="C30" s="5" t="s">
        <v>141</v>
      </c>
      <c r="E30" s="70"/>
    </row>
    <row r="31" spans="1:6">
      <c r="A31" s="69"/>
      <c r="B31" t="s">
        <v>142</v>
      </c>
      <c r="C31">
        <f>VLOOKUP(C30, 'Highway Loading'!B256:D261,2, FALSE)</f>
        <v>500</v>
      </c>
      <c r="D31" t="s">
        <v>103</v>
      </c>
      <c r="E31" s="70"/>
    </row>
    <row r="32" spans="1:6">
      <c r="A32" s="69"/>
      <c r="B32" t="s">
        <v>143</v>
      </c>
      <c r="C32">
        <f>VLOOKUP(C30, 'Highway Loading'!B256:D261,3, FALSE)</f>
        <v>10000</v>
      </c>
      <c r="D32" t="s">
        <v>103</v>
      </c>
      <c r="E32" s="70"/>
    </row>
    <row r="33" spans="1:7">
      <c r="A33" s="69"/>
      <c r="B33" t="s">
        <v>144</v>
      </c>
      <c r="C33" s="3">
        <v>120</v>
      </c>
      <c r="D33" t="s">
        <v>145</v>
      </c>
      <c r="E33" s="70" t="s">
        <v>146</v>
      </c>
    </row>
    <row r="34" spans="1:7">
      <c r="A34" s="69"/>
      <c r="B34" t="s">
        <v>147</v>
      </c>
      <c r="C34" s="3">
        <v>6</v>
      </c>
      <c r="D34" t="s">
        <v>148</v>
      </c>
      <c r="E34" s="70" t="s">
        <v>149</v>
      </c>
    </row>
    <row r="35" spans="1:7" ht="58.8" customHeight="1">
      <c r="A35" s="69"/>
      <c r="B35" t="s">
        <v>150</v>
      </c>
      <c r="C35" s="172">
        <v>14.75</v>
      </c>
      <c r="D35" t="s">
        <v>151</v>
      </c>
      <c r="E35" s="76" t="s">
        <v>152</v>
      </c>
    </row>
    <row r="36" spans="1:7">
      <c r="A36" s="69"/>
      <c r="B36" t="s">
        <v>153</v>
      </c>
      <c r="C36" s="3" t="s">
        <v>154</v>
      </c>
      <c r="E36" s="70"/>
    </row>
    <row r="37" spans="1:7">
      <c r="A37" s="69"/>
      <c r="B37" t="s">
        <v>155</v>
      </c>
      <c r="C37" s="3" t="s">
        <v>156</v>
      </c>
      <c r="E37" s="76" t="s">
        <v>157</v>
      </c>
    </row>
    <row r="38" spans="1:7">
      <c r="A38" s="69"/>
      <c r="B38" t="s">
        <v>158</v>
      </c>
      <c r="C38">
        <f>(VLOOKUP(C37,'Highway Loading'!B340:C341,2,FALSE))</f>
        <v>10000</v>
      </c>
      <c r="D38" t="s">
        <v>159</v>
      </c>
      <c r="E38" s="70"/>
    </row>
    <row r="39" spans="1:7">
      <c r="A39" s="71"/>
      <c r="B39" s="72" t="s">
        <v>160</v>
      </c>
      <c r="C39" s="173">
        <v>70</v>
      </c>
      <c r="D39" s="72" t="s">
        <v>135</v>
      </c>
      <c r="E39" s="167" t="s">
        <v>161</v>
      </c>
    </row>
    <row r="41" spans="1:7" ht="276" hidden="1" customHeight="1">
      <c r="A41" s="75" t="s">
        <v>162</v>
      </c>
      <c r="B41" s="200" t="s">
        <v>163</v>
      </c>
      <c r="C41" s="201"/>
      <c r="D41" s="201"/>
      <c r="E41" s="185"/>
    </row>
    <row r="43" spans="1:7">
      <c r="A43" s="66" t="s">
        <v>164</v>
      </c>
      <c r="B43" s="67" t="s">
        <v>97</v>
      </c>
      <c r="C43" s="67" t="s">
        <v>111</v>
      </c>
      <c r="D43" s="67" t="s">
        <v>99</v>
      </c>
      <c r="E43" s="68" t="s">
        <v>100</v>
      </c>
    </row>
    <row r="44" spans="1:7">
      <c r="A44" s="69"/>
      <c r="B44" t="s">
        <v>165</v>
      </c>
      <c r="C44">
        <f>C29*C13/(2*C14)</f>
        <v>25500</v>
      </c>
      <c r="D44" t="s">
        <v>103</v>
      </c>
      <c r="E44" s="70"/>
    </row>
    <row r="45" spans="1:7">
      <c r="A45" s="69"/>
      <c r="B45" t="s">
        <v>166</v>
      </c>
      <c r="C45">
        <f>C20*C22*C28*C17</f>
        <v>46800</v>
      </c>
      <c r="D45" t="s">
        <v>103</v>
      </c>
      <c r="E45" s="70"/>
    </row>
    <row r="46" spans="1:7">
      <c r="A46" s="69"/>
      <c r="E46" s="70"/>
    </row>
    <row r="47" spans="1:7">
      <c r="A47" s="69"/>
      <c r="B47" t="s">
        <v>167</v>
      </c>
      <c r="C47">
        <f>VLOOKUP(C31, N92:O95, 2, FALSE)</f>
        <v>2790.5294117647072</v>
      </c>
      <c r="E47" s="70"/>
      <c r="G47" s="2"/>
    </row>
    <row r="48" spans="1:7">
      <c r="A48" s="69"/>
      <c r="B48" t="s">
        <v>168</v>
      </c>
      <c r="C48">
        <f>IF(C31&lt;1000, C103, F103)</f>
        <v>1.0658474576271186</v>
      </c>
      <c r="E48" s="70"/>
    </row>
    <row r="49" spans="1:5">
      <c r="A49" s="69"/>
      <c r="B49" t="s">
        <v>169</v>
      </c>
      <c r="C49">
        <f>C110</f>
        <v>1.104107843137256</v>
      </c>
      <c r="E49" s="70"/>
    </row>
    <row r="50" spans="1:5">
      <c r="A50" s="69"/>
      <c r="B50" t="s">
        <v>170</v>
      </c>
      <c r="C50">
        <f>C47*C48*C49*(C33/(12^3))*C13</f>
        <v>2907.6414109908601</v>
      </c>
      <c r="D50" t="s">
        <v>103</v>
      </c>
      <c r="E50" s="70"/>
    </row>
    <row r="51" spans="1:5">
      <c r="A51" s="69"/>
      <c r="E51" s="70"/>
    </row>
    <row r="52" spans="1:5">
      <c r="A52" s="69"/>
      <c r="B52" t="s">
        <v>171</v>
      </c>
      <c r="C52">
        <f>C117</f>
        <v>1.476219512195122</v>
      </c>
      <c r="E52" s="70"/>
    </row>
    <row r="53" spans="1:5">
      <c r="A53" s="69"/>
      <c r="E53" s="70"/>
    </row>
    <row r="54" spans="1:5">
      <c r="A54" s="69"/>
      <c r="B54" t="s">
        <v>172</v>
      </c>
      <c r="C54">
        <f>VLOOKUP(C32, K120:L122, 2, FALSE)</f>
        <v>14.207908202727459</v>
      </c>
      <c r="E54" s="70"/>
    </row>
    <row r="55" spans="1:5">
      <c r="A55" s="69"/>
      <c r="B55" t="s">
        <v>173</v>
      </c>
      <c r="C55">
        <f>IF(C34&lt;6, C131, IF(C34&lt;8, F131, IF(C34&lt;10, I131, L131)))</f>
        <v>1.01675</v>
      </c>
      <c r="E55" s="70"/>
    </row>
    <row r="56" spans="1:5">
      <c r="A56" s="69"/>
      <c r="B56" t="s">
        <v>174</v>
      </c>
      <c r="C56">
        <f>IF(OR(C34&gt;=4, C13&gt;12),VLOOKUP(_xlfn.CONCAT(C36," ",C37),Tables!D143:F148,2,FALSE), VLOOKUP(_xlfn.CONCAT(C36," ",C37),Tables!A143:C148,2,FALSE))</f>
        <v>1</v>
      </c>
      <c r="E56" s="70"/>
    </row>
    <row r="57" spans="1:5">
      <c r="A57" s="69"/>
      <c r="B57" t="s">
        <v>175</v>
      </c>
      <c r="C57">
        <f>IF(OR(C34&gt;=4, C13&gt;12),VLOOKUP(_xlfn.CONCAT(C36," ",C37),Tables!D143:F148,3,FALSE), VLOOKUP(_xlfn.CONCAT(C36," ",C37),Tables!A143:C148,3,FALSE))</f>
        <v>1</v>
      </c>
      <c r="E57" s="70"/>
    </row>
    <row r="58" spans="1:5">
      <c r="A58" s="69"/>
      <c r="B58" t="s">
        <v>176</v>
      </c>
      <c r="C58">
        <f>C54*C55*C56*C57*C52*C38/12^2</f>
        <v>1480.9240049230664</v>
      </c>
      <c r="D58" t="s">
        <v>103</v>
      </c>
      <c r="E58" s="70"/>
    </row>
    <row r="59" spans="1:5">
      <c r="A59" s="69"/>
      <c r="B59" t="s">
        <v>177</v>
      </c>
      <c r="C59">
        <f>VLOOKUP(C32, K135:L137, 2, FALSE)</f>
        <v>9.7852745098039211</v>
      </c>
      <c r="E59" s="70"/>
    </row>
    <row r="60" spans="1:5">
      <c r="A60" s="69"/>
      <c r="B60" t="s">
        <v>178</v>
      </c>
      <c r="C60">
        <f>IF(C34&lt;6, C148, IF(C34&lt;8, F148, IF(C34&lt;10, I148, L148)))</f>
        <v>1.0024999999999999</v>
      </c>
      <c r="E60" s="70"/>
    </row>
    <row r="61" spans="1:5">
      <c r="A61" s="69"/>
      <c r="B61" t="s">
        <v>179</v>
      </c>
      <c r="C61">
        <f>C59*C60*C56*C57*C52*(C38/12^2)</f>
        <v>1005.6476525324307</v>
      </c>
      <c r="D61" t="s">
        <v>103</v>
      </c>
      <c r="E61" s="70"/>
    </row>
    <row r="62" spans="1:5">
      <c r="A62" s="69"/>
      <c r="E62" s="70"/>
    </row>
    <row r="63" spans="1:5">
      <c r="A63" s="69"/>
      <c r="B63" t="s">
        <v>180</v>
      </c>
      <c r="C63">
        <f>C29*(C13-C14)/(2*C14)</f>
        <v>25000</v>
      </c>
      <c r="D63" t="s">
        <v>103</v>
      </c>
      <c r="E63" s="70"/>
    </row>
    <row r="64" spans="1:5">
      <c r="A64" s="69"/>
      <c r="B64" t="s">
        <v>181</v>
      </c>
      <c r="C64">
        <f>C50+C58+C63</f>
        <v>29388.565415913927</v>
      </c>
      <c r="D64" t="s">
        <v>103</v>
      </c>
      <c r="E64" s="70"/>
    </row>
    <row r="65" spans="1:5">
      <c r="A65" s="69"/>
      <c r="B65" t="s">
        <v>182</v>
      </c>
      <c r="C65">
        <f>C61-(C24)*(C26)*(C27-C39)+((C25)*(C50+C63))</f>
        <v>9377.940075829687</v>
      </c>
      <c r="D65" t="s">
        <v>103</v>
      </c>
      <c r="E65" s="70"/>
    </row>
    <row r="66" spans="1:5">
      <c r="A66" s="69"/>
      <c r="B66" t="s">
        <v>183</v>
      </c>
      <c r="C66">
        <f>-C29</f>
        <v>-1000</v>
      </c>
      <c r="D66" t="s">
        <v>103</v>
      </c>
      <c r="E66" s="70"/>
    </row>
    <row r="67" spans="1:5">
      <c r="A67" s="69"/>
      <c r="B67" t="s">
        <v>184</v>
      </c>
      <c r="C67">
        <f>SQRT(0.5*((C64-C65)^2+(C65-C66)^2+(C66-C64)^2))</f>
        <v>26754.361090820439</v>
      </c>
      <c r="D67" t="s">
        <v>103</v>
      </c>
      <c r="E67" s="70"/>
    </row>
    <row r="68" spans="1:5">
      <c r="A68" s="69"/>
      <c r="E68" s="70"/>
    </row>
    <row r="69" spans="1:5">
      <c r="A69" s="69"/>
      <c r="B69" t="s">
        <v>185</v>
      </c>
      <c r="C69">
        <f>C17*C20</f>
        <v>46800</v>
      </c>
      <c r="D69" t="s">
        <v>103</v>
      </c>
      <c r="E69" s="70"/>
    </row>
    <row r="70" spans="1:5">
      <c r="A70" s="69"/>
      <c r="E70" s="70"/>
    </row>
    <row r="71" spans="1:5">
      <c r="A71" s="69"/>
      <c r="B71" t="s">
        <v>186</v>
      </c>
      <c r="C71">
        <f>VLOOKUP(_xlfn.CONCAT(C17, " ", C21), Tables!A152:E239, 4, FALSE)</f>
        <v>12000</v>
      </c>
      <c r="D71" t="s">
        <v>103</v>
      </c>
      <c r="E71" s="70"/>
    </row>
    <row r="72" spans="1:5">
      <c r="A72" s="69"/>
      <c r="B72" t="s">
        <v>187</v>
      </c>
      <c r="C72">
        <f>VLOOKUP(_xlfn.CONCAT(C17, " ", C21), Tables!A152:E239, 5, FALSE)</f>
        <v>23000</v>
      </c>
      <c r="D72" t="s">
        <v>103</v>
      </c>
      <c r="E72" s="70"/>
    </row>
    <row r="73" spans="1:5">
      <c r="A73" s="69"/>
      <c r="B73" t="s">
        <v>188</v>
      </c>
      <c r="C73">
        <f>C71*C20</f>
        <v>8640</v>
      </c>
      <c r="D73" t="s">
        <v>103</v>
      </c>
      <c r="E73" s="70"/>
    </row>
    <row r="74" spans="1:5">
      <c r="A74" s="71"/>
      <c r="B74" s="72" t="s">
        <v>189</v>
      </c>
      <c r="C74" s="72">
        <f>C72*C20</f>
        <v>16560</v>
      </c>
      <c r="D74" s="72" t="s">
        <v>103</v>
      </c>
      <c r="E74" s="73"/>
    </row>
    <row r="75" spans="1:5">
      <c r="A75" s="69"/>
    </row>
    <row r="76" spans="1:5">
      <c r="A76" s="69"/>
    </row>
    <row r="77" spans="1:5">
      <c r="A77" s="203" t="s">
        <v>190</v>
      </c>
      <c r="B77" s="67" t="s">
        <v>191</v>
      </c>
      <c r="C77" s="67" t="s">
        <v>192</v>
      </c>
      <c r="D77" s="67" t="s">
        <v>193</v>
      </c>
      <c r="E77" s="68" t="s">
        <v>194</v>
      </c>
    </row>
    <row r="78" spans="1:5">
      <c r="A78" s="204"/>
      <c r="B78" t="s">
        <v>101</v>
      </c>
      <c r="C78">
        <f>C44</f>
        <v>25500</v>
      </c>
      <c r="D78">
        <f>C45</f>
        <v>46800</v>
      </c>
      <c r="E78" s="70" t="str">
        <f>IF(C78&gt;D78, "Fail", "Pass")</f>
        <v>Pass</v>
      </c>
    </row>
    <row r="79" spans="1:5">
      <c r="A79" s="204"/>
      <c r="B79" t="s">
        <v>104</v>
      </c>
      <c r="C79">
        <f>C67</f>
        <v>26754.361090820439</v>
      </c>
      <c r="D79">
        <f>C69</f>
        <v>46800</v>
      </c>
      <c r="E79" s="70" t="str">
        <f>IF(C79&gt;D79, "Fail", "Pass")</f>
        <v>Pass</v>
      </c>
    </row>
    <row r="80" spans="1:5">
      <c r="A80" s="204"/>
      <c r="B80" t="s">
        <v>195</v>
      </c>
      <c r="C80">
        <f>C61</f>
        <v>1005.6476525324307</v>
      </c>
      <c r="D80">
        <f>C73</f>
        <v>8640</v>
      </c>
      <c r="E80" s="70" t="str">
        <f>IF(C80&gt;D80, "Fail", "Pass")</f>
        <v>Pass</v>
      </c>
    </row>
    <row r="81" spans="1:15">
      <c r="A81" s="205"/>
      <c r="B81" s="72" t="s">
        <v>196</v>
      </c>
      <c r="C81" s="72">
        <f>C58</f>
        <v>1480.9240049230664</v>
      </c>
      <c r="D81" s="72">
        <f>C74</f>
        <v>16560</v>
      </c>
      <c r="E81" s="73" t="str">
        <f>IF(C81&gt;D81, "Fail", "Pass")</f>
        <v>Pass</v>
      </c>
    </row>
    <row r="84" spans="1:15" ht="15" customHeight="1"/>
    <row r="85" spans="1:15" ht="15" customHeight="1">
      <c r="B85" s="216" t="s">
        <v>197</v>
      </c>
      <c r="C85" s="214"/>
      <c r="D85" s="89"/>
      <c r="E85" s="89"/>
    </row>
    <row r="86" spans="1:15">
      <c r="B86" s="9" t="s">
        <v>198</v>
      </c>
      <c r="C86" s="9">
        <f>C14/C13</f>
        <v>1.9607843137254902E-2</v>
      </c>
    </row>
    <row r="87" spans="1:15">
      <c r="B87" s="8" t="s">
        <v>199</v>
      </c>
      <c r="C87" s="8">
        <f>C34*12/C35</f>
        <v>4.8813559322033901</v>
      </c>
    </row>
    <row r="88" spans="1:15">
      <c r="B88" s="8" t="s">
        <v>200</v>
      </c>
      <c r="C88" s="8">
        <f>C35/C13</f>
        <v>1.1568627450980393</v>
      </c>
    </row>
    <row r="90" spans="1:15" ht="15" customHeight="1"/>
    <row r="91" spans="1:15" ht="15" customHeight="1">
      <c r="B91" s="191" t="s">
        <v>201</v>
      </c>
      <c r="C91" s="192"/>
      <c r="E91" s="191" t="s">
        <v>202</v>
      </c>
      <c r="F91" s="192"/>
      <c r="H91" s="191" t="s">
        <v>203</v>
      </c>
      <c r="I91" s="192"/>
      <c r="K91" s="191" t="s">
        <v>204</v>
      </c>
      <c r="L91" s="192"/>
      <c r="N91" s="174" t="s">
        <v>205</v>
      </c>
      <c r="O91" s="175" t="s">
        <v>206</v>
      </c>
    </row>
    <row r="92" spans="1:15">
      <c r="B92" s="80" t="s">
        <v>207</v>
      </c>
      <c r="C92" s="81">
        <f>_xlfn.XLOOKUP($C$86,Tables!$A$17:$A$38,Tables!$A$17:$A$38,,-1,1)</f>
        <v>1.7500000000000002E-2</v>
      </c>
      <c r="E92" s="80" t="s">
        <v>207</v>
      </c>
      <c r="F92" s="81">
        <f>_xlfn.XLOOKUP($C$86,Tables!$C$17:$C$38,Tables!$C$17:$C$38,,-1,1)</f>
        <v>1.7500000000000002E-2</v>
      </c>
      <c r="H92" s="80" t="s">
        <v>207</v>
      </c>
      <c r="I92" s="81">
        <f>_xlfn.XLOOKUP($C$86,Tables!$E$17:$E$38,Tables!$E$17:$E$38,,-1,1)</f>
        <v>1.7500000000000002E-2</v>
      </c>
      <c r="K92" s="80" t="s">
        <v>207</v>
      </c>
      <c r="L92" s="81">
        <f>_xlfn.XLOOKUP($C$86,Tables!$G$17:$G$38,Tables!$G$17:$G$38,,-1,1)</f>
        <v>1.7500000000000002E-2</v>
      </c>
      <c r="N92" s="158">
        <v>200</v>
      </c>
      <c r="O92" s="163">
        <f>C96</f>
        <v>3141.176470588237</v>
      </c>
    </row>
    <row r="93" spans="1:15">
      <c r="B93" s="82" t="s">
        <v>208</v>
      </c>
      <c r="C93" s="83">
        <f>_xlfn.XLOOKUP($C$86,Tables!$A$17:$A$38,Tables!$A$17:$A$38,,1,1)</f>
        <v>0.02</v>
      </c>
      <c r="E93" s="82" t="s">
        <v>208</v>
      </c>
      <c r="F93" s="83">
        <f>_xlfn.XLOOKUP($C$86,Tables!$C$17:$C$38,Tables!$C$17:$C$38,,1,1)</f>
        <v>0.02</v>
      </c>
      <c r="H93" s="82" t="s">
        <v>208</v>
      </c>
      <c r="I93" s="83">
        <f>_xlfn.XLOOKUP($C$86,Tables!$E$17:$E$38,Tables!$E$17:$E$38,,1,1)</f>
        <v>0.02</v>
      </c>
      <c r="K93" s="82" t="s">
        <v>208</v>
      </c>
      <c r="L93" s="83">
        <f>_xlfn.XLOOKUP($C$86,Tables!$G$17:$G$38,Tables!$G$17:$G$38,,1,1)</f>
        <v>0.02</v>
      </c>
      <c r="N93" s="158">
        <v>500</v>
      </c>
      <c r="O93" s="163">
        <f>F96</f>
        <v>2790.5294117647072</v>
      </c>
    </row>
    <row r="94" spans="1:15">
      <c r="B94" s="82" t="s">
        <v>209</v>
      </c>
      <c r="C94" s="83">
        <f>_xlfn.XLOOKUP(C92,Tables!$A$17:$A$38,Tables!$B$17:$B$38,,0)</f>
        <v>3900</v>
      </c>
      <c r="E94" s="82" t="s">
        <v>209</v>
      </c>
      <c r="F94" s="83">
        <f>_xlfn.XLOOKUP(F92,Tables!$C$17:$C$38,Tables!$D$17:$D$38,,0)</f>
        <v>3476</v>
      </c>
      <c r="H94" s="82" t="s">
        <v>209</v>
      </c>
      <c r="I94" s="83">
        <f>_xlfn.XLOOKUP(I92,Tables!$E$17:$E$38,Tables!$F$17:$F$38,,0)</f>
        <v>2791</v>
      </c>
      <c r="K94" s="82" t="s">
        <v>209</v>
      </c>
      <c r="L94" s="83">
        <f>_xlfn.XLOOKUP(L92,Tables!$G$17:$G$38,Tables!$H$17:$H$38,,0)</f>
        <v>2145</v>
      </c>
      <c r="N94" s="158">
        <v>1000</v>
      </c>
      <c r="O94" s="163">
        <f>I96</f>
        <v>2370.2745098039218</v>
      </c>
    </row>
    <row r="95" spans="1:15" ht="15" customHeight="1">
      <c r="B95" s="82" t="s">
        <v>210</v>
      </c>
      <c r="C95" s="83">
        <f>_xlfn.XLOOKUP(C93,Tables!$A$17:$A$38,Tables!$B$17:$B$38,,0)</f>
        <v>3000</v>
      </c>
      <c r="E95" s="82" t="s">
        <v>210</v>
      </c>
      <c r="F95" s="83">
        <f>_xlfn.XLOOKUP(F93,Tables!$C$17:$C$38,Tables!$D$17:$D$38,,0)</f>
        <v>2663</v>
      </c>
      <c r="H95" s="82" t="s">
        <v>210</v>
      </c>
      <c r="I95" s="83">
        <f>_xlfn.XLOOKUP(I93,Tables!$E$17:$E$38,Tables!$F$17:$F$38,,0)</f>
        <v>2292</v>
      </c>
      <c r="K95" s="82" t="s">
        <v>210</v>
      </c>
      <c r="L95" s="83">
        <f>_xlfn.XLOOKUP(L93,Tables!$G$17:$G$38,Tables!$H$17:$H$38,,0)</f>
        <v>1852</v>
      </c>
      <c r="N95" s="152">
        <v>2000</v>
      </c>
      <c r="O95" s="154">
        <f>L96</f>
        <v>1897.9607843137264</v>
      </c>
    </row>
    <row r="96" spans="1:15" ht="15" customHeight="1">
      <c r="B96" s="84" t="s">
        <v>206</v>
      </c>
      <c r="C96" s="85">
        <f>IFERROR(_xlfn.FORECAST.LINEAR($C$86,C94:C95,C92:C93),VLOOKUP($C$86,Tables!$A$17:$B$38,2, FALSE))</f>
        <v>3141.176470588237</v>
      </c>
      <c r="E96" s="84" t="s">
        <v>206</v>
      </c>
      <c r="F96" s="85">
        <f>IFERROR(_xlfn.FORECAST.LINEAR($C$86,F94:F95,F92:F93),VLOOKUP($C$86,Tables!$C$17:$D$38,2, FALSE))</f>
        <v>2790.5294117647072</v>
      </c>
      <c r="H96" s="84" t="s">
        <v>206</v>
      </c>
      <c r="I96" s="85">
        <f>IFERROR(_xlfn.FORECAST.LINEAR($C$86,I94:I95,I92:I93),VLOOKUP($C$86,Tables!$E$17:$F$38,2, FALSE))</f>
        <v>2370.2745098039218</v>
      </c>
      <c r="K96" s="84" t="s">
        <v>206</v>
      </c>
      <c r="L96" s="85">
        <f>IFERROR(_xlfn.FORECAST.LINEAR($C$86,L94:L95,L92:L93),VLOOKUP($C$86,Tables!$G$17:$H$38,2, FALSE))</f>
        <v>1897.9607843137264</v>
      </c>
    </row>
    <row r="97" spans="2:6" ht="15" customHeight="1"/>
    <row r="98" spans="2:6" ht="15" customHeight="1">
      <c r="B98" s="191" t="s">
        <v>211</v>
      </c>
      <c r="C98" s="192"/>
      <c r="E98" s="191" t="s">
        <v>212</v>
      </c>
      <c r="F98" s="192"/>
    </row>
    <row r="99" spans="2:6">
      <c r="B99" s="80" t="s">
        <v>207</v>
      </c>
      <c r="C99" s="81">
        <f>_xlfn.XLOOKUP($C$87,Tables!$A$43:$A$76,Tables!$A$43:$A$76,,-1,1)</f>
        <v>4</v>
      </c>
      <c r="E99" s="80" t="s">
        <v>207</v>
      </c>
      <c r="F99" s="81">
        <f>_xlfn.XLOOKUP($C$87,Tables!$C$43:$C$76,Tables!$C$43:$C$76,,-1,1)</f>
        <v>4</v>
      </c>
    </row>
    <row r="100" spans="2:6">
      <c r="B100" s="82" t="s">
        <v>208</v>
      </c>
      <c r="C100" s="83">
        <f>_xlfn.XLOOKUP($C$87,Tables!$A$43:$A$76,Tables!$A$43:$A$76,,1,1)</f>
        <v>5</v>
      </c>
      <c r="E100" s="82" t="s">
        <v>208</v>
      </c>
      <c r="F100" s="83">
        <f>_xlfn.XLOOKUP($C$87,Tables!$C$43:$C$76,Tables!$C$43:$C$76,,1,1)</f>
        <v>5</v>
      </c>
    </row>
    <row r="101" spans="2:6">
      <c r="B101" s="82" t="s">
        <v>209</v>
      </c>
      <c r="C101" s="83">
        <f>_xlfn.XLOOKUP($C$99,Tables!$A$43:$A$76,Tables!$B$43:$B$76,,0)</f>
        <v>0.98299999999999998</v>
      </c>
      <c r="E101" s="82" t="s">
        <v>209</v>
      </c>
      <c r="F101" s="83">
        <f>_xlfn.XLOOKUP($F$99,Tables!$C$43:$C$76,Tables!$D$43:$D$76,,0)</f>
        <v>0.89300000000000002</v>
      </c>
    </row>
    <row r="102" spans="2:6">
      <c r="B102" s="82" t="s">
        <v>210</v>
      </c>
      <c r="C102" s="83">
        <f>_xlfn.XLOOKUP($C$100,Tables!$A$43:$A$76,Tables!$B$43:$B$76,,0)</f>
        <v>1.077</v>
      </c>
      <c r="E102" s="82" t="s">
        <v>210</v>
      </c>
      <c r="F102" s="83">
        <f>_xlfn.XLOOKUP($F$100,Tables!$C$43:$C$76,Tables!$D$43:$D$76,,0)</f>
        <v>0.96399999999999997</v>
      </c>
    </row>
    <row r="103" spans="2:6" ht="15" customHeight="1">
      <c r="B103" s="84" t="s">
        <v>213</v>
      </c>
      <c r="C103" s="85">
        <f>IFERROR(_xlfn.FORECAST.LINEAR($C$87,$C$101:$C$102,$C$99:$C$100),VLOOKUP($C$87,Tables!$A$43:$B$76,2, FALSE))</f>
        <v>1.0658474576271186</v>
      </c>
      <c r="E103" s="84" t="s">
        <v>214</v>
      </c>
      <c r="F103" s="85">
        <f>IFERROR(_xlfn.FORECAST.LINEAR($C$87,$F$101:$F$102,$F$99:$F$100),VLOOKUP($C$87,Tables!$C$43:$D$76,2, FALSE))</f>
        <v>0.95557627118644062</v>
      </c>
    </row>
    <row r="105" spans="2:6" ht="15" customHeight="1">
      <c r="B105" s="191" t="s">
        <v>215</v>
      </c>
      <c r="C105" s="192"/>
    </row>
    <row r="106" spans="2:6">
      <c r="B106" s="80" t="s">
        <v>207</v>
      </c>
      <c r="C106" s="81">
        <f>_xlfn.XLOOKUP($C$88,Tables!$A$80:$A$87,Tables!$A$80:$A$87,,-1,1)</f>
        <v>1.1499999999999999</v>
      </c>
    </row>
    <row r="107" spans="2:6">
      <c r="B107" s="82" t="s">
        <v>208</v>
      </c>
      <c r="C107" s="83">
        <f>_xlfn.XLOOKUP($C$88,Tables!$A$80:$A$87,Tables!$A$80:$A$87,,1,1)</f>
        <v>1.2</v>
      </c>
    </row>
    <row r="108" spans="2:6">
      <c r="B108" s="82" t="s">
        <v>209</v>
      </c>
      <c r="C108" s="83">
        <f>_xlfn.XLOOKUP($C$106,Tables!$A$80:$A$87,Tables!$B$80:$B$87,,0)</f>
        <v>1.0903</v>
      </c>
    </row>
    <row r="109" spans="2:6">
      <c r="B109" s="82" t="s">
        <v>210</v>
      </c>
      <c r="C109" s="83">
        <f>_xlfn.XLOOKUP($C$107,Tables!$A$80:$A$87,Tables!$B$80:$B$87,,0)</f>
        <v>1.1909000000000001</v>
      </c>
    </row>
    <row r="110" spans="2:6" ht="15" customHeight="1">
      <c r="B110" s="84" t="s">
        <v>215</v>
      </c>
      <c r="C110" s="85">
        <f>IFERROR(_xlfn.FORECAST.LINEAR($C$88,$C$108:$C$109,$C$106:$C$107),VLOOKUP($C$88,Tables!$A$80:$B$87,2, FALSE))</f>
        <v>1.104107843137256</v>
      </c>
    </row>
    <row r="111" spans="2:6" ht="15" customHeight="1"/>
    <row r="112" spans="2:6" ht="15" customHeight="1">
      <c r="B112" s="191" t="s">
        <v>216</v>
      </c>
      <c r="C112" s="192"/>
    </row>
    <row r="113" spans="2:12">
      <c r="B113" s="80" t="s">
        <v>207</v>
      </c>
      <c r="C113" s="81">
        <f>_xlfn.XLOOKUP($C$34,Tables!$A$91:$A$94,Tables!$A$91:$A$94,,-1,1)</f>
        <v>5.22</v>
      </c>
    </row>
    <row r="114" spans="2:12">
      <c r="B114" s="82" t="s">
        <v>208</v>
      </c>
      <c r="C114" s="83">
        <f>_xlfn.XLOOKUP($C$34,Tables!$A$91:$A$94,Tables!$A$91:$A$94,,1,1)</f>
        <v>21.62</v>
      </c>
    </row>
    <row r="115" spans="2:12">
      <c r="B115" s="82" t="s">
        <v>209</v>
      </c>
      <c r="C115" s="83">
        <f>_xlfn.XLOOKUP($C$113,Tables!$A$91:$A$94,Tables!$B$91:$B$94,,0)</f>
        <v>1.5</v>
      </c>
    </row>
    <row r="116" spans="2:12">
      <c r="B116" s="82" t="s">
        <v>210</v>
      </c>
      <c r="C116" s="83">
        <f>_xlfn.XLOOKUP($C$114,Tables!$A$91:$A$94,Tables!$B$91:$B$94,,0)</f>
        <v>1</v>
      </c>
    </row>
    <row r="117" spans="2:12" ht="15" customHeight="1">
      <c r="B117" s="84" t="s">
        <v>216</v>
      </c>
      <c r="C117" s="85">
        <f>IFERROR(_xlfn.FORECAST.LINEAR($C$34,C115:C116,C113:C114),VLOOKUP($C$34,Tables!$A$91:$B$94,2, FALSE))</f>
        <v>1.476219512195122</v>
      </c>
    </row>
    <row r="118" spans="2:12" ht="15" customHeight="1"/>
    <row r="119" spans="2:12" ht="15" customHeight="1">
      <c r="B119" s="191" t="s">
        <v>217</v>
      </c>
      <c r="C119" s="192"/>
      <c r="E119" s="191" t="s">
        <v>218</v>
      </c>
      <c r="F119" s="192"/>
      <c r="H119" s="191" t="s">
        <v>219</v>
      </c>
      <c r="I119" s="192"/>
      <c r="K119" s="174" t="s">
        <v>220</v>
      </c>
      <c r="L119" s="175" t="s">
        <v>206</v>
      </c>
    </row>
    <row r="120" spans="2:12">
      <c r="B120" s="80" t="s">
        <v>207</v>
      </c>
      <c r="C120" s="81">
        <f>_xlfn.XLOOKUP($C$86,Tables!A99:A118,Tables!A99:A118,,-1,1)</f>
        <v>1.729E-2</v>
      </c>
      <c r="E120" s="80" t="s">
        <v>207</v>
      </c>
      <c r="F120" s="81">
        <f>_xlfn.XLOOKUP($C$86,Tables!C99:C118,Tables!C99:C118,,-1,1)</f>
        <v>1.729E-2</v>
      </c>
      <c r="H120" s="80" t="s">
        <v>207</v>
      </c>
      <c r="I120" s="81">
        <f>_xlfn.XLOOKUP($C$86,Tables!E99:E118,Tables!E99:E118,,-1,1)</f>
        <v>1.729E-2</v>
      </c>
      <c r="K120" s="158">
        <v>5000</v>
      </c>
      <c r="L120" s="163">
        <f>C124</f>
        <v>19.575475201845446</v>
      </c>
    </row>
    <row r="121" spans="2:12">
      <c r="B121" s="82" t="s">
        <v>208</v>
      </c>
      <c r="C121" s="83">
        <f>_xlfn.XLOOKUP($C$86,Tables!A99:A118,Tables!A99:A118,,1,1)</f>
        <v>2.018E-2</v>
      </c>
      <c r="E121" s="82" t="s">
        <v>208</v>
      </c>
      <c r="F121" s="83">
        <f>_xlfn.XLOOKUP($C$86,Tables!C99:C118,Tables!C99:C118,,1,1)</f>
        <v>2.018E-2</v>
      </c>
      <c r="H121" s="82" t="s">
        <v>208</v>
      </c>
      <c r="I121" s="83">
        <f>_xlfn.XLOOKUP($C$86,Tables!E99:E118,Tables!E99:E118,,1,1)</f>
        <v>2.018E-2</v>
      </c>
      <c r="K121" s="158">
        <v>10000</v>
      </c>
      <c r="L121" s="163">
        <f>F124</f>
        <v>14.207908202727459</v>
      </c>
    </row>
    <row r="122" spans="2:12" ht="15" customHeight="1">
      <c r="B122" s="82" t="s">
        <v>209</v>
      </c>
      <c r="C122" s="83">
        <f>_xlfn.XLOOKUP(C120,Tables!A99:A118,Tables!B99:B118,,0)</f>
        <v>20.338999999999999</v>
      </c>
      <c r="E122" s="82" t="s">
        <v>209</v>
      </c>
      <c r="F122" s="83">
        <f>_xlfn.XLOOKUP(F120,Tables!C99:C118,Tables!D99:D118,,0)</f>
        <v>14.641</v>
      </c>
      <c r="H122" s="82" t="s">
        <v>209</v>
      </c>
      <c r="I122" s="83">
        <f>_xlfn.XLOOKUP(I120,Tables!E99:E118,Tables!F99:F118,,0)</f>
        <v>9.3870000000000005</v>
      </c>
      <c r="K122" s="152">
        <v>20000</v>
      </c>
      <c r="L122" s="154">
        <f>I124</f>
        <v>9.4856486871565231</v>
      </c>
    </row>
    <row r="123" spans="2:12">
      <c r="B123" s="82" t="s">
        <v>210</v>
      </c>
      <c r="C123" s="83">
        <f>_xlfn.XLOOKUP(C121,Tables!A99:A118,Tables!B99:B118,,0)</f>
        <v>19.387</v>
      </c>
      <c r="E123" s="82" t="s">
        <v>210</v>
      </c>
      <c r="F123" s="83">
        <f>_xlfn.XLOOKUP(F121,Tables!C99:C118,Tables!D99:D118,,0)</f>
        <v>14.101000000000001</v>
      </c>
      <c r="H123" s="82" t="s">
        <v>210</v>
      </c>
      <c r="I123" s="83">
        <f>_xlfn.XLOOKUP(I121,Tables!E99:E118,Tables!F99:F118,,0)</f>
        <v>9.51</v>
      </c>
    </row>
    <row r="124" spans="2:12" ht="15" customHeight="1">
      <c r="B124" s="84" t="s">
        <v>206</v>
      </c>
      <c r="C124" s="85">
        <f>IFERROR(_xlfn.FORECAST.LINEAR($C$86,C122:C123,C120:C121),VLOOKUP($C$86,Tables!A17:B38,2, FALSE))</f>
        <v>19.575475201845446</v>
      </c>
      <c r="E124" s="84" t="s">
        <v>206</v>
      </c>
      <c r="F124" s="85">
        <f>IFERROR(_xlfn.FORECAST.LINEAR($C$86,F122:F123,F120:F121),VLOOKUP($C$86,Tables!C17:D38,2, FALSE))</f>
        <v>14.207908202727459</v>
      </c>
      <c r="H124" s="84" t="s">
        <v>206</v>
      </c>
      <c r="I124" s="85">
        <f>IFERROR(_xlfn.FORECAST.LINEAR($C$86,I122:I123,I120:I121),VLOOKUP($C$86,Tables!E17:F38,2, FALSE))</f>
        <v>9.4856486871565231</v>
      </c>
    </row>
    <row r="125" spans="2:12" ht="15" customHeight="1"/>
    <row r="126" spans="2:12" ht="15" customHeight="1">
      <c r="B126" s="191" t="s">
        <v>221</v>
      </c>
      <c r="C126" s="192"/>
      <c r="E126" s="191" t="s">
        <v>222</v>
      </c>
      <c r="F126" s="192"/>
      <c r="H126" s="191" t="s">
        <v>223</v>
      </c>
      <c r="I126" s="192"/>
      <c r="K126" s="191" t="s">
        <v>224</v>
      </c>
      <c r="L126" s="192"/>
    </row>
    <row r="127" spans="2:12">
      <c r="B127" s="80" t="s">
        <v>207</v>
      </c>
      <c r="C127" s="81">
        <f>_xlfn.XLOOKUP($C$13,Tables!A123:A139,Tables!A123:A139,,-1,1)</f>
        <v>12</v>
      </c>
      <c r="E127" s="80" t="s">
        <v>207</v>
      </c>
      <c r="F127" s="81">
        <f>_xlfn.XLOOKUP($C$13,Tables!C123:C139,Tables!C123:C139,,-1,1)</f>
        <v>12</v>
      </c>
      <c r="H127" s="80" t="s">
        <v>207</v>
      </c>
      <c r="I127" s="81">
        <f>_xlfn.XLOOKUP($C$13,Tables!E123:E139,Tables!E123:E139,,-1,1)</f>
        <v>12</v>
      </c>
      <c r="K127" s="80" t="s">
        <v>207</v>
      </c>
      <c r="L127" s="81">
        <f>_xlfn.XLOOKUP($C$13,Tables!G123:G139,Tables!G123:G139,,-1,1)</f>
        <v>12</v>
      </c>
    </row>
    <row r="128" spans="2:12">
      <c r="B128" s="82" t="s">
        <v>208</v>
      </c>
      <c r="C128" s="83">
        <f>_xlfn.XLOOKUP($C$13,Tables!A123:A139,Tables!A123:A139,,1,1)</f>
        <v>14</v>
      </c>
      <c r="E128" s="82" t="s">
        <v>208</v>
      </c>
      <c r="F128" s="83">
        <f>_xlfn.XLOOKUP($C$13,Tables!C123:C139,Tables!C123:C139,,1,1)</f>
        <v>14</v>
      </c>
      <c r="H128" s="82" t="s">
        <v>208</v>
      </c>
      <c r="I128" s="83">
        <f>_xlfn.XLOOKUP($C$13,Tables!E123:E139,Tables!E123:E139,,1,1)</f>
        <v>14</v>
      </c>
      <c r="K128" s="82" t="s">
        <v>208</v>
      </c>
      <c r="L128" s="83">
        <f>_xlfn.XLOOKUP($C$13,Tables!G123:G139,Tables!G123:G139,,1,1)</f>
        <v>14</v>
      </c>
    </row>
    <row r="129" spans="2:12">
      <c r="B129" s="82" t="s">
        <v>209</v>
      </c>
      <c r="C129" s="83">
        <f>_xlfn.XLOOKUP(C127,Tables!A123:A139,Tables!B123:B139,,0)</f>
        <v>1.272</v>
      </c>
      <c r="E129" s="82" t="s">
        <v>209</v>
      </c>
      <c r="F129" s="83">
        <f>_xlfn.XLOOKUP(F127,Tables!C123:C139,Tables!D123:D139,,0)</f>
        <v>1.0309999999999999</v>
      </c>
      <c r="H129" s="82" t="s">
        <v>209</v>
      </c>
      <c r="I129" s="83">
        <f>_xlfn.XLOOKUP(I127,Tables!E123:E139,Tables!F123:F139,,0)</f>
        <v>0.84399999999999997</v>
      </c>
      <c r="K129" s="82" t="s">
        <v>209</v>
      </c>
      <c r="L129" s="83">
        <f>_xlfn.XLOOKUP(L127,Tables!G123:G139,Tables!H123:H139,,0)</f>
        <v>0.67400000000000004</v>
      </c>
    </row>
    <row r="130" spans="2:12">
      <c r="B130" s="82" t="s">
        <v>210</v>
      </c>
      <c r="C130" s="83">
        <f>_xlfn.XLOOKUP(C128,Tables!A123:A139,Tables!B123:B139,,0)</f>
        <v>1.2230000000000001</v>
      </c>
      <c r="E130" s="82" t="s">
        <v>210</v>
      </c>
      <c r="F130" s="83">
        <f>_xlfn.XLOOKUP(F128,Tables!C123:C139,Tables!D123:D139,,0)</f>
        <v>0.99299999999999999</v>
      </c>
      <c r="H130" s="82" t="s">
        <v>210</v>
      </c>
      <c r="I130" s="83">
        <f>_xlfn.XLOOKUP(I128,Tables!E123:E139,Tables!F123:F139,,0)</f>
        <v>0.81200000000000006</v>
      </c>
      <c r="K130" s="82" t="s">
        <v>210</v>
      </c>
      <c r="L130" s="83">
        <f>_xlfn.XLOOKUP(L128,Tables!G123:G139,Tables!H123:H139,,0)</f>
        <v>0.65300000000000002</v>
      </c>
    </row>
    <row r="131" spans="2:12" ht="15" customHeight="1">
      <c r="B131" s="84" t="s">
        <v>206</v>
      </c>
      <c r="C131" s="85">
        <f>IFERROR(_xlfn.FORECAST.LINEAR($C$13,C129:C130,C127:C128),VLOOKUP($C$13,Tables!A123:B138,2, FALSE))</f>
        <v>1.253625</v>
      </c>
      <c r="E131" s="84" t="s">
        <v>206</v>
      </c>
      <c r="F131" s="85">
        <f>IFERROR(_xlfn.FORECAST.LINEAR($C$13,F129:F130,F127:F128),VLOOKUP($C$13,Tables!C123:D138,2, FALSE))</f>
        <v>1.01675</v>
      </c>
      <c r="H131" s="84" t="s">
        <v>206</v>
      </c>
      <c r="I131" s="85">
        <f>IFERROR(_xlfn.FORECAST.LINEAR($C$13,I129:I130,I127:I128),VLOOKUP($C$13,Tables!E123:F138,2, FALSE))</f>
        <v>0.83200000000000007</v>
      </c>
      <c r="K131" s="84" t="s">
        <v>206</v>
      </c>
      <c r="L131" s="85">
        <f>IFERROR(_xlfn.FORECAST.LINEAR($C$13,L129:L130,L127:L128),VLOOKUP($C$13,Tables!G123:H138,2, FALSE))</f>
        <v>0.66612499999999986</v>
      </c>
    </row>
    <row r="133" spans="2:12" ht="15" customHeight="1"/>
    <row r="134" spans="2:12" ht="15" customHeight="1">
      <c r="B134" s="191" t="s">
        <v>225</v>
      </c>
      <c r="C134" s="192"/>
      <c r="E134" s="191" t="s">
        <v>226</v>
      </c>
      <c r="F134" s="192"/>
      <c r="H134" s="191" t="s">
        <v>227</v>
      </c>
      <c r="I134" s="192"/>
      <c r="K134" s="174" t="s">
        <v>220</v>
      </c>
      <c r="L134" s="175" t="s">
        <v>206</v>
      </c>
    </row>
    <row r="135" spans="2:12">
      <c r="B135" s="80" t="s">
        <v>207</v>
      </c>
      <c r="C135" s="81">
        <f>_xlfn.XLOOKUP($C$86,Tables!A244:A263,Tables!A244:A263,,-1,1)</f>
        <v>1.4999999999999999E-2</v>
      </c>
      <c r="E135" s="80" t="s">
        <v>207</v>
      </c>
      <c r="F135" s="81">
        <f>_xlfn.XLOOKUP($C$86,Tables!C244:C263,Tables!C244:C263,,-1,1)</f>
        <v>1.4999999999999999E-2</v>
      </c>
      <c r="H135" s="80" t="s">
        <v>207</v>
      </c>
      <c r="I135" s="81">
        <f>_xlfn.XLOOKUP($C$86,Tables!E244:E263,Tables!E244:E263,,-1,1)</f>
        <v>1.4999999999999999E-2</v>
      </c>
      <c r="K135" s="158">
        <v>5000</v>
      </c>
      <c r="L135" s="163">
        <f>C139</f>
        <v>14.433235294117646</v>
      </c>
    </row>
    <row r="136" spans="2:12">
      <c r="B136" s="82" t="s">
        <v>208</v>
      </c>
      <c r="C136" s="83">
        <f>_xlfn.XLOOKUP($C$86,Tables!A244:A263,Tables!A244:A263,,1,1)</f>
        <v>0.02</v>
      </c>
      <c r="E136" s="82" t="s">
        <v>208</v>
      </c>
      <c r="F136" s="83">
        <f>_xlfn.XLOOKUP($C$86,Tables!C244:C263,Tables!C244:C263,,1,1)</f>
        <v>0.02</v>
      </c>
      <c r="H136" s="82" t="s">
        <v>208</v>
      </c>
      <c r="I136" s="83">
        <f>_xlfn.XLOOKUP($C$86,Tables!E244:E263,Tables!E244:E263,,1,1)</f>
        <v>0.02</v>
      </c>
      <c r="K136" s="158">
        <v>10000</v>
      </c>
      <c r="L136" s="163">
        <f>F139</f>
        <v>9.7852745098039211</v>
      </c>
    </row>
    <row r="137" spans="2:12" ht="15" customHeight="1">
      <c r="B137" s="82" t="s">
        <v>209</v>
      </c>
      <c r="C137" s="83">
        <f>_xlfn.XLOOKUP(C135,Tables!A244:A263,Tables!B244:B263,,0)</f>
        <v>15</v>
      </c>
      <c r="E137" s="82" t="s">
        <v>209</v>
      </c>
      <c r="F137" s="83">
        <f>_xlfn.XLOOKUP(F135,Tables!C244:C263,Tables!D244:D263,,0)</f>
        <v>10</v>
      </c>
      <c r="H137" s="82" t="s">
        <v>209</v>
      </c>
      <c r="I137" s="83">
        <f>_xlfn.XLOOKUP(I135,Tables!E244:E263,Tables!F244:F263,,0)</f>
        <v>6.5839999999999996</v>
      </c>
      <c r="K137" s="152">
        <v>20000</v>
      </c>
      <c r="L137" s="154">
        <f>I139</f>
        <v>6.5839999999999996</v>
      </c>
    </row>
    <row r="138" spans="2:12">
      <c r="B138" s="82" t="s">
        <v>210</v>
      </c>
      <c r="C138" s="83">
        <f>_xlfn.XLOOKUP(C136,Tables!A244:A263,Tables!B244:B263,,0)</f>
        <v>14.385</v>
      </c>
      <c r="E138" s="82" t="s">
        <v>210</v>
      </c>
      <c r="F138" s="83">
        <f>_xlfn.XLOOKUP(F136,Tables!C244:C263,Tables!D244:D263,,0)</f>
        <v>9.7669999999999995</v>
      </c>
      <c r="H138" s="82" t="s">
        <v>210</v>
      </c>
      <c r="I138" s="83">
        <f>_xlfn.XLOOKUP(I136,Tables!E244:E263,Tables!F244:F263,,0)</f>
        <v>6.5839999999999996</v>
      </c>
    </row>
    <row r="139" spans="2:12" ht="15" customHeight="1">
      <c r="B139" s="84" t="s">
        <v>206</v>
      </c>
      <c r="C139" s="85">
        <f>IFERROR(_xlfn.FORECAST.LINEAR($C$86,C137:C138,C135:C136),VLOOKUP($C$86,Tables!A244:F255,2, FALSE))</f>
        <v>14.433235294117646</v>
      </c>
      <c r="E139" s="84" t="s">
        <v>206</v>
      </c>
      <c r="F139" s="85">
        <f>IFERROR(_xlfn.FORECAST.LINEAR($C$86,F137:F138,F135:F136),VLOOKUP($C$86,Tables!C244:H255,2, FALSE))</f>
        <v>9.7852745098039211</v>
      </c>
      <c r="H139" s="84" t="s">
        <v>206</v>
      </c>
      <c r="I139" s="85">
        <f>IFERROR(_xlfn.FORECAST.LINEAR($C$86,I137:I138,I135:I136),VLOOKUP($C$86,Tables!E244:J255,2, FALSE))</f>
        <v>6.5839999999999996</v>
      </c>
    </row>
    <row r="142" spans="2:12" ht="15" customHeight="1"/>
    <row r="143" spans="2:12" ht="15" customHeight="1">
      <c r="B143" s="191" t="s">
        <v>228</v>
      </c>
      <c r="C143" s="192"/>
      <c r="E143" s="191" t="s">
        <v>229</v>
      </c>
      <c r="F143" s="192"/>
      <c r="H143" s="191" t="s">
        <v>230</v>
      </c>
      <c r="I143" s="192"/>
      <c r="K143" s="191" t="s">
        <v>231</v>
      </c>
      <c r="L143" s="192"/>
    </row>
    <row r="144" spans="2:12">
      <c r="B144" s="80" t="s">
        <v>207</v>
      </c>
      <c r="C144" s="81">
        <f>_xlfn.XLOOKUP($C$13,Tables!A260:A274,Tables!A260:A274,,-1,1)</f>
        <v>12</v>
      </c>
      <c r="E144" s="80" t="s">
        <v>207</v>
      </c>
      <c r="F144" s="81">
        <f>_xlfn.XLOOKUP($C$13,Tables!C260:C274,Tables!C260:C274,,-1,1)</f>
        <v>12</v>
      </c>
      <c r="H144" s="80" t="s">
        <v>207</v>
      </c>
      <c r="I144" s="81">
        <f>_xlfn.XLOOKUP($C$13,Tables!E260:E274,Tables!E260:E274,,-1,1)</f>
        <v>12</v>
      </c>
      <c r="K144" s="80" t="s">
        <v>207</v>
      </c>
      <c r="L144" s="81">
        <f>_xlfn.XLOOKUP($C$13,Tables!G260:G274,Tables!G260:G274,,-1,1)</f>
        <v>12</v>
      </c>
    </row>
    <row r="145" spans="1:32">
      <c r="B145" s="82" t="s">
        <v>208</v>
      </c>
      <c r="C145" s="83">
        <f>_xlfn.XLOOKUP($C$13,Tables!A260:A274,Tables!A260:A274,,1,1)</f>
        <v>14</v>
      </c>
      <c r="E145" s="82" t="s">
        <v>208</v>
      </c>
      <c r="F145" s="83">
        <f>_xlfn.XLOOKUP($C$13,Tables!C260:C274,Tables!C260:C274,,1,1)</f>
        <v>14</v>
      </c>
      <c r="H145" s="82" t="s">
        <v>208</v>
      </c>
      <c r="I145" s="83">
        <f>_xlfn.XLOOKUP($C$13,Tables!E260:E274,Tables!E260:E274,,1,1)</f>
        <v>14</v>
      </c>
      <c r="K145" s="82" t="s">
        <v>208</v>
      </c>
      <c r="L145" s="83">
        <f>_xlfn.XLOOKUP($C$13,Tables!G260:G274,Tables!G260:G274,,1,1)</f>
        <v>14</v>
      </c>
    </row>
    <row r="146" spans="1:32">
      <c r="B146" s="82" t="s">
        <v>209</v>
      </c>
      <c r="C146" s="83">
        <f>_xlfn.XLOOKUP(C144,Tables!A260:A274,Tables!B260:B274,,0)</f>
        <v>1.169</v>
      </c>
      <c r="E146" s="82" t="s">
        <v>209</v>
      </c>
      <c r="F146" s="83">
        <f>_xlfn.XLOOKUP(F144,Tables!C260:C274,Tables!D260:D274,,0)</f>
        <v>1.022</v>
      </c>
      <c r="H146" s="82" t="s">
        <v>209</v>
      </c>
      <c r="I146" s="83">
        <f>_xlfn.XLOOKUP(I144,Tables!E260:E274,Tables!F260:F274,,0)</f>
        <v>0.91800000000000004</v>
      </c>
      <c r="K146" s="82" t="s">
        <v>209</v>
      </c>
      <c r="L146" s="83">
        <f>_xlfn.XLOOKUP(L144,Tables!G260:G274,Tables!H260:H274,,0)</f>
        <v>0.82</v>
      </c>
    </row>
    <row r="147" spans="1:32">
      <c r="B147" s="82" t="s">
        <v>210</v>
      </c>
      <c r="C147" s="83">
        <f>_xlfn.XLOOKUP(C145,Tables!A260:A274,Tables!B260:B274,,0)</f>
        <v>1.1299999999999999</v>
      </c>
      <c r="E147" s="82" t="s">
        <v>210</v>
      </c>
      <c r="F147" s="83">
        <f>_xlfn.XLOOKUP(F145,Tables!C260:C274,Tables!D260:D274,,0)</f>
        <v>0.97</v>
      </c>
      <c r="H147" s="82" t="s">
        <v>210</v>
      </c>
      <c r="I147" s="83">
        <f>_xlfn.XLOOKUP(I145,Tables!E260:E274,Tables!F260:F274,,0)</f>
        <v>0.86</v>
      </c>
      <c r="K147" s="82" t="s">
        <v>210</v>
      </c>
      <c r="L147" s="83">
        <f>_xlfn.XLOOKUP(L145,Tables!G260:G274,Tables!H260:H274,,0)</f>
        <v>0.76300000000000001</v>
      </c>
    </row>
    <row r="148" spans="1:32" ht="15" customHeight="1">
      <c r="B148" s="84" t="s">
        <v>206</v>
      </c>
      <c r="C148" s="85">
        <f>IFERROR(_xlfn.FORECAST.LINEAR($C$13,C146:C147,C144:C145),VLOOKUP($C$13,Tables!A260:H274,2, FALSE))</f>
        <v>1.1543749999999999</v>
      </c>
      <c r="E148" s="84" t="s">
        <v>206</v>
      </c>
      <c r="F148" s="85">
        <f>IFERROR(_xlfn.FORECAST.LINEAR($C$13,F146:F147,F144:F145),VLOOKUP($C$13,Tables!C260:J274,2, FALSE))</f>
        <v>1.0024999999999999</v>
      </c>
      <c r="H148" s="84" t="s">
        <v>206</v>
      </c>
      <c r="I148" s="85">
        <f>IFERROR(_xlfn.FORECAST.LINEAR($C$13,I146:I147,I144:I145),VLOOKUP($C$34,Tables!E260:L274,2, FALSE))</f>
        <v>0.8962500000000001</v>
      </c>
      <c r="K148" s="84" t="s">
        <v>206</v>
      </c>
      <c r="L148" s="85">
        <f>IFERROR(_xlfn.FORECAST.LINEAR($C$13,L146:L147,L144:L145),VLOOKUP($C$13,Tables!G260:N274,2, FALSE))</f>
        <v>0.79862499999999992</v>
      </c>
    </row>
    <row r="149" spans="1:32" ht="15" customHeight="1"/>
    <row r="150" spans="1:32">
      <c r="B150" s="168" t="s">
        <v>232</v>
      </c>
    </row>
    <row r="151" spans="1:32">
      <c r="B151" s="169">
        <f>C13</f>
        <v>12.75</v>
      </c>
    </row>
    <row r="152" spans="1:32">
      <c r="B152" s="169">
        <f>B151+1</f>
        <v>13.75</v>
      </c>
    </row>
    <row r="153" spans="1:32" ht="15" customHeight="1">
      <c r="B153" s="151">
        <f>B151+2</f>
        <v>14.75</v>
      </c>
    </row>
    <row r="154" spans="1:32" ht="15" customHeight="1"/>
    <row r="155" spans="1:32" ht="15.6" customHeight="1">
      <c r="A155" s="176"/>
      <c r="B155" s="90" t="s">
        <v>233</v>
      </c>
      <c r="C155" s="91" t="s">
        <v>234</v>
      </c>
      <c r="D155" s="92" t="s">
        <v>235</v>
      </c>
      <c r="E155" s="92" t="s">
        <v>236</v>
      </c>
      <c r="F155" s="92" t="s">
        <v>237</v>
      </c>
      <c r="G155" s="92">
        <v>1</v>
      </c>
      <c r="H155" s="92" t="s">
        <v>238</v>
      </c>
      <c r="I155" s="92" t="s">
        <v>239</v>
      </c>
      <c r="J155" s="92">
        <v>2</v>
      </c>
      <c r="K155" s="92" t="s">
        <v>240</v>
      </c>
      <c r="L155" s="92">
        <v>3</v>
      </c>
      <c r="M155" s="92" t="s">
        <v>241</v>
      </c>
      <c r="N155" s="92">
        <v>4</v>
      </c>
      <c r="O155" s="92" t="s">
        <v>242</v>
      </c>
      <c r="P155" s="92">
        <v>5</v>
      </c>
      <c r="Q155" s="92">
        <v>6</v>
      </c>
      <c r="R155" s="92">
        <v>8</v>
      </c>
      <c r="S155" s="92">
        <v>10</v>
      </c>
      <c r="T155" s="92">
        <v>12</v>
      </c>
      <c r="U155" s="92">
        <v>14</v>
      </c>
      <c r="V155" s="92">
        <v>16</v>
      </c>
      <c r="W155" s="92">
        <v>18</v>
      </c>
      <c r="X155" s="92">
        <v>20</v>
      </c>
      <c r="Y155" s="92">
        <v>24</v>
      </c>
      <c r="Z155" s="92">
        <v>26</v>
      </c>
      <c r="AA155" s="92">
        <v>30</v>
      </c>
      <c r="AB155" s="92">
        <v>36</v>
      </c>
      <c r="AC155" s="92">
        <v>42</v>
      </c>
      <c r="AD155" s="93">
        <v>48</v>
      </c>
      <c r="AF155" s="94" t="s">
        <v>243</v>
      </c>
    </row>
    <row r="156" spans="1:32" ht="15" customHeight="1">
      <c r="B156" s="95" t="s">
        <v>244</v>
      </c>
      <c r="C156" s="96">
        <v>0.54</v>
      </c>
      <c r="D156" s="97">
        <v>0.67500000000000004</v>
      </c>
      <c r="E156" s="97">
        <v>0.84</v>
      </c>
      <c r="F156" s="97">
        <v>1.05</v>
      </c>
      <c r="G156" s="97">
        <v>1.3149999999999999</v>
      </c>
      <c r="H156" s="97">
        <v>1.66</v>
      </c>
      <c r="I156" s="97">
        <v>1.9</v>
      </c>
      <c r="J156" s="97">
        <v>2.375</v>
      </c>
      <c r="K156" s="97">
        <v>2.875</v>
      </c>
      <c r="L156" s="97">
        <v>3.5</v>
      </c>
      <c r="M156" s="97">
        <v>4</v>
      </c>
      <c r="N156" s="97">
        <v>4.5</v>
      </c>
      <c r="O156" s="97">
        <v>5</v>
      </c>
      <c r="P156" s="97">
        <v>5.5629999999999997</v>
      </c>
      <c r="Q156" s="97">
        <v>6.625</v>
      </c>
      <c r="R156" s="97">
        <v>8.625</v>
      </c>
      <c r="S156" s="97">
        <v>10.75</v>
      </c>
      <c r="T156" s="97">
        <v>12.75</v>
      </c>
      <c r="U156" s="97">
        <v>14</v>
      </c>
      <c r="V156" s="97">
        <v>16</v>
      </c>
      <c r="W156" s="97">
        <v>18</v>
      </c>
      <c r="X156" s="97">
        <v>20</v>
      </c>
      <c r="Y156" s="97">
        <v>24</v>
      </c>
      <c r="Z156" s="97">
        <v>26</v>
      </c>
      <c r="AA156" s="97">
        <v>30</v>
      </c>
      <c r="AB156" s="97">
        <v>36</v>
      </c>
      <c r="AC156" s="97">
        <v>42</v>
      </c>
      <c r="AD156" s="98">
        <v>48</v>
      </c>
    </row>
    <row r="157" spans="1:32">
      <c r="A157" s="2"/>
      <c r="B157" s="99" t="s">
        <v>245</v>
      </c>
      <c r="C157" s="100">
        <v>6.5000000000000002E-2</v>
      </c>
      <c r="D157" s="101">
        <v>6.5000000000000002E-2</v>
      </c>
      <c r="E157" s="102">
        <v>8.3000000000000004E-2</v>
      </c>
      <c r="F157" s="102">
        <v>8.3000000000000004E-2</v>
      </c>
      <c r="G157" s="102">
        <v>0.109</v>
      </c>
      <c r="H157" s="102">
        <v>0.109</v>
      </c>
      <c r="I157" s="102">
        <v>0.109</v>
      </c>
      <c r="J157" s="102">
        <v>0.109</v>
      </c>
      <c r="K157" s="102">
        <v>0.12</v>
      </c>
      <c r="L157" s="102">
        <v>0.12</v>
      </c>
      <c r="M157" s="102">
        <v>0.12</v>
      </c>
      <c r="N157" s="102">
        <v>0.12</v>
      </c>
      <c r="O157" s="102">
        <v>0.247</v>
      </c>
      <c r="P157" s="102">
        <v>0.13400000000000001</v>
      </c>
      <c r="Q157" s="102">
        <v>0.13400000000000001</v>
      </c>
      <c r="R157" s="102">
        <v>0.14799999999999999</v>
      </c>
      <c r="S157" s="102">
        <v>0.16500000000000001</v>
      </c>
      <c r="T157" s="102">
        <v>0.18</v>
      </c>
      <c r="U157" s="102">
        <v>0.188</v>
      </c>
      <c r="V157" s="102">
        <v>0.188</v>
      </c>
      <c r="W157" s="102">
        <v>0.188</v>
      </c>
      <c r="X157" s="102">
        <v>0.218</v>
      </c>
      <c r="Y157" s="102">
        <v>0.25</v>
      </c>
      <c r="Z157" s="102">
        <v>0.25</v>
      </c>
      <c r="AA157" s="102">
        <v>0.312</v>
      </c>
      <c r="AB157" s="102">
        <v>0.312</v>
      </c>
      <c r="AC157" s="102">
        <v>0.375</v>
      </c>
      <c r="AD157" s="103">
        <v>0.375</v>
      </c>
    </row>
    <row r="158" spans="1:32">
      <c r="B158" s="104"/>
      <c r="C158" s="105">
        <v>8.7999999999999995E-2</v>
      </c>
      <c r="D158" s="106">
        <v>9.0999999999999998E-2</v>
      </c>
      <c r="E158" s="106">
        <v>0.109</v>
      </c>
      <c r="F158" s="106">
        <v>0.113</v>
      </c>
      <c r="G158" s="106">
        <v>0.13300000000000001</v>
      </c>
      <c r="H158" s="106">
        <v>0.14000000000000001</v>
      </c>
      <c r="I158" s="106">
        <v>0.14499999999999999</v>
      </c>
      <c r="J158" s="106">
        <v>0.154</v>
      </c>
      <c r="K158" s="106">
        <v>0.20300000000000001</v>
      </c>
      <c r="L158" s="106">
        <v>0.216</v>
      </c>
      <c r="M158" s="106">
        <v>0.22600000000000001</v>
      </c>
      <c r="N158" s="106">
        <v>0.125</v>
      </c>
      <c r="O158" s="106">
        <v>0.35499999999999998</v>
      </c>
      <c r="P158" s="106">
        <v>0.156</v>
      </c>
      <c r="Q158" s="106">
        <v>0.188</v>
      </c>
      <c r="R158" s="106">
        <v>0.188</v>
      </c>
      <c r="S158" s="106">
        <v>0.188</v>
      </c>
      <c r="T158" s="106">
        <v>0.20300000000000001</v>
      </c>
      <c r="U158" s="106">
        <v>0.21</v>
      </c>
      <c r="V158" s="106">
        <v>0.219</v>
      </c>
      <c r="W158" s="106">
        <v>0.25</v>
      </c>
      <c r="X158" s="106">
        <v>0.25</v>
      </c>
      <c r="Y158" s="106">
        <v>0.28100000000000003</v>
      </c>
      <c r="Z158" s="106">
        <v>0.28100000000000003</v>
      </c>
      <c r="AA158" s="106">
        <v>0.375</v>
      </c>
      <c r="AB158" s="106">
        <v>0.375</v>
      </c>
      <c r="AC158" s="106">
        <v>0.5</v>
      </c>
      <c r="AD158" s="107">
        <v>0.5</v>
      </c>
    </row>
    <row r="159" spans="1:32">
      <c r="B159" s="104"/>
      <c r="C159" s="105">
        <v>0.11899999999999999</v>
      </c>
      <c r="D159" s="106">
        <v>0.126</v>
      </c>
      <c r="E159" s="106">
        <v>0.14699999999999999</v>
      </c>
      <c r="F159" s="106">
        <v>0.154</v>
      </c>
      <c r="G159" s="106">
        <v>0.17899999999999999</v>
      </c>
      <c r="H159" s="106">
        <v>0.191</v>
      </c>
      <c r="I159" s="106">
        <v>0.2</v>
      </c>
      <c r="J159" s="106">
        <v>0.218</v>
      </c>
      <c r="K159" s="106">
        <v>0.27600000000000002</v>
      </c>
      <c r="L159" s="106">
        <v>0.3</v>
      </c>
      <c r="M159" s="106">
        <v>0.318</v>
      </c>
      <c r="N159" s="106">
        <v>0.156</v>
      </c>
      <c r="O159" s="106" t="s">
        <v>246</v>
      </c>
      <c r="P159" s="106">
        <v>0.188</v>
      </c>
      <c r="Q159" s="106">
        <v>0.219</v>
      </c>
      <c r="R159" s="106">
        <v>0.20300000000000001</v>
      </c>
      <c r="S159" s="106">
        <v>0.20300000000000001</v>
      </c>
      <c r="T159" s="106">
        <v>0.219</v>
      </c>
      <c r="U159" s="106">
        <v>0.219</v>
      </c>
      <c r="V159" s="106">
        <v>0.25</v>
      </c>
      <c r="W159" s="106">
        <v>0.28100000000000003</v>
      </c>
      <c r="X159" s="106">
        <v>0.28100000000000003</v>
      </c>
      <c r="Y159" s="106">
        <v>0.312</v>
      </c>
      <c r="Z159" s="106">
        <v>0.312</v>
      </c>
      <c r="AA159" s="106">
        <v>0.438</v>
      </c>
      <c r="AB159" s="106">
        <v>0.5</v>
      </c>
      <c r="AC159" s="8" t="s">
        <v>246</v>
      </c>
      <c r="AD159" s="108" t="s">
        <v>246</v>
      </c>
    </row>
    <row r="160" spans="1:32">
      <c r="B160" s="104"/>
      <c r="C160" s="105" t="s">
        <v>246</v>
      </c>
      <c r="D160" s="106" t="s">
        <v>246</v>
      </c>
      <c r="E160" s="106">
        <v>0.188</v>
      </c>
      <c r="F160" s="106">
        <v>0.219</v>
      </c>
      <c r="G160" s="106">
        <v>0.25</v>
      </c>
      <c r="H160" s="106">
        <v>0.25</v>
      </c>
      <c r="I160" s="106">
        <v>0.28100000000000003</v>
      </c>
      <c r="J160" s="106">
        <v>0.34399999999999997</v>
      </c>
      <c r="K160" s="106">
        <v>0.375</v>
      </c>
      <c r="L160" s="106">
        <v>0.438</v>
      </c>
      <c r="M160" s="106">
        <v>0.63600000000000001</v>
      </c>
      <c r="N160" s="106">
        <v>0.188</v>
      </c>
      <c r="O160" s="106" t="s">
        <v>246</v>
      </c>
      <c r="P160" s="106">
        <v>0.219</v>
      </c>
      <c r="Q160" s="106">
        <v>0.25</v>
      </c>
      <c r="R160" s="106">
        <v>0.219</v>
      </c>
      <c r="S160" s="106">
        <v>0.219</v>
      </c>
      <c r="T160" s="106">
        <v>0.25</v>
      </c>
      <c r="U160" s="106">
        <v>0.25</v>
      </c>
      <c r="V160" s="106">
        <v>0.28100000000000003</v>
      </c>
      <c r="W160" s="106">
        <v>0.312</v>
      </c>
      <c r="X160" s="106">
        <v>0.312</v>
      </c>
      <c r="Y160" s="106">
        <v>0.34399999999999997</v>
      </c>
      <c r="Z160" s="106">
        <v>0.34399999999999997</v>
      </c>
      <c r="AA160" s="106">
        <v>0.5</v>
      </c>
      <c r="AB160" s="106">
        <v>0.625</v>
      </c>
      <c r="AC160" s="106" t="s">
        <v>246</v>
      </c>
      <c r="AD160" s="107" t="s">
        <v>246</v>
      </c>
    </row>
    <row r="161" spans="2:30">
      <c r="B161" s="104"/>
      <c r="C161" s="105" t="s">
        <v>246</v>
      </c>
      <c r="D161" s="106" t="s">
        <v>246</v>
      </c>
      <c r="E161" s="106">
        <v>0.29399999999999998</v>
      </c>
      <c r="F161" s="106">
        <v>0.308</v>
      </c>
      <c r="G161" s="106">
        <v>0.35799999999999998</v>
      </c>
      <c r="H161" s="106">
        <v>0.35799999999999998</v>
      </c>
      <c r="I161" s="106">
        <v>0.4</v>
      </c>
      <c r="J161" s="106">
        <v>0.436</v>
      </c>
      <c r="K161" s="106">
        <v>0.55200000000000005</v>
      </c>
      <c r="L161" s="106">
        <v>0.6</v>
      </c>
      <c r="M161" s="106" t="s">
        <v>246</v>
      </c>
      <c r="N161" s="106">
        <v>0.219</v>
      </c>
      <c r="O161" s="106" t="s">
        <v>246</v>
      </c>
      <c r="P161" s="106">
        <v>0.25800000000000001</v>
      </c>
      <c r="Q161" s="106">
        <v>0.28000000000000003</v>
      </c>
      <c r="R161" s="106">
        <v>0.25</v>
      </c>
      <c r="S161" s="106">
        <v>0.25</v>
      </c>
      <c r="T161" s="106">
        <v>0.28100000000000003</v>
      </c>
      <c r="U161" s="106">
        <v>0.28100000000000003</v>
      </c>
      <c r="V161" s="106">
        <v>0.312</v>
      </c>
      <c r="W161" s="106">
        <v>0.34399999999999997</v>
      </c>
      <c r="X161" s="106">
        <v>0.34399999999999997</v>
      </c>
      <c r="Y161" s="106">
        <v>0.375</v>
      </c>
      <c r="Z161" s="106">
        <v>0.375</v>
      </c>
      <c r="AA161" s="106">
        <v>0.625</v>
      </c>
      <c r="AB161" s="106">
        <v>0.75</v>
      </c>
      <c r="AC161" s="106" t="s">
        <v>246</v>
      </c>
      <c r="AD161" s="107" t="s">
        <v>246</v>
      </c>
    </row>
    <row r="162" spans="2:30">
      <c r="B162" s="104"/>
      <c r="C162" s="105" t="s">
        <v>246</v>
      </c>
      <c r="D162" s="106" t="s">
        <v>246</v>
      </c>
      <c r="E162" s="106" t="s">
        <v>246</v>
      </c>
      <c r="F162" s="106" t="s">
        <v>246</v>
      </c>
      <c r="G162" s="106">
        <v>0.38200000000000001</v>
      </c>
      <c r="H162" s="106" t="s">
        <v>246</v>
      </c>
      <c r="I162" s="106" t="s">
        <v>246</v>
      </c>
      <c r="J162" s="106" t="s">
        <v>246</v>
      </c>
      <c r="K162" s="106" t="s">
        <v>246</v>
      </c>
      <c r="L162" s="106" t="s">
        <v>246</v>
      </c>
      <c r="M162" s="106" t="s">
        <v>246</v>
      </c>
      <c r="N162" s="106">
        <v>0.23699999999999999</v>
      </c>
      <c r="O162" s="106" t="s">
        <v>246</v>
      </c>
      <c r="P162" s="106">
        <v>0.28100000000000003</v>
      </c>
      <c r="Q162" s="106">
        <v>0.312</v>
      </c>
      <c r="R162" s="106">
        <v>0.27700000000000002</v>
      </c>
      <c r="S162" s="106">
        <v>0.27900000000000003</v>
      </c>
      <c r="T162" s="106">
        <v>0.312</v>
      </c>
      <c r="U162" s="106">
        <v>0.312</v>
      </c>
      <c r="V162" s="106">
        <v>0.34399999999999997</v>
      </c>
      <c r="W162" s="106">
        <v>0.375</v>
      </c>
      <c r="X162" s="106">
        <v>0.375</v>
      </c>
      <c r="Y162" s="106">
        <v>0.40600000000000003</v>
      </c>
      <c r="Z162" s="106">
        <v>0.40600000000000003</v>
      </c>
      <c r="AA162" s="106" t="s">
        <v>246</v>
      </c>
      <c r="AB162" s="106" t="s">
        <v>246</v>
      </c>
      <c r="AC162" s="106" t="s">
        <v>246</v>
      </c>
      <c r="AD162" s="107" t="s">
        <v>246</v>
      </c>
    </row>
    <row r="163" spans="2:30">
      <c r="B163" s="104"/>
      <c r="C163" s="105" t="s">
        <v>246</v>
      </c>
      <c r="D163" s="106" t="s">
        <v>246</v>
      </c>
      <c r="E163" s="106" t="s">
        <v>246</v>
      </c>
      <c r="F163" s="106" t="s">
        <v>246</v>
      </c>
      <c r="G163" s="106" t="s">
        <v>246</v>
      </c>
      <c r="H163" s="106" t="s">
        <v>246</v>
      </c>
      <c r="I163" s="106" t="s">
        <v>246</v>
      </c>
      <c r="J163" s="106" t="s">
        <v>246</v>
      </c>
      <c r="K163" s="106" t="s">
        <v>246</v>
      </c>
      <c r="L163" s="106" t="s">
        <v>246</v>
      </c>
      <c r="M163" s="106" t="s">
        <v>246</v>
      </c>
      <c r="N163" s="106">
        <v>0.25</v>
      </c>
      <c r="O163" s="106" t="s">
        <v>246</v>
      </c>
      <c r="P163" s="106">
        <v>0.312</v>
      </c>
      <c r="Q163" s="106">
        <v>0.34399999999999997</v>
      </c>
      <c r="R163" s="106">
        <v>0.312</v>
      </c>
      <c r="S163" s="106">
        <v>0.307</v>
      </c>
      <c r="T163" s="106">
        <v>0.33</v>
      </c>
      <c r="U163" s="106">
        <v>0.34399999999999997</v>
      </c>
      <c r="V163" s="106">
        <v>0.375</v>
      </c>
      <c r="W163" s="106">
        <v>0.438</v>
      </c>
      <c r="X163" s="106">
        <v>0.40600000000000003</v>
      </c>
      <c r="Y163" s="106">
        <v>0.438</v>
      </c>
      <c r="Z163" s="106">
        <v>0.438</v>
      </c>
      <c r="AA163" s="106" t="s">
        <v>246</v>
      </c>
      <c r="AB163" s="106" t="s">
        <v>246</v>
      </c>
      <c r="AC163" s="106" t="s">
        <v>246</v>
      </c>
      <c r="AD163" s="107" t="s">
        <v>246</v>
      </c>
    </row>
    <row r="164" spans="2:30">
      <c r="B164" s="104"/>
      <c r="C164" s="105" t="s">
        <v>246</v>
      </c>
      <c r="D164" s="106" t="s">
        <v>246</v>
      </c>
      <c r="E164" s="106" t="s">
        <v>246</v>
      </c>
      <c r="F164" s="106" t="s">
        <v>246</v>
      </c>
      <c r="G164" s="106" t="s">
        <v>246</v>
      </c>
      <c r="H164" s="106" t="s">
        <v>246</v>
      </c>
      <c r="I164" s="106" t="s">
        <v>246</v>
      </c>
      <c r="J164" s="106" t="s">
        <v>246</v>
      </c>
      <c r="K164" s="106" t="s">
        <v>246</v>
      </c>
      <c r="L164" s="106" t="s">
        <v>246</v>
      </c>
      <c r="M164" s="106" t="s">
        <v>246</v>
      </c>
      <c r="N164" s="106">
        <v>0.28100000000000003</v>
      </c>
      <c r="O164" s="106" t="s">
        <v>246</v>
      </c>
      <c r="P164" s="106">
        <v>0.34399999999999997</v>
      </c>
      <c r="Q164" s="106">
        <v>0.375</v>
      </c>
      <c r="R164" s="106">
        <v>0.32200000000000001</v>
      </c>
      <c r="S164" s="106">
        <v>0.34399999999999997</v>
      </c>
      <c r="T164" s="106">
        <v>0.34399999999999997</v>
      </c>
      <c r="U164" s="106">
        <v>0.375</v>
      </c>
      <c r="V164" s="106">
        <v>0.438</v>
      </c>
      <c r="W164" s="106">
        <v>0.46899999999999997</v>
      </c>
      <c r="X164" s="106">
        <v>0.438</v>
      </c>
      <c r="Y164" s="106">
        <v>0.46899999999999997</v>
      </c>
      <c r="Z164" s="106">
        <v>0.5</v>
      </c>
      <c r="AA164" s="106" t="s">
        <v>246</v>
      </c>
      <c r="AB164" s="106" t="s">
        <v>246</v>
      </c>
      <c r="AC164" s="106" t="s">
        <v>246</v>
      </c>
      <c r="AD164" s="107" t="s">
        <v>246</v>
      </c>
    </row>
    <row r="165" spans="2:30">
      <c r="B165" s="109"/>
      <c r="C165" s="105" t="s">
        <v>246</v>
      </c>
      <c r="D165" s="106" t="s">
        <v>246</v>
      </c>
      <c r="E165" s="106" t="s">
        <v>246</v>
      </c>
      <c r="F165" s="106" t="s">
        <v>246</v>
      </c>
      <c r="G165" s="106" t="s">
        <v>246</v>
      </c>
      <c r="H165" s="106" t="s">
        <v>246</v>
      </c>
      <c r="I165" s="106" t="s">
        <v>246</v>
      </c>
      <c r="J165" s="106" t="s">
        <v>246</v>
      </c>
      <c r="K165" s="106" t="s">
        <v>246</v>
      </c>
      <c r="L165" s="106" t="s">
        <v>246</v>
      </c>
      <c r="M165" s="106" t="s">
        <v>246</v>
      </c>
      <c r="N165" s="106">
        <v>0.312</v>
      </c>
      <c r="O165" s="106" t="s">
        <v>246</v>
      </c>
      <c r="P165" s="106">
        <v>0.375</v>
      </c>
      <c r="Q165" s="106">
        <v>0.432</v>
      </c>
      <c r="R165" s="106">
        <v>0.34399999999999997</v>
      </c>
      <c r="S165" s="106">
        <v>0.36499999999999999</v>
      </c>
      <c r="T165" s="106">
        <v>0.375</v>
      </c>
      <c r="U165" s="106">
        <v>0.438</v>
      </c>
      <c r="V165" s="106">
        <v>0.5</v>
      </c>
      <c r="W165" s="106">
        <v>0.5</v>
      </c>
      <c r="X165" s="106">
        <v>0.46899999999999997</v>
      </c>
      <c r="Y165" s="106">
        <v>0.5</v>
      </c>
      <c r="Z165" s="106">
        <v>0.56200000000000006</v>
      </c>
      <c r="AA165" s="106" t="s">
        <v>246</v>
      </c>
      <c r="AB165" s="106" t="s">
        <v>246</v>
      </c>
      <c r="AC165" s="106" t="s">
        <v>246</v>
      </c>
      <c r="AD165" s="107" t="s">
        <v>246</v>
      </c>
    </row>
    <row r="166" spans="2:30">
      <c r="B166" s="109"/>
      <c r="C166" s="105" t="s">
        <v>246</v>
      </c>
      <c r="D166" s="106" t="s">
        <v>246</v>
      </c>
      <c r="E166" s="106" t="s">
        <v>246</v>
      </c>
      <c r="F166" s="106" t="s">
        <v>246</v>
      </c>
      <c r="G166" s="106" t="s">
        <v>246</v>
      </c>
      <c r="H166" s="106" t="s">
        <v>246</v>
      </c>
      <c r="I166" s="106" t="s">
        <v>246</v>
      </c>
      <c r="J166" s="106" t="s">
        <v>246</v>
      </c>
      <c r="K166" s="106" t="s">
        <v>246</v>
      </c>
      <c r="L166" s="106" t="s">
        <v>246</v>
      </c>
      <c r="M166" s="106" t="s">
        <v>246</v>
      </c>
      <c r="N166" s="106">
        <v>0.33700000000000002</v>
      </c>
      <c r="O166" s="106" t="s">
        <v>246</v>
      </c>
      <c r="P166" s="106">
        <v>0.5</v>
      </c>
      <c r="Q166" s="106">
        <v>0.5</v>
      </c>
      <c r="R166" s="106">
        <v>0.375</v>
      </c>
      <c r="S166" s="106">
        <v>0.438</v>
      </c>
      <c r="T166" s="106">
        <v>0.40600000000000003</v>
      </c>
      <c r="U166" s="106">
        <v>0.46899999999999997</v>
      </c>
      <c r="V166" s="106">
        <v>0.65600000000000003</v>
      </c>
      <c r="W166" s="106">
        <v>0.56200000000000006</v>
      </c>
      <c r="X166" s="106">
        <v>0.5</v>
      </c>
      <c r="Y166" s="106">
        <v>0.56200000000000006</v>
      </c>
      <c r="Z166" s="106" t="s">
        <v>246</v>
      </c>
      <c r="AA166" s="106" t="s">
        <v>246</v>
      </c>
      <c r="AB166" s="106" t="s">
        <v>246</v>
      </c>
      <c r="AC166" s="106" t="s">
        <v>246</v>
      </c>
      <c r="AD166" s="107" t="s">
        <v>246</v>
      </c>
    </row>
    <row r="167" spans="2:30">
      <c r="B167" s="109"/>
      <c r="C167" s="105" t="s">
        <v>246</v>
      </c>
      <c r="D167" s="106" t="s">
        <v>246</v>
      </c>
      <c r="E167" s="106" t="s">
        <v>246</v>
      </c>
      <c r="F167" s="106" t="s">
        <v>246</v>
      </c>
      <c r="G167" s="106" t="s">
        <v>246</v>
      </c>
      <c r="H167" s="106" t="s">
        <v>246</v>
      </c>
      <c r="I167" s="106" t="s">
        <v>246</v>
      </c>
      <c r="J167" s="106" t="s">
        <v>246</v>
      </c>
      <c r="K167" s="106" t="s">
        <v>246</v>
      </c>
      <c r="L167" s="106" t="s">
        <v>246</v>
      </c>
      <c r="M167" s="106" t="s">
        <v>246</v>
      </c>
      <c r="N167" s="106">
        <v>0.438</v>
      </c>
      <c r="O167" s="106" t="s">
        <v>246</v>
      </c>
      <c r="P167" s="106">
        <v>0.625</v>
      </c>
      <c r="Q167" s="106">
        <v>0.56200000000000006</v>
      </c>
      <c r="R167" s="106">
        <v>0.40600000000000003</v>
      </c>
      <c r="S167" s="106">
        <v>0.5</v>
      </c>
      <c r="T167" s="106">
        <v>0.438</v>
      </c>
      <c r="U167" s="106">
        <v>0.5</v>
      </c>
      <c r="V167" s="106">
        <v>0.81200000000000006</v>
      </c>
      <c r="W167" s="106">
        <v>0.65600000000000003</v>
      </c>
      <c r="X167" s="106">
        <v>0.59399999999999997</v>
      </c>
      <c r="Y167" s="106">
        <v>0.68799999999999994</v>
      </c>
      <c r="Z167" s="106" t="s">
        <v>246</v>
      </c>
      <c r="AA167" s="106" t="s">
        <v>246</v>
      </c>
      <c r="AB167" s="106" t="s">
        <v>246</v>
      </c>
      <c r="AC167" s="106" t="s">
        <v>246</v>
      </c>
      <c r="AD167" s="107" t="s">
        <v>246</v>
      </c>
    </row>
    <row r="168" spans="2:30">
      <c r="B168" s="109"/>
      <c r="C168" s="105" t="s">
        <v>246</v>
      </c>
      <c r="D168" s="106" t="s">
        <v>246</v>
      </c>
      <c r="E168" s="106" t="s">
        <v>246</v>
      </c>
      <c r="F168" s="106" t="s">
        <v>246</v>
      </c>
      <c r="G168" s="106" t="s">
        <v>246</v>
      </c>
      <c r="H168" s="106" t="s">
        <v>246</v>
      </c>
      <c r="I168" s="106" t="s">
        <v>246</v>
      </c>
      <c r="J168" s="106" t="s">
        <v>246</v>
      </c>
      <c r="K168" s="106" t="s">
        <v>246</v>
      </c>
      <c r="L168" s="106" t="s">
        <v>246</v>
      </c>
      <c r="M168" s="106" t="s">
        <v>246</v>
      </c>
      <c r="N168" s="106">
        <v>0.53100000000000003</v>
      </c>
      <c r="O168" s="106" t="s">
        <v>246</v>
      </c>
      <c r="P168" s="106">
        <v>0.75</v>
      </c>
      <c r="Q168" s="106">
        <v>0.71899999999999997</v>
      </c>
      <c r="R168" s="106">
        <v>0.438</v>
      </c>
      <c r="S168" s="106">
        <v>0.59399999999999997</v>
      </c>
      <c r="T168" s="106">
        <v>0.5</v>
      </c>
      <c r="U168" s="106">
        <v>0.59399999999999997</v>
      </c>
      <c r="V168" s="106">
        <v>0.84399999999999997</v>
      </c>
      <c r="W168" s="106">
        <v>0.68799999999999994</v>
      </c>
      <c r="X168" s="106">
        <v>0.81200000000000006</v>
      </c>
      <c r="Y168" s="106">
        <v>0.93799999999999994</v>
      </c>
      <c r="Z168" s="106" t="s">
        <v>246</v>
      </c>
      <c r="AA168" s="106" t="s">
        <v>246</v>
      </c>
      <c r="AB168" s="106" t="s">
        <v>246</v>
      </c>
      <c r="AC168" s="106" t="s">
        <v>246</v>
      </c>
      <c r="AD168" s="107" t="s">
        <v>246</v>
      </c>
    </row>
    <row r="169" spans="2:30">
      <c r="B169" s="109"/>
      <c r="C169" s="105" t="s">
        <v>246</v>
      </c>
      <c r="D169" s="106" t="s">
        <v>246</v>
      </c>
      <c r="E169" s="106" t="s">
        <v>246</v>
      </c>
      <c r="F169" s="106" t="s">
        <v>246</v>
      </c>
      <c r="G169" s="106" t="s">
        <v>246</v>
      </c>
      <c r="H169" s="106" t="s">
        <v>246</v>
      </c>
      <c r="I169" s="106" t="s">
        <v>246</v>
      </c>
      <c r="J169" s="106" t="s">
        <v>246</v>
      </c>
      <c r="K169" s="106" t="s">
        <v>246</v>
      </c>
      <c r="L169" s="106" t="s">
        <v>246</v>
      </c>
      <c r="M169" s="106" t="s">
        <v>246</v>
      </c>
      <c r="N169" s="106">
        <v>0.67400000000000004</v>
      </c>
      <c r="O169" s="106" t="s">
        <v>246</v>
      </c>
      <c r="P169" s="106" t="s">
        <v>246</v>
      </c>
      <c r="Q169" s="106">
        <v>0.86399999999999999</v>
      </c>
      <c r="R169" s="106">
        <v>0.5</v>
      </c>
      <c r="S169" s="106">
        <v>0.71899999999999997</v>
      </c>
      <c r="T169" s="106">
        <v>0.56200000000000006</v>
      </c>
      <c r="U169" s="106">
        <v>0.75</v>
      </c>
      <c r="V169" s="106">
        <v>1.0309999999999999</v>
      </c>
      <c r="W169" s="106">
        <v>0.75</v>
      </c>
      <c r="X169" s="106">
        <v>1.0309999999999999</v>
      </c>
      <c r="Y169" s="106">
        <v>0.96899999999999997</v>
      </c>
      <c r="Z169" s="106" t="s">
        <v>246</v>
      </c>
      <c r="AA169" s="106" t="s">
        <v>246</v>
      </c>
      <c r="AB169" s="106" t="s">
        <v>246</v>
      </c>
      <c r="AC169" s="106" t="s">
        <v>246</v>
      </c>
      <c r="AD169" s="107" t="s">
        <v>246</v>
      </c>
    </row>
    <row r="170" spans="2:30">
      <c r="B170" s="109"/>
      <c r="C170" s="105" t="s">
        <v>246</v>
      </c>
      <c r="D170" s="106" t="s">
        <v>246</v>
      </c>
      <c r="E170" s="106" t="s">
        <v>246</v>
      </c>
      <c r="F170" s="106" t="s">
        <v>246</v>
      </c>
      <c r="G170" s="106" t="s">
        <v>246</v>
      </c>
      <c r="H170" s="106" t="s">
        <v>246</v>
      </c>
      <c r="I170" s="106" t="s">
        <v>246</v>
      </c>
      <c r="J170" s="106" t="s">
        <v>246</v>
      </c>
      <c r="K170" s="106" t="s">
        <v>246</v>
      </c>
      <c r="L170" s="106" t="s">
        <v>246</v>
      </c>
      <c r="M170" s="106" t="s">
        <v>246</v>
      </c>
      <c r="N170" s="106" t="s">
        <v>246</v>
      </c>
      <c r="O170" s="106" t="s">
        <v>246</v>
      </c>
      <c r="P170" s="106" t="s">
        <v>246</v>
      </c>
      <c r="Q170" s="106" t="s">
        <v>246</v>
      </c>
      <c r="R170" s="106">
        <v>0.59399999999999997</v>
      </c>
      <c r="S170" s="106">
        <v>0.84399999999999997</v>
      </c>
      <c r="T170" s="106">
        <v>0.68799999999999994</v>
      </c>
      <c r="U170" s="106">
        <v>0.93799999999999994</v>
      </c>
      <c r="V170" s="106">
        <v>1.22</v>
      </c>
      <c r="W170" s="106">
        <v>0.93799999999999994</v>
      </c>
      <c r="X170" s="106">
        <v>1.2809999999999999</v>
      </c>
      <c r="Y170" s="106">
        <v>1.2190000000000001</v>
      </c>
      <c r="Z170" s="106" t="s">
        <v>246</v>
      </c>
      <c r="AA170" s="106" t="s">
        <v>246</v>
      </c>
      <c r="AB170" s="106" t="s">
        <v>246</v>
      </c>
      <c r="AC170" s="106" t="s">
        <v>246</v>
      </c>
      <c r="AD170" s="107" t="s">
        <v>246</v>
      </c>
    </row>
    <row r="171" spans="2:30">
      <c r="B171" s="109"/>
      <c r="C171" s="105" t="s">
        <v>246</v>
      </c>
      <c r="D171" s="106" t="s">
        <v>246</v>
      </c>
      <c r="E171" s="106" t="s">
        <v>246</v>
      </c>
      <c r="F171" s="106" t="s">
        <v>246</v>
      </c>
      <c r="G171" s="106" t="s">
        <v>246</v>
      </c>
      <c r="H171" s="106" t="s">
        <v>246</v>
      </c>
      <c r="I171" s="106" t="s">
        <v>246</v>
      </c>
      <c r="J171" s="106" t="s">
        <v>246</v>
      </c>
      <c r="K171" s="106" t="s">
        <v>246</v>
      </c>
      <c r="L171" s="106" t="s">
        <v>246</v>
      </c>
      <c r="M171" s="106" t="s">
        <v>246</v>
      </c>
      <c r="N171" s="106" t="s">
        <v>246</v>
      </c>
      <c r="O171" s="106" t="s">
        <v>246</v>
      </c>
      <c r="P171" s="106" t="s">
        <v>246</v>
      </c>
      <c r="Q171" s="106" t="s">
        <v>246</v>
      </c>
      <c r="R171" s="106">
        <v>0.71899999999999997</v>
      </c>
      <c r="S171" s="106">
        <v>1</v>
      </c>
      <c r="T171" s="106">
        <v>0.84399999999999997</v>
      </c>
      <c r="U171" s="106">
        <v>1.0940000000000001</v>
      </c>
      <c r="V171" s="106">
        <v>1.2809999999999999</v>
      </c>
      <c r="W171" s="106">
        <v>1.1559999999999999</v>
      </c>
      <c r="X171" s="106">
        <v>1.5</v>
      </c>
      <c r="Y171" s="106">
        <v>1.5309999999999999</v>
      </c>
      <c r="Z171" s="106" t="s">
        <v>246</v>
      </c>
      <c r="AA171" s="106" t="s">
        <v>246</v>
      </c>
      <c r="AB171" s="106" t="s">
        <v>246</v>
      </c>
      <c r="AC171" s="106" t="s">
        <v>246</v>
      </c>
      <c r="AD171" s="107" t="s">
        <v>246</v>
      </c>
    </row>
    <row r="172" spans="2:30">
      <c r="B172" s="109"/>
      <c r="C172" s="105" t="s">
        <v>246</v>
      </c>
      <c r="D172" s="106" t="s">
        <v>246</v>
      </c>
      <c r="E172" s="106" t="s">
        <v>246</v>
      </c>
      <c r="F172" s="106" t="s">
        <v>246</v>
      </c>
      <c r="G172" s="106" t="s">
        <v>246</v>
      </c>
      <c r="H172" s="106" t="s">
        <v>246</v>
      </c>
      <c r="I172" s="106" t="s">
        <v>246</v>
      </c>
      <c r="J172" s="106" t="s">
        <v>246</v>
      </c>
      <c r="K172" s="106" t="s">
        <v>246</v>
      </c>
      <c r="L172" s="106" t="s">
        <v>246</v>
      </c>
      <c r="M172" s="106" t="s">
        <v>246</v>
      </c>
      <c r="N172" s="106" t="s">
        <v>246</v>
      </c>
      <c r="O172" s="106" t="s">
        <v>246</v>
      </c>
      <c r="P172" s="106" t="s">
        <v>246</v>
      </c>
      <c r="Q172" s="106" t="s">
        <v>246</v>
      </c>
      <c r="R172" s="106">
        <v>0.81200000000000006</v>
      </c>
      <c r="S172" s="106">
        <v>1.125</v>
      </c>
      <c r="T172" s="106">
        <v>1</v>
      </c>
      <c r="U172" s="106">
        <v>1.25</v>
      </c>
      <c r="V172" s="106">
        <v>1.4379999999999999</v>
      </c>
      <c r="W172" s="106">
        <v>1.375</v>
      </c>
      <c r="X172" s="106">
        <v>1.75</v>
      </c>
      <c r="Y172" s="106">
        <v>1.8120000000000001</v>
      </c>
      <c r="Z172" s="106" t="s">
        <v>246</v>
      </c>
      <c r="AA172" s="106" t="s">
        <v>246</v>
      </c>
      <c r="AB172" s="106" t="s">
        <v>246</v>
      </c>
      <c r="AC172" s="106" t="s">
        <v>246</v>
      </c>
      <c r="AD172" s="107" t="s">
        <v>246</v>
      </c>
    </row>
    <row r="173" spans="2:30">
      <c r="B173" s="109"/>
      <c r="C173" s="105" t="s">
        <v>246</v>
      </c>
      <c r="D173" s="106" t="s">
        <v>246</v>
      </c>
      <c r="E173" s="106" t="s">
        <v>246</v>
      </c>
      <c r="F173" s="106" t="s">
        <v>246</v>
      </c>
      <c r="G173" s="106" t="s">
        <v>246</v>
      </c>
      <c r="H173" s="106" t="s">
        <v>246</v>
      </c>
      <c r="I173" s="106" t="s">
        <v>246</v>
      </c>
      <c r="J173" s="106" t="s">
        <v>246</v>
      </c>
      <c r="K173" s="106" t="s">
        <v>246</v>
      </c>
      <c r="L173" s="106" t="s">
        <v>246</v>
      </c>
      <c r="M173" s="106" t="s">
        <v>246</v>
      </c>
      <c r="N173" s="106" t="s">
        <v>246</v>
      </c>
      <c r="O173" s="106" t="s">
        <v>246</v>
      </c>
      <c r="P173" s="106" t="s">
        <v>246</v>
      </c>
      <c r="Q173" s="106" t="s">
        <v>246</v>
      </c>
      <c r="R173" s="106">
        <v>0.875</v>
      </c>
      <c r="S173" s="106" t="s">
        <v>246</v>
      </c>
      <c r="T173" s="106">
        <v>1.125</v>
      </c>
      <c r="U173" s="106">
        <v>1.4059999999999999</v>
      </c>
      <c r="V173" s="106">
        <v>1.5</v>
      </c>
      <c r="W173" s="106">
        <v>1.5309999999999999</v>
      </c>
      <c r="X173" s="106">
        <v>1.9690000000000001</v>
      </c>
      <c r="Y173" s="106">
        <v>2.0619999999999998</v>
      </c>
      <c r="Z173" s="106" t="s">
        <v>246</v>
      </c>
      <c r="AA173" s="106" t="s">
        <v>246</v>
      </c>
      <c r="AB173" s="106" t="s">
        <v>246</v>
      </c>
      <c r="AC173" s="106" t="s">
        <v>246</v>
      </c>
      <c r="AD173" s="107" t="s">
        <v>246</v>
      </c>
    </row>
    <row r="174" spans="2:30">
      <c r="B174" s="109"/>
      <c r="C174" s="105" t="s">
        <v>246</v>
      </c>
      <c r="D174" s="106" t="s">
        <v>246</v>
      </c>
      <c r="E174" s="106" t="s">
        <v>246</v>
      </c>
      <c r="F174" s="106" t="s">
        <v>246</v>
      </c>
      <c r="G174" s="106" t="s">
        <v>246</v>
      </c>
      <c r="H174" s="106" t="s">
        <v>246</v>
      </c>
      <c r="I174" s="106" t="s">
        <v>246</v>
      </c>
      <c r="J174" s="106" t="s">
        <v>246</v>
      </c>
      <c r="K174" s="106" t="s">
        <v>246</v>
      </c>
      <c r="L174" s="106" t="s">
        <v>246</v>
      </c>
      <c r="M174" s="106" t="s">
        <v>246</v>
      </c>
      <c r="N174" s="106" t="s">
        <v>246</v>
      </c>
      <c r="O174" s="106" t="s">
        <v>246</v>
      </c>
      <c r="P174" s="106" t="s">
        <v>246</v>
      </c>
      <c r="Q174" s="106" t="s">
        <v>246</v>
      </c>
      <c r="R174" s="106">
        <v>0.90600000000000003</v>
      </c>
      <c r="S174" s="106" t="s">
        <v>246</v>
      </c>
      <c r="T174" s="106">
        <v>1.3120000000000001</v>
      </c>
      <c r="U174" s="106">
        <v>2</v>
      </c>
      <c r="V174" s="106">
        <v>1.5940000000000001</v>
      </c>
      <c r="W174" s="106">
        <v>1.5620000000000001</v>
      </c>
      <c r="X174" s="106" t="s">
        <v>246</v>
      </c>
      <c r="Y174" s="106">
        <v>2.3439999999999999</v>
      </c>
      <c r="Z174" s="106" t="s">
        <v>246</v>
      </c>
      <c r="AA174" s="106" t="s">
        <v>246</v>
      </c>
      <c r="AB174" s="106" t="s">
        <v>246</v>
      </c>
      <c r="AC174" s="106" t="s">
        <v>246</v>
      </c>
      <c r="AD174" s="107" t="s">
        <v>246</v>
      </c>
    </row>
    <row r="175" spans="2:30">
      <c r="B175" s="109"/>
      <c r="C175" s="110" t="s">
        <v>246</v>
      </c>
      <c r="D175" s="97" t="s">
        <v>246</v>
      </c>
      <c r="E175" s="97" t="s">
        <v>246</v>
      </c>
      <c r="F175" s="97" t="s">
        <v>246</v>
      </c>
      <c r="G175" s="97" t="s">
        <v>246</v>
      </c>
      <c r="H175" s="97" t="s">
        <v>246</v>
      </c>
      <c r="I175" s="97" t="s">
        <v>246</v>
      </c>
      <c r="J175" s="97" t="s">
        <v>246</v>
      </c>
      <c r="K175" s="97" t="s">
        <v>246</v>
      </c>
      <c r="L175" s="97" t="s">
        <v>246</v>
      </c>
      <c r="M175" s="97" t="s">
        <v>246</v>
      </c>
      <c r="N175" s="97" t="s">
        <v>246</v>
      </c>
      <c r="O175" s="97" t="s">
        <v>246</v>
      </c>
      <c r="P175" s="97" t="s">
        <v>246</v>
      </c>
      <c r="Q175" s="97" t="s">
        <v>246</v>
      </c>
      <c r="R175" s="97" t="s">
        <v>246</v>
      </c>
      <c r="S175" s="97" t="s">
        <v>246</v>
      </c>
      <c r="T175" s="97" t="s">
        <v>246</v>
      </c>
      <c r="U175" s="97">
        <v>2.125</v>
      </c>
      <c r="V175" s="106">
        <v>1.75</v>
      </c>
      <c r="W175" s="106">
        <v>1.7809999999999999</v>
      </c>
      <c r="X175" s="97" t="s">
        <v>246</v>
      </c>
      <c r="Y175" s="97" t="s">
        <v>246</v>
      </c>
      <c r="Z175" s="97" t="s">
        <v>246</v>
      </c>
      <c r="AA175" s="97" t="s">
        <v>246</v>
      </c>
      <c r="AB175" s="97" t="s">
        <v>246</v>
      </c>
      <c r="AC175" s="97" t="s">
        <v>246</v>
      </c>
      <c r="AD175" s="98" t="s">
        <v>246</v>
      </c>
    </row>
    <row r="176" spans="2:30">
      <c r="B176" s="109"/>
      <c r="C176" s="110" t="s">
        <v>246</v>
      </c>
      <c r="D176" s="97" t="s">
        <v>246</v>
      </c>
      <c r="E176" s="97" t="s">
        <v>246</v>
      </c>
      <c r="F176" s="97" t="s">
        <v>246</v>
      </c>
      <c r="G176" s="97" t="s">
        <v>246</v>
      </c>
      <c r="H176" s="97" t="s">
        <v>246</v>
      </c>
      <c r="I176" s="97" t="s">
        <v>246</v>
      </c>
      <c r="J176" s="97" t="s">
        <v>246</v>
      </c>
      <c r="K176" s="97" t="s">
        <v>246</v>
      </c>
      <c r="L176" s="97" t="s">
        <v>246</v>
      </c>
      <c r="M176" s="97" t="s">
        <v>246</v>
      </c>
      <c r="N176" s="97" t="s">
        <v>246</v>
      </c>
      <c r="O176" s="97" t="s">
        <v>246</v>
      </c>
      <c r="P176" s="97" t="s">
        <v>246</v>
      </c>
      <c r="Q176" s="97" t="s">
        <v>246</v>
      </c>
      <c r="R176" s="97" t="s">
        <v>246</v>
      </c>
      <c r="S176" s="97" t="s">
        <v>246</v>
      </c>
      <c r="T176" s="97" t="s">
        <v>246</v>
      </c>
      <c r="U176" s="97">
        <v>2.2000000000000002</v>
      </c>
      <c r="V176" s="106">
        <v>1.9690000000000001</v>
      </c>
      <c r="W176" s="106">
        <v>1.8120000000000001</v>
      </c>
      <c r="X176" s="97" t="s">
        <v>246</v>
      </c>
      <c r="Y176" s="97" t="s">
        <v>246</v>
      </c>
      <c r="Z176" s="97" t="s">
        <v>246</v>
      </c>
      <c r="AA176" s="97" t="s">
        <v>246</v>
      </c>
      <c r="AB176" s="97" t="s">
        <v>246</v>
      </c>
      <c r="AC176" s="97" t="s">
        <v>246</v>
      </c>
      <c r="AD176" s="98" t="s">
        <v>246</v>
      </c>
    </row>
    <row r="177" spans="2:33">
      <c r="B177" s="109"/>
      <c r="C177" s="110" t="s">
        <v>246</v>
      </c>
      <c r="D177" s="97" t="s">
        <v>246</v>
      </c>
      <c r="E177" s="97" t="s">
        <v>246</v>
      </c>
      <c r="F177" s="97" t="s">
        <v>246</v>
      </c>
      <c r="G177" s="97" t="s">
        <v>246</v>
      </c>
      <c r="H177" s="97" t="s">
        <v>246</v>
      </c>
      <c r="I177" s="97" t="s">
        <v>246</v>
      </c>
      <c r="J177" s="97" t="s">
        <v>246</v>
      </c>
      <c r="K177" s="97" t="s">
        <v>246</v>
      </c>
      <c r="L177" s="97" t="s">
        <v>246</v>
      </c>
      <c r="M177" s="97" t="s">
        <v>246</v>
      </c>
      <c r="N177" s="97" t="s">
        <v>246</v>
      </c>
      <c r="O177" s="97" t="s">
        <v>246</v>
      </c>
      <c r="P177" s="97" t="s">
        <v>246</v>
      </c>
      <c r="Q177" s="97" t="s">
        <v>246</v>
      </c>
      <c r="R177" s="97" t="s">
        <v>246</v>
      </c>
      <c r="S177" s="97" t="s">
        <v>246</v>
      </c>
      <c r="T177" s="97" t="s">
        <v>246</v>
      </c>
      <c r="U177" s="97">
        <v>2.5</v>
      </c>
      <c r="V177" s="97" t="s">
        <v>246</v>
      </c>
      <c r="W177" s="106">
        <v>2.0619999999999998</v>
      </c>
      <c r="X177" s="97" t="s">
        <v>246</v>
      </c>
      <c r="Y177" s="97" t="s">
        <v>246</v>
      </c>
      <c r="Z177" s="97" t="s">
        <v>246</v>
      </c>
      <c r="AA177" s="97" t="s">
        <v>246</v>
      </c>
      <c r="AB177" s="97" t="s">
        <v>246</v>
      </c>
      <c r="AC177" s="97" t="s">
        <v>246</v>
      </c>
      <c r="AD177" s="98" t="s">
        <v>246</v>
      </c>
    </row>
    <row r="178" spans="2:33" ht="15" customHeight="1">
      <c r="B178" s="111"/>
      <c r="C178" s="112" t="s">
        <v>246</v>
      </c>
      <c r="D178" s="113" t="s">
        <v>246</v>
      </c>
      <c r="E178" s="113" t="s">
        <v>246</v>
      </c>
      <c r="F178" s="113" t="s">
        <v>246</v>
      </c>
      <c r="G178" s="113" t="s">
        <v>246</v>
      </c>
      <c r="H178" s="113" t="s">
        <v>246</v>
      </c>
      <c r="I178" s="113" t="s">
        <v>246</v>
      </c>
      <c r="J178" s="113" t="s">
        <v>246</v>
      </c>
      <c r="K178" s="113" t="s">
        <v>246</v>
      </c>
      <c r="L178" s="113" t="s">
        <v>246</v>
      </c>
      <c r="M178" s="113" t="s">
        <v>246</v>
      </c>
      <c r="N178" s="113" t="s">
        <v>246</v>
      </c>
      <c r="O178" s="113" t="s">
        <v>246</v>
      </c>
      <c r="P178" s="113" t="s">
        <v>246</v>
      </c>
      <c r="Q178" s="113" t="s">
        <v>246</v>
      </c>
      <c r="R178" s="113" t="s">
        <v>246</v>
      </c>
      <c r="S178" s="113" t="s">
        <v>246</v>
      </c>
      <c r="T178" s="113" t="s">
        <v>246</v>
      </c>
      <c r="U178" s="113" t="s">
        <v>246</v>
      </c>
      <c r="V178" s="113" t="s">
        <v>246</v>
      </c>
      <c r="W178" s="113">
        <v>2.3439999999999999</v>
      </c>
      <c r="X178" s="113" t="s">
        <v>246</v>
      </c>
      <c r="Y178" s="113" t="s">
        <v>246</v>
      </c>
      <c r="Z178" s="113" t="s">
        <v>246</v>
      </c>
      <c r="AA178" s="113" t="s">
        <v>246</v>
      </c>
      <c r="AB178" s="113" t="s">
        <v>246</v>
      </c>
      <c r="AC178" s="113" t="s">
        <v>246</v>
      </c>
      <c r="AD178" s="114" t="s">
        <v>246</v>
      </c>
    </row>
    <row r="180" spans="2:33" ht="15" customHeight="1"/>
    <row r="181" spans="2:33">
      <c r="B181" s="115" t="s">
        <v>247</v>
      </c>
      <c r="C181" s="197" t="s">
        <v>248</v>
      </c>
      <c r="D181" s="198"/>
      <c r="E181" s="198"/>
      <c r="F181" s="198"/>
      <c r="G181" s="198"/>
      <c r="H181" s="198"/>
      <c r="I181" s="198"/>
      <c r="J181" s="198"/>
      <c r="K181" s="198"/>
      <c r="L181" s="198"/>
      <c r="M181" s="198"/>
      <c r="N181" s="198"/>
      <c r="O181" s="198"/>
      <c r="P181" s="198"/>
      <c r="Q181" s="198"/>
      <c r="R181" s="198"/>
      <c r="S181" s="198"/>
      <c r="T181" s="198"/>
      <c r="U181" s="198"/>
      <c r="V181" s="198"/>
      <c r="W181" s="198"/>
      <c r="X181" s="199"/>
    </row>
    <row r="182" spans="2:33" ht="15" customHeight="1">
      <c r="B182" s="116">
        <f>'Highway Loading'!C12</f>
        <v>12</v>
      </c>
      <c r="C182" s="112">
        <f>HLOOKUP($B$182,$C$155:$AD$178,3,FALSE)</f>
        <v>0.18</v>
      </c>
      <c r="D182" s="113">
        <f>HLOOKUP($B$182,$C$155:$AD$178,4,FALSE)</f>
        <v>0.20300000000000001</v>
      </c>
      <c r="E182" s="113">
        <f>HLOOKUP($B$182,$C$155:$AD$178,5,FALSE)</f>
        <v>0.219</v>
      </c>
      <c r="F182" s="113">
        <f>HLOOKUP($B$182,$C$155:$AD$178,6,FALSE)</f>
        <v>0.25</v>
      </c>
      <c r="G182" s="113">
        <f>HLOOKUP($B$182,$C$155:$AD$178,7,FALSE)</f>
        <v>0.28100000000000003</v>
      </c>
      <c r="H182" s="113">
        <f>HLOOKUP($B$182,$C$155:$AD$178,8,FALSE)</f>
        <v>0.312</v>
      </c>
      <c r="I182" s="113">
        <f>HLOOKUP($B$182,$C$155:$AD$178,9,FALSE)</f>
        <v>0.33</v>
      </c>
      <c r="J182" s="113">
        <f>HLOOKUP($B$182,$C$155:$AD$178,10,FALSE)</f>
        <v>0.34399999999999997</v>
      </c>
      <c r="K182" s="113">
        <f>HLOOKUP($B$182,$C$155:$AD$178,11,FALSE)</f>
        <v>0.375</v>
      </c>
      <c r="L182" s="113">
        <f>HLOOKUP($B$182,$C$155:$AD$178,12,FALSE)</f>
        <v>0.40600000000000003</v>
      </c>
      <c r="M182" s="113">
        <f>HLOOKUP($B$182,$C$155:$AD$178,13,FALSE)</f>
        <v>0.438</v>
      </c>
      <c r="N182" s="113">
        <f>HLOOKUP($B$182,$C$155:$AD$178,14,FALSE)</f>
        <v>0.5</v>
      </c>
      <c r="O182" s="113">
        <f>HLOOKUP($B$182,$C$155:$AD$178,15,FALSE)</f>
        <v>0.56200000000000006</v>
      </c>
      <c r="P182" s="113">
        <f>HLOOKUP($B$182,$C$155:$AD$178,16,FALSE)</f>
        <v>0.68799999999999994</v>
      </c>
      <c r="Q182" s="113">
        <f>HLOOKUP($B$182,$C$155:$AD$178,17,FALSE)</f>
        <v>0.84399999999999997</v>
      </c>
      <c r="R182" s="113">
        <f>HLOOKUP($B$182,$C$155:$AD$178,18,FALSE)</f>
        <v>1</v>
      </c>
      <c r="S182" s="113">
        <f>HLOOKUP($B$182,$C$155:$AD$178,19,FALSE)</f>
        <v>1.125</v>
      </c>
      <c r="T182" s="113">
        <f>HLOOKUP($B$182,$C$155:$AD$178,20,FALSE)</f>
        <v>1.3120000000000001</v>
      </c>
      <c r="U182" s="113" t="str">
        <f>HLOOKUP($B$182,$C$155:$AD$178,21,FALSE)</f>
        <v>116</v>
      </c>
      <c r="V182" s="117" t="str">
        <f>HLOOKUP($B$182,$C$155:$AD$178,22,FALSE)</f>
        <v>116</v>
      </c>
      <c r="W182" s="117" t="str">
        <f>HLOOKUP($B$182,$C$155:$AD$178,23,FALSE)</f>
        <v>116</v>
      </c>
      <c r="X182" s="118" t="str">
        <f>HLOOKUP($B$182,$C$155:$AD$178,24,FALSE)</f>
        <v>116</v>
      </c>
      <c r="Y182" t="s">
        <v>249</v>
      </c>
    </row>
    <row r="183" spans="2:33" ht="15" customHeight="1"/>
    <row r="184" spans="2:33" ht="15" customHeight="1">
      <c r="B184" s="119" t="s">
        <v>116</v>
      </c>
      <c r="C184" s="209" t="s">
        <v>250</v>
      </c>
      <c r="D184" s="194"/>
      <c r="E184" s="194"/>
      <c r="F184" s="194"/>
      <c r="G184" s="194"/>
      <c r="H184" s="194"/>
      <c r="I184" s="194"/>
      <c r="J184" s="194"/>
      <c r="K184" s="194"/>
      <c r="L184" s="194"/>
      <c r="M184" s="194"/>
      <c r="N184" s="194"/>
      <c r="O184" s="194"/>
      <c r="P184" s="194"/>
      <c r="Q184" s="194"/>
      <c r="R184" s="194"/>
      <c r="S184" s="194"/>
      <c r="T184" s="194"/>
      <c r="U184" s="194"/>
      <c r="V184" s="194"/>
      <c r="W184" s="194"/>
      <c r="X184" s="194"/>
      <c r="Y184" s="194"/>
      <c r="Z184" s="194"/>
      <c r="AA184" s="194"/>
      <c r="AB184" s="194"/>
      <c r="AC184" s="194"/>
      <c r="AD184" s="194"/>
      <c r="AE184" s="194"/>
      <c r="AF184" s="194"/>
      <c r="AG184" s="210"/>
    </row>
    <row r="185" spans="2:33">
      <c r="B185" s="90" t="s">
        <v>251</v>
      </c>
      <c r="C185" s="120" t="s">
        <v>252</v>
      </c>
      <c r="D185" s="121" t="s">
        <v>253</v>
      </c>
      <c r="E185" s="121" t="s">
        <v>246</v>
      </c>
      <c r="F185" s="121" t="s">
        <v>246</v>
      </c>
      <c r="G185" s="121" t="s">
        <v>246</v>
      </c>
      <c r="H185" s="121" t="s">
        <v>246</v>
      </c>
      <c r="I185" s="121" t="s">
        <v>246</v>
      </c>
      <c r="J185" s="121" t="s">
        <v>246</v>
      </c>
      <c r="K185" s="121" t="s">
        <v>246</v>
      </c>
      <c r="L185" s="121" t="s">
        <v>246</v>
      </c>
      <c r="M185" s="121" t="s">
        <v>246</v>
      </c>
      <c r="N185" s="121" t="s">
        <v>246</v>
      </c>
      <c r="O185" s="121" t="s">
        <v>246</v>
      </c>
      <c r="P185" s="121" t="s">
        <v>246</v>
      </c>
      <c r="Q185" s="121" t="s">
        <v>246</v>
      </c>
      <c r="R185" s="121" t="s">
        <v>246</v>
      </c>
      <c r="S185" s="121" t="s">
        <v>246</v>
      </c>
      <c r="T185" s="121" t="s">
        <v>246</v>
      </c>
      <c r="U185" s="121" t="s">
        <v>246</v>
      </c>
      <c r="V185" s="121" t="s">
        <v>246</v>
      </c>
      <c r="W185" s="121" t="s">
        <v>246</v>
      </c>
      <c r="X185" s="121" t="s">
        <v>246</v>
      </c>
      <c r="Y185" s="121" t="s">
        <v>246</v>
      </c>
      <c r="Z185" s="121" t="s">
        <v>246</v>
      </c>
      <c r="AA185" s="121" t="s">
        <v>246</v>
      </c>
      <c r="AB185" s="121" t="s">
        <v>246</v>
      </c>
      <c r="AC185" s="121" t="s">
        <v>246</v>
      </c>
      <c r="AD185" s="121" t="s">
        <v>246</v>
      </c>
      <c r="AE185" s="121" t="s">
        <v>246</v>
      </c>
      <c r="AF185" s="121" t="s">
        <v>246</v>
      </c>
      <c r="AG185" s="122" t="s">
        <v>246</v>
      </c>
    </row>
    <row r="186" spans="2:33">
      <c r="B186" s="123" t="s">
        <v>254</v>
      </c>
      <c r="C186" s="124" t="s">
        <v>252</v>
      </c>
      <c r="D186" s="125" t="s">
        <v>253</v>
      </c>
      <c r="E186" s="125" t="s">
        <v>246</v>
      </c>
      <c r="F186" s="125" t="s">
        <v>246</v>
      </c>
      <c r="G186" s="125" t="s">
        <v>246</v>
      </c>
      <c r="H186" s="125" t="s">
        <v>246</v>
      </c>
      <c r="I186" s="125" t="s">
        <v>246</v>
      </c>
      <c r="J186" s="125" t="s">
        <v>246</v>
      </c>
      <c r="K186" s="125" t="s">
        <v>246</v>
      </c>
      <c r="L186" s="125" t="s">
        <v>246</v>
      </c>
      <c r="M186" s="125" t="s">
        <v>246</v>
      </c>
      <c r="N186" s="125" t="s">
        <v>246</v>
      </c>
      <c r="O186" s="125" t="s">
        <v>246</v>
      </c>
      <c r="P186" s="125" t="s">
        <v>246</v>
      </c>
      <c r="Q186" s="125" t="s">
        <v>246</v>
      </c>
      <c r="R186" s="125" t="s">
        <v>246</v>
      </c>
      <c r="S186" s="125" t="s">
        <v>246</v>
      </c>
      <c r="T186" s="125" t="s">
        <v>246</v>
      </c>
      <c r="U186" s="125" t="s">
        <v>246</v>
      </c>
      <c r="V186" s="125" t="s">
        <v>246</v>
      </c>
      <c r="W186" s="125" t="s">
        <v>246</v>
      </c>
      <c r="X186" s="125" t="s">
        <v>246</v>
      </c>
      <c r="Y186" s="125" t="s">
        <v>246</v>
      </c>
      <c r="Z186" s="125" t="s">
        <v>246</v>
      </c>
      <c r="AA186" s="125" t="s">
        <v>246</v>
      </c>
      <c r="AB186" s="125" t="s">
        <v>246</v>
      </c>
      <c r="AC186" s="125" t="s">
        <v>246</v>
      </c>
      <c r="AD186" s="125" t="s">
        <v>246</v>
      </c>
      <c r="AE186" s="125" t="s">
        <v>246</v>
      </c>
      <c r="AF186" s="125" t="s">
        <v>246</v>
      </c>
      <c r="AG186" s="126" t="s">
        <v>246</v>
      </c>
    </row>
    <row r="187" spans="2:33">
      <c r="B187" s="123" t="s">
        <v>255</v>
      </c>
      <c r="C187" s="124" t="s">
        <v>256</v>
      </c>
      <c r="D187" s="125" t="s">
        <v>257</v>
      </c>
      <c r="E187" s="125" t="s">
        <v>258</v>
      </c>
      <c r="F187" s="125" t="s">
        <v>259</v>
      </c>
      <c r="G187" s="125" t="s">
        <v>260</v>
      </c>
      <c r="H187" s="125" t="s">
        <v>261</v>
      </c>
      <c r="I187" s="125" t="s">
        <v>262</v>
      </c>
      <c r="J187" s="125" t="s">
        <v>263</v>
      </c>
      <c r="K187" s="125" t="s">
        <v>264</v>
      </c>
      <c r="L187" s="125" t="s">
        <v>246</v>
      </c>
      <c r="M187" s="125" t="s">
        <v>246</v>
      </c>
      <c r="N187" s="125" t="s">
        <v>246</v>
      </c>
      <c r="O187" s="125" t="s">
        <v>246</v>
      </c>
      <c r="P187" s="125" t="s">
        <v>246</v>
      </c>
      <c r="Q187" s="125" t="s">
        <v>246</v>
      </c>
      <c r="R187" s="125" t="s">
        <v>246</v>
      </c>
      <c r="S187" s="125" t="s">
        <v>246</v>
      </c>
      <c r="T187" s="125" t="s">
        <v>246</v>
      </c>
      <c r="U187" s="125" t="s">
        <v>246</v>
      </c>
      <c r="V187" s="125" t="s">
        <v>246</v>
      </c>
      <c r="W187" s="125" t="s">
        <v>246</v>
      </c>
      <c r="X187" s="125" t="s">
        <v>246</v>
      </c>
      <c r="Y187" s="125" t="s">
        <v>246</v>
      </c>
      <c r="Z187" s="125" t="s">
        <v>246</v>
      </c>
      <c r="AA187" s="125" t="s">
        <v>246</v>
      </c>
      <c r="AB187" s="125" t="s">
        <v>246</v>
      </c>
      <c r="AC187" s="125" t="s">
        <v>246</v>
      </c>
      <c r="AD187" s="125" t="s">
        <v>246</v>
      </c>
      <c r="AE187" s="125" t="s">
        <v>246</v>
      </c>
      <c r="AF187" s="125" t="s">
        <v>246</v>
      </c>
      <c r="AG187" s="126" t="s">
        <v>246</v>
      </c>
    </row>
    <row r="188" spans="2:33">
      <c r="B188" s="123" t="s">
        <v>265</v>
      </c>
      <c r="C188" s="124" t="s">
        <v>266</v>
      </c>
      <c r="D188" s="125" t="s">
        <v>267</v>
      </c>
      <c r="E188" s="125" t="s">
        <v>268</v>
      </c>
      <c r="F188" s="125" t="s">
        <v>269</v>
      </c>
      <c r="G188" s="125" t="s">
        <v>270</v>
      </c>
      <c r="H188" s="125" t="s">
        <v>271</v>
      </c>
      <c r="I188" s="125" t="s">
        <v>272</v>
      </c>
      <c r="J188" s="125" t="s">
        <v>273</v>
      </c>
      <c r="K188" s="125" t="s">
        <v>274</v>
      </c>
      <c r="L188" s="125" t="s">
        <v>275</v>
      </c>
      <c r="M188" s="125" t="s">
        <v>276</v>
      </c>
      <c r="N188" s="125" t="s">
        <v>277</v>
      </c>
      <c r="O188" s="125" t="s">
        <v>278</v>
      </c>
      <c r="P188" s="125" t="s">
        <v>279</v>
      </c>
      <c r="Q188" s="125" t="s">
        <v>280</v>
      </c>
      <c r="R188" s="125" t="s">
        <v>281</v>
      </c>
      <c r="S188" s="125" t="s">
        <v>282</v>
      </c>
      <c r="T188" s="125" t="s">
        <v>283</v>
      </c>
      <c r="U188" s="125" t="s">
        <v>284</v>
      </c>
      <c r="V188" s="125" t="s">
        <v>285</v>
      </c>
      <c r="W188" s="125" t="s">
        <v>286</v>
      </c>
      <c r="X188" s="125" t="s">
        <v>287</v>
      </c>
      <c r="Y188" s="125" t="s">
        <v>288</v>
      </c>
      <c r="Z188" s="125" t="s">
        <v>289</v>
      </c>
      <c r="AA188" s="125" t="s">
        <v>290</v>
      </c>
      <c r="AB188" s="125" t="s">
        <v>291</v>
      </c>
      <c r="AC188" s="125" t="s">
        <v>292</v>
      </c>
      <c r="AD188" s="125" t="s">
        <v>293</v>
      </c>
      <c r="AE188" s="125" t="s">
        <v>294</v>
      </c>
      <c r="AF188" s="125" t="s">
        <v>295</v>
      </c>
      <c r="AG188" s="126" t="s">
        <v>296</v>
      </c>
    </row>
    <row r="189" spans="2:33">
      <c r="B189" s="123" t="s">
        <v>297</v>
      </c>
      <c r="C189" s="124" t="s">
        <v>298</v>
      </c>
      <c r="D189" s="125" t="s">
        <v>299</v>
      </c>
      <c r="E189" s="125" t="s">
        <v>300</v>
      </c>
      <c r="F189" s="125" t="s">
        <v>301</v>
      </c>
      <c r="G189" s="125" t="s">
        <v>302</v>
      </c>
      <c r="H189" s="125" t="s">
        <v>303</v>
      </c>
      <c r="I189" s="125" t="s">
        <v>304</v>
      </c>
      <c r="J189" s="125" t="s">
        <v>305</v>
      </c>
      <c r="K189" s="125" t="s">
        <v>306</v>
      </c>
      <c r="L189" s="125" t="s">
        <v>307</v>
      </c>
      <c r="M189" s="125" t="s">
        <v>308</v>
      </c>
      <c r="N189" s="125" t="s">
        <v>309</v>
      </c>
      <c r="O189" s="125" t="s">
        <v>310</v>
      </c>
      <c r="P189" s="125" t="s">
        <v>311</v>
      </c>
      <c r="Q189" s="125" t="s">
        <v>312</v>
      </c>
      <c r="R189" s="125" t="s">
        <v>313</v>
      </c>
      <c r="S189" s="125" t="s">
        <v>314</v>
      </c>
      <c r="T189" s="125" t="s">
        <v>315</v>
      </c>
      <c r="U189" s="125" t="s">
        <v>316</v>
      </c>
      <c r="V189" s="125" t="s">
        <v>317</v>
      </c>
      <c r="W189" s="125" t="s">
        <v>318</v>
      </c>
      <c r="X189" s="125" t="s">
        <v>319</v>
      </c>
      <c r="Y189" s="125" t="s">
        <v>320</v>
      </c>
      <c r="Z189" s="125" t="s">
        <v>246</v>
      </c>
      <c r="AA189" s="125" t="s">
        <v>246</v>
      </c>
      <c r="AB189" s="125" t="s">
        <v>246</v>
      </c>
      <c r="AC189" s="125" t="s">
        <v>246</v>
      </c>
      <c r="AD189" s="125" t="s">
        <v>246</v>
      </c>
      <c r="AE189" s="125" t="s">
        <v>246</v>
      </c>
      <c r="AF189" s="125" t="s">
        <v>246</v>
      </c>
      <c r="AG189" s="126" t="s">
        <v>246</v>
      </c>
    </row>
    <row r="190" spans="2:33">
      <c r="B190" s="123" t="s">
        <v>321</v>
      </c>
      <c r="C190" s="124" t="s">
        <v>322</v>
      </c>
      <c r="D190" s="125" t="s">
        <v>323</v>
      </c>
      <c r="E190" s="125" t="s">
        <v>324</v>
      </c>
      <c r="F190" s="125" t="s">
        <v>325</v>
      </c>
      <c r="G190" s="125" t="s">
        <v>326</v>
      </c>
      <c r="H190" s="125" t="s">
        <v>327</v>
      </c>
      <c r="I190" s="125" t="s">
        <v>328</v>
      </c>
      <c r="J190" s="125" t="s">
        <v>329</v>
      </c>
      <c r="K190" s="125" t="s">
        <v>330</v>
      </c>
      <c r="L190" s="125" t="s">
        <v>331</v>
      </c>
      <c r="M190" s="125" t="s">
        <v>332</v>
      </c>
      <c r="N190" s="125" t="s">
        <v>333</v>
      </c>
      <c r="O190" s="125" t="s">
        <v>334</v>
      </c>
      <c r="P190" s="125">
        <v>91</v>
      </c>
      <c r="Q190" s="125" t="s">
        <v>246</v>
      </c>
      <c r="R190" s="125" t="s">
        <v>246</v>
      </c>
      <c r="S190" s="125" t="s">
        <v>246</v>
      </c>
      <c r="T190" s="125" t="s">
        <v>246</v>
      </c>
      <c r="U190" s="125" t="s">
        <v>246</v>
      </c>
      <c r="V190" s="125" t="s">
        <v>246</v>
      </c>
      <c r="W190" s="125" t="s">
        <v>246</v>
      </c>
      <c r="X190" s="125" t="s">
        <v>246</v>
      </c>
      <c r="Y190" s="125" t="s">
        <v>246</v>
      </c>
      <c r="Z190" s="125" t="s">
        <v>246</v>
      </c>
      <c r="AA190" s="125" t="s">
        <v>246</v>
      </c>
      <c r="AB190" s="125" t="s">
        <v>246</v>
      </c>
      <c r="AC190" s="125" t="s">
        <v>246</v>
      </c>
      <c r="AD190" s="125" t="s">
        <v>246</v>
      </c>
      <c r="AE190" s="125" t="s">
        <v>246</v>
      </c>
      <c r="AF190" s="125" t="s">
        <v>246</v>
      </c>
      <c r="AG190" s="126" t="s">
        <v>246</v>
      </c>
    </row>
    <row r="191" spans="2:33">
      <c r="B191" s="123" t="s">
        <v>117</v>
      </c>
      <c r="C191" s="124" t="s">
        <v>335</v>
      </c>
      <c r="D191" s="125" t="s">
        <v>336</v>
      </c>
      <c r="E191" s="125" t="s">
        <v>337</v>
      </c>
      <c r="F191" s="125" t="s">
        <v>338</v>
      </c>
      <c r="G191" s="125" t="s">
        <v>339</v>
      </c>
      <c r="H191" s="125" t="s">
        <v>119</v>
      </c>
      <c r="I191" s="125" t="s">
        <v>340</v>
      </c>
      <c r="J191" s="125" t="s">
        <v>341</v>
      </c>
      <c r="K191" s="125" t="s">
        <v>246</v>
      </c>
      <c r="L191" s="125" t="s">
        <v>246</v>
      </c>
      <c r="M191" s="125" t="s">
        <v>246</v>
      </c>
      <c r="N191" s="125" t="s">
        <v>246</v>
      </c>
      <c r="O191" s="125" t="s">
        <v>246</v>
      </c>
      <c r="P191" s="125" t="s">
        <v>246</v>
      </c>
      <c r="Q191" s="125" t="s">
        <v>246</v>
      </c>
      <c r="R191" s="125" t="s">
        <v>246</v>
      </c>
      <c r="S191" s="125" t="s">
        <v>246</v>
      </c>
      <c r="T191" s="125" t="s">
        <v>246</v>
      </c>
      <c r="U191" s="125" t="s">
        <v>246</v>
      </c>
      <c r="V191" s="125" t="s">
        <v>246</v>
      </c>
      <c r="W191" s="125" t="s">
        <v>246</v>
      </c>
      <c r="X191" s="125" t="s">
        <v>246</v>
      </c>
      <c r="Y191" s="125" t="s">
        <v>246</v>
      </c>
      <c r="Z191" s="125" t="s">
        <v>246</v>
      </c>
      <c r="AA191" s="125" t="s">
        <v>246</v>
      </c>
      <c r="AB191" s="125" t="s">
        <v>246</v>
      </c>
      <c r="AC191" s="125" t="s">
        <v>246</v>
      </c>
      <c r="AD191" s="125" t="s">
        <v>246</v>
      </c>
      <c r="AE191" s="125" t="s">
        <v>246</v>
      </c>
      <c r="AF191" s="125" t="s">
        <v>246</v>
      </c>
      <c r="AG191" s="126" t="s">
        <v>246</v>
      </c>
    </row>
    <row r="192" spans="2:33" ht="15" customHeight="1">
      <c r="B192" s="127" t="s">
        <v>342</v>
      </c>
      <c r="C192" s="128" t="s">
        <v>342</v>
      </c>
      <c r="D192" s="129" t="s">
        <v>246</v>
      </c>
      <c r="E192" s="129" t="s">
        <v>246</v>
      </c>
      <c r="F192" s="129" t="s">
        <v>246</v>
      </c>
      <c r="G192" s="129" t="s">
        <v>246</v>
      </c>
      <c r="H192" s="129" t="s">
        <v>246</v>
      </c>
      <c r="I192" s="129" t="s">
        <v>246</v>
      </c>
      <c r="J192" s="129" t="s">
        <v>246</v>
      </c>
      <c r="K192" s="129" t="s">
        <v>246</v>
      </c>
      <c r="L192" s="129" t="s">
        <v>246</v>
      </c>
      <c r="M192" s="129" t="s">
        <v>246</v>
      </c>
      <c r="N192" s="129" t="s">
        <v>246</v>
      </c>
      <c r="O192" s="129" t="s">
        <v>246</v>
      </c>
      <c r="P192" s="129" t="s">
        <v>246</v>
      </c>
      <c r="Q192" s="129" t="s">
        <v>246</v>
      </c>
      <c r="R192" s="129" t="s">
        <v>246</v>
      </c>
      <c r="S192" s="129" t="s">
        <v>246</v>
      </c>
      <c r="T192" s="129" t="s">
        <v>246</v>
      </c>
      <c r="U192" s="129" t="s">
        <v>246</v>
      </c>
      <c r="V192" s="129" t="s">
        <v>246</v>
      </c>
      <c r="W192" s="129" t="s">
        <v>246</v>
      </c>
      <c r="X192" s="129" t="s">
        <v>246</v>
      </c>
      <c r="Y192" s="129" t="s">
        <v>246</v>
      </c>
      <c r="Z192" s="129" t="s">
        <v>246</v>
      </c>
      <c r="AA192" s="129" t="s">
        <v>246</v>
      </c>
      <c r="AB192" s="129" t="s">
        <v>246</v>
      </c>
      <c r="AC192" s="129" t="s">
        <v>246</v>
      </c>
      <c r="AD192" s="129" t="s">
        <v>246</v>
      </c>
      <c r="AE192" s="129" t="s">
        <v>246</v>
      </c>
      <c r="AF192" s="129" t="s">
        <v>246</v>
      </c>
      <c r="AG192" s="130" t="s">
        <v>246</v>
      </c>
    </row>
    <row r="194" spans="2:33" ht="15" customHeight="1"/>
    <row r="195" spans="2:33" ht="15" customHeight="1">
      <c r="B195" s="119" t="s">
        <v>116</v>
      </c>
      <c r="C195" s="209" t="s">
        <v>343</v>
      </c>
      <c r="D195" s="194"/>
      <c r="E195" s="194"/>
      <c r="F195" s="194"/>
      <c r="G195" s="194"/>
      <c r="H195" s="194"/>
      <c r="I195" s="194"/>
      <c r="J195" s="194"/>
      <c r="K195" s="194"/>
      <c r="L195" s="194"/>
      <c r="M195" s="194"/>
      <c r="N195" s="194"/>
      <c r="O195" s="194"/>
      <c r="P195" s="194"/>
      <c r="Q195" s="194"/>
      <c r="R195" s="194"/>
      <c r="S195" s="194"/>
      <c r="T195" s="194"/>
      <c r="U195" s="194"/>
      <c r="V195" s="194"/>
      <c r="W195" s="194"/>
      <c r="X195" s="194"/>
      <c r="Y195" s="194"/>
      <c r="Z195" s="194"/>
      <c r="AA195" s="194"/>
      <c r="AB195" s="194"/>
      <c r="AC195" s="194"/>
      <c r="AD195" s="194"/>
      <c r="AE195" s="194"/>
      <c r="AF195" s="194"/>
      <c r="AG195" s="210"/>
    </row>
    <row r="196" spans="2:33">
      <c r="B196" s="90" t="s">
        <v>251</v>
      </c>
      <c r="C196" s="120" t="s">
        <v>252</v>
      </c>
      <c r="D196" s="121" t="s">
        <v>253</v>
      </c>
      <c r="E196" s="121"/>
      <c r="F196" s="121"/>
      <c r="G196" s="121"/>
      <c r="H196" s="121"/>
      <c r="I196" s="121"/>
      <c r="J196" s="121"/>
      <c r="K196" s="121"/>
      <c r="L196" s="121"/>
      <c r="M196" s="121"/>
      <c r="N196" s="121"/>
      <c r="O196" s="121"/>
      <c r="P196" s="121"/>
      <c r="Q196" s="121"/>
      <c r="R196" s="121"/>
      <c r="S196" s="121"/>
      <c r="T196" s="121"/>
      <c r="U196" s="121"/>
      <c r="V196" s="121"/>
      <c r="W196" s="121"/>
      <c r="X196" s="121"/>
      <c r="Y196" s="121"/>
      <c r="Z196" s="121"/>
      <c r="AA196" s="121"/>
      <c r="AB196" s="121"/>
      <c r="AC196" s="121"/>
      <c r="AD196" s="121"/>
      <c r="AE196" s="121"/>
      <c r="AF196" s="121"/>
      <c r="AG196" s="122"/>
    </row>
    <row r="197" spans="2:33" ht="15" customHeight="1">
      <c r="B197" s="127" t="s">
        <v>344</v>
      </c>
      <c r="C197" s="131">
        <v>30000</v>
      </c>
      <c r="D197" s="132">
        <v>35000</v>
      </c>
      <c r="E197" s="132"/>
      <c r="F197" s="132"/>
      <c r="G197" s="132"/>
      <c r="H197" s="132"/>
      <c r="I197" s="132"/>
      <c r="J197" s="132"/>
      <c r="K197" s="132"/>
      <c r="L197" s="132"/>
      <c r="M197" s="132"/>
      <c r="N197" s="132"/>
      <c r="O197" s="132"/>
      <c r="P197" s="132"/>
      <c r="Q197" s="132"/>
      <c r="R197" s="132"/>
      <c r="S197" s="132"/>
      <c r="T197" s="132"/>
      <c r="U197" s="132"/>
      <c r="V197" s="132"/>
      <c r="W197" s="132"/>
      <c r="X197" s="132"/>
      <c r="Y197" s="132"/>
      <c r="Z197" s="132"/>
      <c r="AA197" s="132"/>
      <c r="AB197" s="132"/>
      <c r="AC197" s="132"/>
      <c r="AD197" s="132"/>
      <c r="AE197" s="132"/>
      <c r="AF197" s="132"/>
      <c r="AG197" s="133"/>
    </row>
    <row r="198" spans="2:33">
      <c r="B198" s="90" t="s">
        <v>254</v>
      </c>
      <c r="C198" s="120" t="s">
        <v>252</v>
      </c>
      <c r="D198" s="121" t="s">
        <v>253</v>
      </c>
      <c r="E198" s="121"/>
      <c r="F198" s="121"/>
      <c r="G198" s="121"/>
      <c r="H198" s="121"/>
      <c r="I198" s="121"/>
      <c r="J198" s="121"/>
      <c r="K198" s="121"/>
      <c r="L198" s="121"/>
      <c r="M198" s="121"/>
      <c r="N198" s="121"/>
      <c r="O198" s="121"/>
      <c r="P198" s="121"/>
      <c r="Q198" s="121"/>
      <c r="R198" s="121"/>
      <c r="S198" s="121"/>
      <c r="T198" s="121"/>
      <c r="U198" s="121"/>
      <c r="V198" s="121"/>
      <c r="W198" s="121"/>
      <c r="X198" s="121"/>
      <c r="Y198" s="121"/>
      <c r="Z198" s="121"/>
      <c r="AA198" s="121"/>
      <c r="AB198" s="121"/>
      <c r="AC198" s="121"/>
      <c r="AD198" s="121"/>
      <c r="AE198" s="121"/>
      <c r="AF198" s="121"/>
      <c r="AG198" s="122"/>
    </row>
    <row r="199" spans="2:33" ht="15" customHeight="1">
      <c r="B199" s="127" t="s">
        <v>345</v>
      </c>
      <c r="C199" s="131">
        <v>30000</v>
      </c>
      <c r="D199" s="132">
        <v>35000</v>
      </c>
      <c r="E199" s="132"/>
      <c r="F199" s="132"/>
      <c r="G199" s="132"/>
      <c r="H199" s="132"/>
      <c r="I199" s="132"/>
      <c r="J199" s="132"/>
      <c r="K199" s="132"/>
      <c r="L199" s="132"/>
      <c r="M199" s="132"/>
      <c r="N199" s="132"/>
      <c r="O199" s="132"/>
      <c r="P199" s="132"/>
      <c r="Q199" s="132"/>
      <c r="R199" s="132"/>
      <c r="S199" s="132"/>
      <c r="T199" s="132"/>
      <c r="U199" s="132"/>
      <c r="V199" s="132"/>
      <c r="W199" s="132"/>
      <c r="X199" s="132"/>
      <c r="Y199" s="132"/>
      <c r="Z199" s="132"/>
      <c r="AA199" s="132"/>
      <c r="AB199" s="132"/>
      <c r="AC199" s="132"/>
      <c r="AD199" s="132"/>
      <c r="AE199" s="132"/>
      <c r="AF199" s="132"/>
      <c r="AG199" s="133"/>
    </row>
    <row r="200" spans="2:33">
      <c r="B200" s="90" t="s">
        <v>255</v>
      </c>
      <c r="C200" s="120" t="s">
        <v>256</v>
      </c>
      <c r="D200" s="121" t="s">
        <v>257</v>
      </c>
      <c r="E200" s="121" t="s">
        <v>258</v>
      </c>
      <c r="F200" s="121" t="s">
        <v>259</v>
      </c>
      <c r="G200" s="121" t="s">
        <v>260</v>
      </c>
      <c r="H200" s="121" t="s">
        <v>261</v>
      </c>
      <c r="I200" s="121" t="s">
        <v>262</v>
      </c>
      <c r="J200" s="121" t="s">
        <v>263</v>
      </c>
      <c r="K200" s="121" t="s">
        <v>264</v>
      </c>
      <c r="L200" s="121"/>
      <c r="M200" s="121"/>
      <c r="N200" s="121"/>
      <c r="O200" s="121"/>
      <c r="P200" s="121"/>
      <c r="Q200" s="121"/>
      <c r="R200" s="121"/>
      <c r="S200" s="121"/>
      <c r="T200" s="121"/>
      <c r="U200" s="121"/>
      <c r="V200" s="121"/>
      <c r="W200" s="121"/>
      <c r="X200" s="121"/>
      <c r="Y200" s="121"/>
      <c r="Z200" s="121"/>
      <c r="AA200" s="121"/>
      <c r="AB200" s="121"/>
      <c r="AC200" s="121"/>
      <c r="AD200" s="121"/>
      <c r="AE200" s="121"/>
      <c r="AF200" s="121"/>
      <c r="AG200" s="122"/>
    </row>
    <row r="201" spans="2:33" ht="15" customHeight="1">
      <c r="B201" s="127" t="s">
        <v>346</v>
      </c>
      <c r="C201" s="131">
        <v>30000</v>
      </c>
      <c r="D201" s="132">
        <v>35000</v>
      </c>
      <c r="E201" s="132">
        <v>35000</v>
      </c>
      <c r="F201" s="132">
        <v>35000</v>
      </c>
      <c r="G201" s="132">
        <v>35000</v>
      </c>
      <c r="H201" s="132">
        <v>75000</v>
      </c>
      <c r="I201" s="132">
        <v>46000</v>
      </c>
      <c r="J201" s="132">
        <v>65000</v>
      </c>
      <c r="K201" s="132">
        <v>35000</v>
      </c>
      <c r="L201" s="132"/>
      <c r="M201" s="132"/>
      <c r="N201" s="132"/>
      <c r="O201" s="132"/>
      <c r="P201" s="132"/>
      <c r="Q201" s="132"/>
      <c r="R201" s="132"/>
      <c r="S201" s="132"/>
      <c r="T201" s="132"/>
      <c r="U201" s="132"/>
      <c r="V201" s="132"/>
      <c r="W201" s="132"/>
      <c r="X201" s="132"/>
      <c r="Y201" s="132"/>
      <c r="Z201" s="132"/>
      <c r="AA201" s="132"/>
      <c r="AB201" s="132"/>
      <c r="AC201" s="132"/>
      <c r="AD201" s="132"/>
      <c r="AE201" s="132"/>
      <c r="AF201" s="132"/>
      <c r="AG201" s="133"/>
    </row>
    <row r="202" spans="2:33">
      <c r="B202" s="90" t="s">
        <v>265</v>
      </c>
      <c r="C202" s="120" t="s">
        <v>266</v>
      </c>
      <c r="D202" s="121" t="s">
        <v>267</v>
      </c>
      <c r="E202" s="121" t="s">
        <v>268</v>
      </c>
      <c r="F202" s="121" t="s">
        <v>269</v>
      </c>
      <c r="G202" s="121" t="s">
        <v>270</v>
      </c>
      <c r="H202" s="121" t="s">
        <v>271</v>
      </c>
      <c r="I202" s="121" t="s">
        <v>272</v>
      </c>
      <c r="J202" s="121" t="s">
        <v>273</v>
      </c>
      <c r="K202" s="121" t="s">
        <v>274</v>
      </c>
      <c r="L202" s="121" t="s">
        <v>275</v>
      </c>
      <c r="M202" s="121" t="s">
        <v>276</v>
      </c>
      <c r="N202" s="121" t="s">
        <v>277</v>
      </c>
      <c r="O202" s="121" t="s">
        <v>278</v>
      </c>
      <c r="P202" s="121" t="s">
        <v>279</v>
      </c>
      <c r="Q202" s="121" t="s">
        <v>280</v>
      </c>
      <c r="R202" s="121" t="s">
        <v>281</v>
      </c>
      <c r="S202" s="121" t="s">
        <v>282</v>
      </c>
      <c r="T202" s="121" t="s">
        <v>283</v>
      </c>
      <c r="U202" s="121" t="s">
        <v>284</v>
      </c>
      <c r="V202" s="121" t="s">
        <v>285</v>
      </c>
      <c r="W202" s="121" t="s">
        <v>286</v>
      </c>
      <c r="X202" s="121" t="s">
        <v>287</v>
      </c>
      <c r="Y202" s="121" t="s">
        <v>288</v>
      </c>
      <c r="Z202" s="121" t="s">
        <v>289</v>
      </c>
      <c r="AA202" s="121" t="s">
        <v>290</v>
      </c>
      <c r="AB202" s="121" t="s">
        <v>291</v>
      </c>
      <c r="AC202" s="121" t="s">
        <v>292</v>
      </c>
      <c r="AD202" s="121" t="s">
        <v>293</v>
      </c>
      <c r="AE202" s="121" t="s">
        <v>294</v>
      </c>
      <c r="AF202" s="121" t="s">
        <v>295</v>
      </c>
      <c r="AG202" s="122" t="s">
        <v>296</v>
      </c>
    </row>
    <row r="203" spans="2:33" ht="15" customHeight="1">
      <c r="B203" s="127" t="s">
        <v>347</v>
      </c>
      <c r="C203" s="131">
        <v>30000</v>
      </c>
      <c r="D203" s="132">
        <v>32000</v>
      </c>
      <c r="E203" s="132">
        <v>35000</v>
      </c>
      <c r="F203" s="132">
        <v>38000</v>
      </c>
      <c r="G203" s="132">
        <v>32000</v>
      </c>
      <c r="H203" s="132">
        <v>35000</v>
      </c>
      <c r="I203" s="132">
        <v>38000</v>
      </c>
      <c r="J203" s="132">
        <v>50000</v>
      </c>
      <c r="K203" s="132">
        <v>60000</v>
      </c>
      <c r="L203" s="132">
        <v>37000</v>
      </c>
      <c r="M203" s="132">
        <v>40000</v>
      </c>
      <c r="N203" s="132">
        <v>37000</v>
      </c>
      <c r="O203" s="132">
        <v>40000</v>
      </c>
      <c r="P203" s="132">
        <v>100000</v>
      </c>
      <c r="Q203" s="132">
        <v>100000</v>
      </c>
      <c r="R203" s="132">
        <v>100000</v>
      </c>
      <c r="S203" s="132">
        <v>100000</v>
      </c>
      <c r="T203" s="132">
        <v>100000</v>
      </c>
      <c r="U203" s="132">
        <v>100000</v>
      </c>
      <c r="V203" s="132">
        <v>100000</v>
      </c>
      <c r="W203" s="132">
        <v>100000</v>
      </c>
      <c r="X203" s="132">
        <v>100000</v>
      </c>
      <c r="Y203" s="132">
        <v>100000</v>
      </c>
      <c r="Z203" s="132">
        <v>100000</v>
      </c>
      <c r="AA203" s="132">
        <v>100000</v>
      </c>
      <c r="AB203" s="132">
        <v>100000</v>
      </c>
      <c r="AC203" s="132">
        <v>100000</v>
      </c>
      <c r="AD203" s="132">
        <v>100000</v>
      </c>
      <c r="AE203" s="132">
        <v>42000</v>
      </c>
      <c r="AF203" s="132">
        <v>65000</v>
      </c>
      <c r="AG203" s="133">
        <v>75000</v>
      </c>
    </row>
    <row r="204" spans="2:33">
      <c r="B204" s="90" t="s">
        <v>297</v>
      </c>
      <c r="C204" s="120" t="s">
        <v>298</v>
      </c>
      <c r="D204" s="121" t="s">
        <v>299</v>
      </c>
      <c r="E204" s="121" t="s">
        <v>300</v>
      </c>
      <c r="F204" s="121" t="s">
        <v>301</v>
      </c>
      <c r="G204" s="121" t="s">
        <v>302</v>
      </c>
      <c r="H204" s="121" t="s">
        <v>303</v>
      </c>
      <c r="I204" s="121" t="s">
        <v>304</v>
      </c>
      <c r="J204" s="121" t="s">
        <v>305</v>
      </c>
      <c r="K204" s="121" t="s">
        <v>306</v>
      </c>
      <c r="L204" s="121" t="s">
        <v>307</v>
      </c>
      <c r="M204" s="121" t="s">
        <v>308</v>
      </c>
      <c r="N204" s="121" t="s">
        <v>309</v>
      </c>
      <c r="O204" s="121" t="s">
        <v>310</v>
      </c>
      <c r="P204" s="121" t="s">
        <v>311</v>
      </c>
      <c r="Q204" s="121" t="s">
        <v>312</v>
      </c>
      <c r="R204" s="121" t="s">
        <v>313</v>
      </c>
      <c r="S204" s="121" t="s">
        <v>314</v>
      </c>
      <c r="T204" s="121" t="s">
        <v>315</v>
      </c>
      <c r="U204" s="121" t="s">
        <v>316</v>
      </c>
      <c r="V204" s="121" t="s">
        <v>317</v>
      </c>
      <c r="W204" s="121" t="s">
        <v>318</v>
      </c>
      <c r="X204" s="121" t="s">
        <v>319</v>
      </c>
      <c r="Y204" s="121" t="s">
        <v>320</v>
      </c>
      <c r="Z204" s="121"/>
      <c r="AA204" s="121"/>
      <c r="AB204" s="121"/>
      <c r="AC204" s="121"/>
      <c r="AD204" s="121"/>
      <c r="AE204" s="121"/>
      <c r="AF204" s="121"/>
      <c r="AG204" s="122"/>
    </row>
    <row r="205" spans="2:33" ht="15" customHeight="1">
      <c r="B205" s="127" t="s">
        <v>348</v>
      </c>
      <c r="C205" s="131">
        <v>24000</v>
      </c>
      <c r="D205" s="132">
        <v>27000</v>
      </c>
      <c r="E205" s="132">
        <v>30000</v>
      </c>
      <c r="F205" s="132">
        <v>32000</v>
      </c>
      <c r="G205" s="132">
        <v>35000</v>
      </c>
      <c r="H205" s="132">
        <v>38000</v>
      </c>
      <c r="I205" s="132">
        <v>30000</v>
      </c>
      <c r="J205" s="132">
        <v>32000</v>
      </c>
      <c r="K205" s="132">
        <v>35000</v>
      </c>
      <c r="L205" s="132">
        <v>38000</v>
      </c>
      <c r="M205" s="132">
        <v>50000</v>
      </c>
      <c r="N205" s="132">
        <v>60000</v>
      </c>
      <c r="O205" s="132">
        <v>45000</v>
      </c>
      <c r="P205" s="132">
        <v>50000</v>
      </c>
      <c r="Q205" s="132">
        <v>50000</v>
      </c>
      <c r="R205" s="132">
        <v>70000</v>
      </c>
      <c r="S205" s="132">
        <v>83000</v>
      </c>
      <c r="T205" s="132">
        <v>45000</v>
      </c>
      <c r="U205" s="132">
        <v>47000</v>
      </c>
      <c r="V205" s="132">
        <v>37000</v>
      </c>
      <c r="W205" s="132">
        <v>40000</v>
      </c>
      <c r="X205" s="132">
        <v>43000</v>
      </c>
      <c r="Y205" s="132">
        <v>42000</v>
      </c>
      <c r="Z205" s="132"/>
      <c r="AA205" s="132"/>
      <c r="AB205" s="132"/>
      <c r="AC205" s="132"/>
      <c r="AD205" s="132"/>
      <c r="AE205" s="132"/>
      <c r="AF205" s="132"/>
      <c r="AG205" s="133"/>
    </row>
    <row r="206" spans="2:33">
      <c r="B206" s="90" t="s">
        <v>321</v>
      </c>
      <c r="C206" s="120" t="s">
        <v>322</v>
      </c>
      <c r="D206" s="121" t="s">
        <v>323</v>
      </c>
      <c r="E206" s="121" t="s">
        <v>324</v>
      </c>
      <c r="F206" s="121" t="s">
        <v>325</v>
      </c>
      <c r="G206" s="121" t="s">
        <v>326</v>
      </c>
      <c r="H206" s="121" t="s">
        <v>327</v>
      </c>
      <c r="I206" s="121" t="s">
        <v>328</v>
      </c>
      <c r="J206" s="121" t="s">
        <v>329</v>
      </c>
      <c r="K206" s="121" t="s">
        <v>330</v>
      </c>
      <c r="L206" s="121" t="s">
        <v>331</v>
      </c>
      <c r="M206" s="121" t="s">
        <v>332</v>
      </c>
      <c r="N206" s="121" t="s">
        <v>333</v>
      </c>
      <c r="O206" s="121" t="s">
        <v>334</v>
      </c>
      <c r="P206" s="121">
        <v>91</v>
      </c>
      <c r="Q206" s="121"/>
      <c r="R206" s="121"/>
      <c r="S206" s="121"/>
      <c r="T206" s="121"/>
      <c r="U206" s="121"/>
      <c r="V206" s="121"/>
      <c r="W206" s="121"/>
      <c r="X206" s="121"/>
      <c r="Y206" s="121"/>
      <c r="Z206" s="121"/>
      <c r="AA206" s="121"/>
      <c r="AB206" s="121"/>
      <c r="AC206" s="121"/>
      <c r="AD206" s="121"/>
      <c r="AE206" s="121"/>
      <c r="AF206" s="121"/>
      <c r="AG206" s="122"/>
    </row>
    <row r="207" spans="2:33" ht="15" customHeight="1">
      <c r="B207" s="127" t="s">
        <v>349</v>
      </c>
      <c r="C207" s="131">
        <v>37000</v>
      </c>
      <c r="D207" s="132">
        <v>40000</v>
      </c>
      <c r="E207" s="132">
        <v>43000</v>
      </c>
      <c r="F207" s="132">
        <v>50000</v>
      </c>
      <c r="G207" s="132">
        <v>42000</v>
      </c>
      <c r="H207" s="132">
        <v>60000</v>
      </c>
      <c r="I207" s="132">
        <v>45000</v>
      </c>
      <c r="J207" s="132">
        <v>40000</v>
      </c>
      <c r="K207" s="132">
        <v>45000</v>
      </c>
      <c r="L207" s="132">
        <v>45000</v>
      </c>
      <c r="M207" s="132">
        <v>45000</v>
      </c>
      <c r="N207" s="132">
        <v>45000</v>
      </c>
      <c r="O207" s="132">
        <v>45000</v>
      </c>
      <c r="P207" s="132">
        <v>60000</v>
      </c>
      <c r="Q207" s="132"/>
      <c r="R207" s="132"/>
      <c r="S207" s="132"/>
      <c r="T207" s="132"/>
      <c r="U207" s="132"/>
      <c r="V207" s="132"/>
      <c r="W207" s="132"/>
      <c r="X207" s="132"/>
      <c r="Y207" s="132"/>
      <c r="Z207" s="132"/>
      <c r="AA207" s="132"/>
      <c r="AB207" s="132"/>
      <c r="AC207" s="132"/>
      <c r="AD207" s="132"/>
      <c r="AE207" s="132"/>
      <c r="AF207" s="132"/>
      <c r="AG207" s="133"/>
    </row>
    <row r="208" spans="2:33">
      <c r="B208" s="90" t="s">
        <v>117</v>
      </c>
      <c r="C208" s="120" t="s">
        <v>335</v>
      </c>
      <c r="D208" s="121" t="s">
        <v>336</v>
      </c>
      <c r="E208" s="121" t="s">
        <v>337</v>
      </c>
      <c r="F208" s="121" t="s">
        <v>338</v>
      </c>
      <c r="G208" s="121" t="s">
        <v>339</v>
      </c>
      <c r="H208" s="121" t="s">
        <v>119</v>
      </c>
      <c r="I208" s="121" t="s">
        <v>340</v>
      </c>
      <c r="J208" s="121" t="s">
        <v>341</v>
      </c>
      <c r="K208" s="121"/>
      <c r="L208" s="121"/>
      <c r="M208" s="121"/>
      <c r="N208" s="121"/>
      <c r="O208" s="121"/>
      <c r="P208" s="121"/>
      <c r="Q208" s="121"/>
      <c r="R208" s="121"/>
      <c r="S208" s="121"/>
      <c r="T208" s="121"/>
      <c r="U208" s="121"/>
      <c r="V208" s="121"/>
      <c r="W208" s="121"/>
      <c r="X208" s="121"/>
      <c r="Y208" s="121"/>
      <c r="Z208" s="121"/>
      <c r="AA208" s="121"/>
      <c r="AB208" s="121"/>
      <c r="AC208" s="121"/>
      <c r="AD208" s="121"/>
      <c r="AE208" s="121"/>
      <c r="AF208" s="121"/>
      <c r="AG208" s="122"/>
    </row>
    <row r="209" spans="2:33" ht="15" customHeight="1">
      <c r="B209" s="127" t="s">
        <v>350</v>
      </c>
      <c r="C209" s="131">
        <v>42000</v>
      </c>
      <c r="D209" s="132">
        <v>46000</v>
      </c>
      <c r="E209" s="132">
        <v>52000</v>
      </c>
      <c r="F209" s="132">
        <v>56000</v>
      </c>
      <c r="G209" s="132">
        <v>60000</v>
      </c>
      <c r="H209" s="132">
        <v>65000</v>
      </c>
      <c r="I209" s="132">
        <v>70000</v>
      </c>
      <c r="J209" s="132">
        <v>80000</v>
      </c>
      <c r="K209" s="132"/>
      <c r="L209" s="132"/>
      <c r="M209" s="132"/>
      <c r="N209" s="132"/>
      <c r="O209" s="132"/>
      <c r="P209" s="132"/>
      <c r="Q209" s="132"/>
      <c r="R209" s="132"/>
      <c r="S209" s="132"/>
      <c r="T209" s="132"/>
      <c r="U209" s="132"/>
      <c r="V209" s="132"/>
      <c r="W209" s="132"/>
      <c r="X209" s="132"/>
      <c r="Y209" s="132"/>
      <c r="Z209" s="132"/>
      <c r="AA209" s="132"/>
      <c r="AB209" s="132"/>
      <c r="AC209" s="132"/>
      <c r="AD209" s="132"/>
      <c r="AE209" s="132"/>
      <c r="AF209" s="132"/>
      <c r="AG209" s="133"/>
    </row>
    <row r="210" spans="2:33">
      <c r="B210" s="90" t="s">
        <v>342</v>
      </c>
      <c r="C210" s="120" t="s">
        <v>342</v>
      </c>
      <c r="D210" s="121"/>
      <c r="E210" s="121"/>
      <c r="F210" s="121"/>
      <c r="G210" s="121"/>
      <c r="H210" s="121"/>
      <c r="I210" s="121"/>
      <c r="J210" s="121"/>
      <c r="K210" s="121"/>
      <c r="L210" s="121"/>
      <c r="M210" s="121"/>
      <c r="N210" s="121"/>
      <c r="O210" s="121"/>
      <c r="P210" s="121"/>
      <c r="Q210" s="121"/>
      <c r="R210" s="121"/>
      <c r="S210" s="121"/>
      <c r="T210" s="121"/>
      <c r="U210" s="121"/>
      <c r="V210" s="121"/>
      <c r="W210" s="121"/>
      <c r="X210" s="121"/>
      <c r="Y210" s="121"/>
      <c r="Z210" s="121"/>
      <c r="AA210" s="121"/>
      <c r="AB210" s="121"/>
      <c r="AC210" s="121"/>
      <c r="AD210" s="121"/>
      <c r="AE210" s="121"/>
      <c r="AF210" s="121"/>
      <c r="AG210" s="122"/>
    </row>
    <row r="211" spans="2:33" ht="15" customHeight="1">
      <c r="B211" s="127" t="s">
        <v>351</v>
      </c>
      <c r="C211" s="131">
        <v>24000</v>
      </c>
      <c r="D211" s="132"/>
      <c r="E211" s="132"/>
      <c r="F211" s="132"/>
      <c r="G211" s="132"/>
      <c r="H211" s="132"/>
      <c r="I211" s="132"/>
      <c r="J211" s="132"/>
      <c r="K211" s="132"/>
      <c r="L211" s="132"/>
      <c r="M211" s="132"/>
      <c r="N211" s="132"/>
      <c r="O211" s="132"/>
      <c r="P211" s="132"/>
      <c r="Q211" s="132"/>
      <c r="R211" s="132"/>
      <c r="S211" s="132"/>
      <c r="T211" s="132"/>
      <c r="U211" s="132"/>
      <c r="V211" s="132"/>
      <c r="W211" s="132"/>
      <c r="X211" s="132"/>
      <c r="Y211" s="132"/>
      <c r="Z211" s="132"/>
      <c r="AA211" s="132"/>
      <c r="AB211" s="132"/>
      <c r="AC211" s="132"/>
      <c r="AD211" s="132"/>
      <c r="AE211" s="132"/>
      <c r="AF211" s="132"/>
      <c r="AG211" s="133"/>
    </row>
    <row r="213" spans="2:33" ht="15" customHeight="1"/>
    <row r="214" spans="2:33" ht="15" customHeight="1">
      <c r="B214" s="134" t="s">
        <v>352</v>
      </c>
      <c r="C214" s="193" t="s">
        <v>353</v>
      </c>
      <c r="D214" s="194"/>
      <c r="E214" s="194"/>
      <c r="F214" s="194"/>
      <c r="G214" s="194"/>
      <c r="H214" s="194"/>
      <c r="I214" s="194"/>
      <c r="J214" s="194"/>
      <c r="K214" s="194"/>
      <c r="L214" s="194"/>
      <c r="M214" s="194"/>
      <c r="N214" s="194"/>
      <c r="O214" s="194"/>
      <c r="P214" s="194"/>
      <c r="Q214" s="194"/>
      <c r="R214" s="194"/>
      <c r="S214" s="194"/>
      <c r="T214" s="194"/>
      <c r="U214" s="194"/>
      <c r="V214" s="194"/>
      <c r="W214" s="194"/>
      <c r="X214" s="194"/>
      <c r="Y214" s="194"/>
      <c r="Z214" s="194"/>
      <c r="AA214" s="194"/>
      <c r="AB214" s="194"/>
      <c r="AC214" s="194"/>
      <c r="AD214" s="194"/>
      <c r="AE214" s="194"/>
      <c r="AF214" s="194"/>
      <c r="AG214" s="195"/>
    </row>
    <row r="215" spans="2:33">
      <c r="B215" s="135" t="str">
        <f>'Highway Loading'!C15</f>
        <v>API 5L</v>
      </c>
      <c r="C215" s="100" t="str">
        <f>VLOOKUP($B$215,$B$185:$AG$192,2,FALSE)</f>
        <v>X42</v>
      </c>
      <c r="D215" s="101" t="str">
        <f>VLOOKUP($B$215,$B$185:$AG$192,3,FALSE)</f>
        <v>X46</v>
      </c>
      <c r="E215" s="101" t="str">
        <f>VLOOKUP($B$215,$B$185:$AG$192,4,FALSE)</f>
        <v>X52</v>
      </c>
      <c r="F215" s="101" t="str">
        <f>VLOOKUP($B$215,$B$185:$AG$192,5,FALSE)</f>
        <v>X56</v>
      </c>
      <c r="G215" s="101" t="str">
        <f>VLOOKUP($B$215,$B$185:$AG$192,6,FALSE)</f>
        <v>X60</v>
      </c>
      <c r="H215" s="101" t="str">
        <f>VLOOKUP($B$215,$B$185:$AG$192,7,FALSE)</f>
        <v>X65</v>
      </c>
      <c r="I215" s="101" t="str">
        <f>VLOOKUP($B$215,$B$185:$AG$192,8,FALSE)</f>
        <v>X70</v>
      </c>
      <c r="J215" s="101" t="str">
        <f>VLOOKUP($B$215,$B$185:$AG$192,9,FALSE)</f>
        <v>X80</v>
      </c>
      <c r="K215" s="101" t="str">
        <f>VLOOKUP($B$215,$B$185:$AG$192,10,FALSE)</f>
        <v>116</v>
      </c>
      <c r="L215" s="101" t="str">
        <f>VLOOKUP($B$215,$B$185:$AG$192,11,FALSE)</f>
        <v>116</v>
      </c>
      <c r="M215" s="101" t="str">
        <f>VLOOKUP($B$215,$B$185:$AG$192,12,FALSE)</f>
        <v>116</v>
      </c>
      <c r="N215" s="101" t="str">
        <f>VLOOKUP($B$215,$B$185:$AG$192,13,FALSE)</f>
        <v>116</v>
      </c>
      <c r="O215" s="101" t="str">
        <f>VLOOKUP($B$215,$B$185:$AG$192,14,FALSE)</f>
        <v>116</v>
      </c>
      <c r="P215" s="101" t="str">
        <f>VLOOKUP($B$215,$B$185:$AG$192,15,FALSE)</f>
        <v>116</v>
      </c>
      <c r="Q215" s="101" t="str">
        <f>VLOOKUP($B$215,$B$185:$AG$192,16,FALSE)</f>
        <v>116</v>
      </c>
      <c r="R215" s="101" t="str">
        <f>VLOOKUP($B$215,$B$185:$AG$192,17,FALSE)</f>
        <v>116</v>
      </c>
      <c r="S215" s="101" t="str">
        <f>VLOOKUP($B$215,$B$185:$AG$192,18,FALSE)</f>
        <v>116</v>
      </c>
      <c r="T215" s="101" t="str">
        <f>VLOOKUP($B$215,$B$185:$AG$192,19,FALSE)</f>
        <v>116</v>
      </c>
      <c r="U215" s="101" t="str">
        <f>VLOOKUP($B$215,$B$185:$AG$192,20,FALSE)</f>
        <v>116</v>
      </c>
      <c r="V215" s="101" t="str">
        <f>VLOOKUP($B$215,$B$185:$AG$192,21,FALSE)</f>
        <v>116</v>
      </c>
      <c r="W215" s="101" t="str">
        <f>VLOOKUP($B$215,$B$185:$AG$192,22,FALSE)</f>
        <v>116</v>
      </c>
      <c r="X215" s="101" t="str">
        <f>VLOOKUP($B$215,$B$185:$AG$192,23,FALSE)</f>
        <v>116</v>
      </c>
      <c r="Y215" s="101" t="str">
        <f>VLOOKUP($B$215,$B$185:$AG$192,24,FALSE)</f>
        <v>116</v>
      </c>
      <c r="Z215" s="101" t="str">
        <f>VLOOKUP($B$215,$B$185:$AG$192,25,FALSE)</f>
        <v>116</v>
      </c>
      <c r="AA215" s="101" t="str">
        <f>VLOOKUP($B$215,$B$185:$AG$192,26,FALSE)</f>
        <v>116</v>
      </c>
      <c r="AB215" s="101" t="str">
        <f>VLOOKUP($B$215,$B$185:$AG$192,27,FALSE)</f>
        <v>116</v>
      </c>
      <c r="AC215" s="101" t="str">
        <f>VLOOKUP($B$215,$B$185:$AG$192,28,FALSE)</f>
        <v>116</v>
      </c>
      <c r="AD215" s="101" t="str">
        <f>VLOOKUP($B$215,$B$185:$AG$192,29,FALSE)</f>
        <v>116</v>
      </c>
      <c r="AE215" s="101" t="str">
        <f>VLOOKUP($B$215,$B$185:$AG$192,30,FALSE)</f>
        <v>116</v>
      </c>
      <c r="AF215" s="101" t="str">
        <f>VLOOKUP($B$215,$B$185:$AG$192,31,FALSE)</f>
        <v>116</v>
      </c>
      <c r="AG215" s="136" t="str">
        <f>VLOOKUP($B$215,$B$185:$AG$192,32,FALSE)</f>
        <v>116</v>
      </c>
    </row>
    <row r="216" spans="2:33" ht="15" customHeight="1">
      <c r="B216" s="137" t="str">
        <f t="array" ref="B216">INDEX($B$196:$B$211,MATCH($B$215,$B$196:$B$211,0)+1)</f>
        <v>API 5L SMYS</v>
      </c>
      <c r="C216" s="138">
        <f>VLOOKUP($B$216,$B$196:$AG$211,2,FALSE)</f>
        <v>42000</v>
      </c>
      <c r="D216" s="117">
        <f>VLOOKUP($B$216,$B$196:$AG$211,3,FALSE)</f>
        <v>46000</v>
      </c>
      <c r="E216" s="117">
        <f>VLOOKUP($B$216,$B$196:$AG$211,4,FALSE)</f>
        <v>52000</v>
      </c>
      <c r="F216" s="117">
        <f>VLOOKUP($B$216,$B$196:$AG$211,5,FALSE)</f>
        <v>56000</v>
      </c>
      <c r="G216" s="117">
        <f>VLOOKUP($B$216,$B$196:$AG$211,6,FALSE)</f>
        <v>60000</v>
      </c>
      <c r="H216" s="117">
        <f>VLOOKUP($B$216,$B$196:$AG$211,7,FALSE)</f>
        <v>65000</v>
      </c>
      <c r="I216" s="117">
        <f>VLOOKUP($B$216,$B$196:$AG$211,8,FALSE)</f>
        <v>70000</v>
      </c>
      <c r="J216" s="117">
        <f>VLOOKUP($B$216,$B$196:$AG$211,9,FALSE)</f>
        <v>80000</v>
      </c>
      <c r="K216" s="117">
        <f>VLOOKUP($B$216,$B$196:$AG$211,10,FALSE)</f>
        <v>0</v>
      </c>
      <c r="L216" s="117">
        <f>VLOOKUP($B$216,$B$196:$AG$211,11,FALSE)</f>
        <v>0</v>
      </c>
      <c r="M216" s="117">
        <f>VLOOKUP($B$216,$B$196:$AG$211,12,FALSE)</f>
        <v>0</v>
      </c>
      <c r="N216" s="117">
        <f>VLOOKUP($B$216,$B$196:$AG$211,13,FALSE)</f>
        <v>0</v>
      </c>
      <c r="O216" s="117">
        <f>VLOOKUP($B$216,$B$196:$AG$211,14,FALSE)</f>
        <v>0</v>
      </c>
      <c r="P216" s="117">
        <f>VLOOKUP($B$216,$B$196:$AG$211,15,FALSE)</f>
        <v>0</v>
      </c>
      <c r="Q216" s="117">
        <f>VLOOKUP($B$216,$B$196:$AG$211,16,FALSE)</f>
        <v>0</v>
      </c>
      <c r="R216" s="117">
        <f>VLOOKUP($B$216,$B$196:$AG$211,17,FALSE)</f>
        <v>0</v>
      </c>
      <c r="S216" s="117">
        <f>VLOOKUP($B$216,$B$196:$AG$211,18,FALSE)</f>
        <v>0</v>
      </c>
      <c r="T216" s="117">
        <f>VLOOKUP($B$216,$B$196:$AG$211,19,FALSE)</f>
        <v>0</v>
      </c>
      <c r="U216" s="117">
        <f>VLOOKUP($B$216,$B$196:$AG$211,20,FALSE)</f>
        <v>0</v>
      </c>
      <c r="V216" s="117">
        <f>VLOOKUP($B$216,$B$196:$AG$211,21,FALSE)</f>
        <v>0</v>
      </c>
      <c r="W216" s="117">
        <f>VLOOKUP($B$216,$B$196:$AG$211,22,FALSE)</f>
        <v>0</v>
      </c>
      <c r="X216" s="117">
        <f>VLOOKUP($B$216,$B$196:$AG$211,23,FALSE)</f>
        <v>0</v>
      </c>
      <c r="Y216" s="117">
        <f>VLOOKUP($B$216,$B$196:$AG$211,24,FALSE)</f>
        <v>0</v>
      </c>
      <c r="Z216" s="117">
        <f>VLOOKUP($B$216,$B$196:$AG$211,25,FALSE)</f>
        <v>0</v>
      </c>
      <c r="AA216" s="117">
        <f>VLOOKUP($B$216,$B$196:$AG$211,26,FALSE)</f>
        <v>0</v>
      </c>
      <c r="AB216" s="117">
        <f>VLOOKUP($B$216,$B$196:$AG$211,27,FALSE)</f>
        <v>0</v>
      </c>
      <c r="AC216" s="117">
        <f>VLOOKUP($B$216,$B$196:$AG$211,28,FALSE)</f>
        <v>0</v>
      </c>
      <c r="AD216" s="117">
        <f>VLOOKUP($B$216,$B$196:$AG$211,29,FALSE)</f>
        <v>0</v>
      </c>
      <c r="AE216" s="117">
        <f>VLOOKUP($B$216,$B$196:$AG$211,30,FALSE)</f>
        <v>0</v>
      </c>
      <c r="AF216" s="117">
        <f>VLOOKUP($B$216,$B$196:$AG$211,31,FALSE)</f>
        <v>0</v>
      </c>
      <c r="AG216" s="118">
        <f>VLOOKUP($B$216,$B$196:$AG$211,32,FALSE)</f>
        <v>0</v>
      </c>
    </row>
    <row r="217" spans="2:33">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c r="AA217" s="10"/>
      <c r="AB217" s="10"/>
      <c r="AC217" s="10"/>
      <c r="AD217" s="10"/>
      <c r="AE217" s="10"/>
      <c r="AF217" s="10"/>
      <c r="AG217" s="10"/>
    </row>
    <row r="218" spans="2:33" ht="15" customHeight="1"/>
    <row r="219" spans="2:33" ht="15" customHeight="1">
      <c r="B219" s="119" t="s">
        <v>116</v>
      </c>
      <c r="C219" s="213" t="s">
        <v>354</v>
      </c>
      <c r="D219" s="207"/>
      <c r="E219" s="207"/>
      <c r="F219" s="207"/>
      <c r="G219" s="214"/>
      <c r="H219" t="s">
        <v>355</v>
      </c>
    </row>
    <row r="220" spans="2:33">
      <c r="B220" s="90" t="s">
        <v>251</v>
      </c>
      <c r="C220" s="139" t="s">
        <v>356</v>
      </c>
      <c r="D220" s="140" t="s">
        <v>126</v>
      </c>
      <c r="E220" s="140" t="s">
        <v>357</v>
      </c>
      <c r="F220" s="121" t="s">
        <v>246</v>
      </c>
      <c r="G220" s="121" t="s">
        <v>246</v>
      </c>
      <c r="H220" t="s">
        <v>358</v>
      </c>
    </row>
    <row r="221" spans="2:33" ht="15" customHeight="1">
      <c r="B221" s="127" t="s">
        <v>359</v>
      </c>
      <c r="C221" s="141">
        <v>1</v>
      </c>
      <c r="D221" s="142">
        <v>1</v>
      </c>
      <c r="E221" s="142">
        <v>0.6</v>
      </c>
      <c r="F221" s="142"/>
      <c r="G221" s="142"/>
    </row>
    <row r="222" spans="2:33">
      <c r="B222" s="90" t="s">
        <v>254</v>
      </c>
      <c r="C222" s="139" t="s">
        <v>356</v>
      </c>
      <c r="D222" s="121" t="s">
        <v>246</v>
      </c>
      <c r="E222" s="121" t="s">
        <v>246</v>
      </c>
      <c r="F222" s="121" t="s">
        <v>246</v>
      </c>
      <c r="G222" s="121" t="s">
        <v>246</v>
      </c>
    </row>
    <row r="223" spans="2:33" ht="15" customHeight="1">
      <c r="B223" s="127" t="s">
        <v>360</v>
      </c>
      <c r="C223" s="141">
        <v>1</v>
      </c>
      <c r="D223" s="142"/>
      <c r="E223" s="142"/>
      <c r="F223" s="142"/>
      <c r="G223" s="142"/>
    </row>
    <row r="224" spans="2:33">
      <c r="B224" s="90" t="s">
        <v>255</v>
      </c>
      <c r="C224" s="139" t="s">
        <v>356</v>
      </c>
      <c r="D224" s="140" t="s">
        <v>126</v>
      </c>
      <c r="E224" s="140" t="s">
        <v>361</v>
      </c>
      <c r="F224" s="121" t="s">
        <v>246</v>
      </c>
      <c r="G224" s="121" t="s">
        <v>246</v>
      </c>
    </row>
    <row r="225" spans="2:33" ht="15" customHeight="1">
      <c r="B225" s="127" t="s">
        <v>362</v>
      </c>
      <c r="C225" s="141">
        <v>1</v>
      </c>
      <c r="D225" s="142">
        <v>1</v>
      </c>
      <c r="E225" s="142">
        <v>1</v>
      </c>
      <c r="F225" s="142"/>
      <c r="G225" s="142"/>
    </row>
    <row r="226" spans="2:33">
      <c r="B226" s="90" t="s">
        <v>265</v>
      </c>
      <c r="C226" s="139" t="s">
        <v>363</v>
      </c>
      <c r="D226" s="140" t="s">
        <v>364</v>
      </c>
      <c r="E226" s="121" t="s">
        <v>246</v>
      </c>
      <c r="F226" s="121" t="s">
        <v>246</v>
      </c>
      <c r="G226" s="121" t="s">
        <v>246</v>
      </c>
      <c r="H226" t="s">
        <v>365</v>
      </c>
    </row>
    <row r="227" spans="2:33" ht="15" customHeight="1">
      <c r="B227" s="127" t="s">
        <v>366</v>
      </c>
      <c r="C227" s="141">
        <v>1</v>
      </c>
      <c r="D227" s="142">
        <v>0.8</v>
      </c>
      <c r="E227" s="142"/>
      <c r="F227" s="142"/>
      <c r="G227" s="142"/>
    </row>
    <row r="228" spans="2:33">
      <c r="B228" s="90" t="s">
        <v>297</v>
      </c>
      <c r="C228" s="139" t="s">
        <v>363</v>
      </c>
      <c r="D228" s="140" t="s">
        <v>364</v>
      </c>
      <c r="E228" s="121" t="s">
        <v>246</v>
      </c>
      <c r="F228" s="121" t="s">
        <v>246</v>
      </c>
      <c r="G228" s="121" t="s">
        <v>246</v>
      </c>
      <c r="H228" t="s">
        <v>367</v>
      </c>
    </row>
    <row r="229" spans="2:33" ht="15" customHeight="1">
      <c r="B229" s="127" t="s">
        <v>368</v>
      </c>
      <c r="C229" s="141">
        <v>1</v>
      </c>
      <c r="D229" s="142">
        <v>0.8</v>
      </c>
      <c r="E229" s="142"/>
      <c r="F229" s="142"/>
      <c r="G229" s="142"/>
    </row>
    <row r="230" spans="2:33">
      <c r="B230" s="90" t="s">
        <v>321</v>
      </c>
      <c r="C230" s="139" t="s">
        <v>363</v>
      </c>
      <c r="D230" s="140" t="s">
        <v>364</v>
      </c>
      <c r="E230" s="121" t="s">
        <v>246</v>
      </c>
      <c r="F230" s="121" t="s">
        <v>246</v>
      </c>
      <c r="G230" s="121" t="s">
        <v>246</v>
      </c>
      <c r="H230" t="s">
        <v>369</v>
      </c>
    </row>
    <row r="231" spans="2:33" ht="15" customHeight="1">
      <c r="B231" s="127" t="s">
        <v>370</v>
      </c>
      <c r="C231" s="141">
        <v>1</v>
      </c>
      <c r="D231" s="142">
        <v>0.8</v>
      </c>
      <c r="E231" s="142"/>
      <c r="F231" s="142"/>
      <c r="G231" s="142"/>
    </row>
    <row r="232" spans="2:33">
      <c r="B232" s="90" t="s">
        <v>117</v>
      </c>
      <c r="C232" s="139" t="s">
        <v>356</v>
      </c>
      <c r="D232" s="140" t="s">
        <v>126</v>
      </c>
      <c r="E232" s="140" t="s">
        <v>361</v>
      </c>
      <c r="F232" s="140" t="s">
        <v>357</v>
      </c>
      <c r="G232" s="140" t="s">
        <v>371</v>
      </c>
    </row>
    <row r="233" spans="2:33" ht="15" customHeight="1">
      <c r="B233" s="127" t="s">
        <v>372</v>
      </c>
      <c r="C233" s="141">
        <v>1</v>
      </c>
      <c r="D233" s="142">
        <v>1</v>
      </c>
      <c r="E233" s="142">
        <v>1</v>
      </c>
      <c r="F233" s="142">
        <v>0.6</v>
      </c>
      <c r="G233" s="142">
        <v>1</v>
      </c>
    </row>
    <row r="234" spans="2:33">
      <c r="B234" s="90" t="s">
        <v>342</v>
      </c>
      <c r="C234" s="139" t="s">
        <v>342</v>
      </c>
      <c r="D234" s="140" t="s">
        <v>342</v>
      </c>
      <c r="E234" s="121" t="s">
        <v>246</v>
      </c>
      <c r="F234" s="121" t="s">
        <v>246</v>
      </c>
      <c r="G234" s="121" t="s">
        <v>246</v>
      </c>
      <c r="H234" t="s">
        <v>373</v>
      </c>
    </row>
    <row r="235" spans="2:33" ht="15" customHeight="1">
      <c r="B235" s="127" t="s">
        <v>374</v>
      </c>
      <c r="C235" s="141">
        <v>0.8</v>
      </c>
      <c r="D235" s="142">
        <v>0.6</v>
      </c>
      <c r="E235" s="142"/>
      <c r="F235" s="142"/>
      <c r="G235" s="142"/>
    </row>
    <row r="236" spans="2:33">
      <c r="B236" s="143"/>
      <c r="C236" s="144"/>
      <c r="D236" s="144"/>
      <c r="E236" s="144"/>
      <c r="F236" s="144"/>
      <c r="G236" s="144"/>
      <c r="H236" s="144"/>
      <c r="I236" s="144"/>
      <c r="J236" s="144"/>
      <c r="K236" s="144"/>
      <c r="L236" s="144"/>
      <c r="M236" s="144"/>
      <c r="N236" s="144"/>
      <c r="O236" s="144"/>
      <c r="P236" s="144"/>
      <c r="Q236" s="144"/>
      <c r="R236" s="144"/>
      <c r="S236" s="144"/>
      <c r="T236" s="144"/>
      <c r="U236" s="144"/>
      <c r="V236" s="144"/>
      <c r="W236" s="144"/>
      <c r="X236" s="144"/>
      <c r="Y236" s="144"/>
      <c r="Z236" s="144"/>
      <c r="AA236" s="144"/>
      <c r="AB236" s="144"/>
      <c r="AC236" s="144"/>
      <c r="AD236" s="144"/>
      <c r="AE236" s="144"/>
      <c r="AF236" s="144"/>
      <c r="AG236" s="144"/>
    </row>
    <row r="237" spans="2:33" ht="15" customHeight="1">
      <c r="B237" s="143"/>
      <c r="C237" s="144"/>
      <c r="D237" s="144"/>
      <c r="E237" s="144"/>
      <c r="F237" s="144"/>
      <c r="G237" s="144"/>
      <c r="H237" s="144"/>
      <c r="I237" s="144"/>
      <c r="J237" s="144"/>
      <c r="K237" s="144"/>
      <c r="L237" s="144"/>
      <c r="M237" s="144"/>
      <c r="N237" s="144"/>
      <c r="O237" s="144"/>
      <c r="P237" s="144"/>
      <c r="Q237" s="144"/>
      <c r="R237" s="144"/>
      <c r="S237" s="144"/>
      <c r="T237" s="144"/>
      <c r="U237" s="144"/>
      <c r="V237" s="144"/>
      <c r="W237" s="144"/>
      <c r="X237" s="144"/>
      <c r="Y237" s="144"/>
      <c r="Z237" s="144"/>
      <c r="AA237" s="144"/>
      <c r="AB237" s="144"/>
      <c r="AC237" s="144"/>
      <c r="AD237" s="144"/>
      <c r="AE237" s="144"/>
      <c r="AF237" s="144"/>
      <c r="AG237" s="144"/>
    </row>
    <row r="238" spans="2:33" ht="15" customHeight="1">
      <c r="B238" s="145" t="s">
        <v>352</v>
      </c>
      <c r="C238" s="206" t="s">
        <v>375</v>
      </c>
      <c r="D238" s="207"/>
      <c r="E238" s="207"/>
      <c r="F238" s="207"/>
      <c r="G238" s="208"/>
      <c r="H238" s="144" t="s">
        <v>376</v>
      </c>
      <c r="I238" s="144"/>
      <c r="J238" s="144"/>
      <c r="K238" s="144"/>
      <c r="L238" s="144"/>
      <c r="M238" s="144"/>
      <c r="N238" s="144"/>
      <c r="O238" s="144"/>
      <c r="P238" s="144"/>
      <c r="Q238" s="144"/>
      <c r="R238" s="144"/>
      <c r="S238" s="144"/>
      <c r="T238" s="144"/>
      <c r="U238" s="144"/>
      <c r="V238" s="144"/>
      <c r="W238" s="144"/>
      <c r="X238" s="144"/>
      <c r="Y238" s="144"/>
      <c r="Z238" s="144"/>
      <c r="AA238" s="144"/>
      <c r="AB238" s="144"/>
      <c r="AC238" s="144"/>
      <c r="AD238" s="144"/>
      <c r="AE238" s="144"/>
      <c r="AF238" s="144"/>
      <c r="AG238" s="144"/>
    </row>
    <row r="239" spans="2:33">
      <c r="B239" s="146" t="str">
        <f>'Highway Loading'!C15</f>
        <v>API 5L</v>
      </c>
      <c r="C239" s="147" t="str">
        <f>VLOOKUP($B$239,$B$220:$G$235,2,FALSE)</f>
        <v>Seamless</v>
      </c>
      <c r="D239" s="148" t="str">
        <f>VLOOKUP($B$239,$B$220:$G$235,3,FALSE)</f>
        <v>Electric Resistance Welded</v>
      </c>
      <c r="E239" s="148" t="str">
        <f>VLOOKUP($B$239,$B$220:$G$235,4,FALSE)</f>
        <v>Submerged Arc Welded</v>
      </c>
      <c r="F239" s="149" t="str">
        <f>VLOOKUP($B$239,$B$220:$G$235,5,FALSE)</f>
        <v>Furnace Butt Welded</v>
      </c>
      <c r="G239" s="150" t="str">
        <f>VLOOKUP($B$239,$B$220:$G$235,6,FALSE)</f>
        <v>Combination Welded</v>
      </c>
      <c r="H239" s="144"/>
      <c r="I239" s="144"/>
      <c r="J239" s="144"/>
      <c r="K239" s="144"/>
      <c r="L239" s="144"/>
      <c r="M239" s="144"/>
      <c r="N239" s="144"/>
      <c r="O239" s="144"/>
      <c r="P239" s="144"/>
      <c r="Q239" s="144"/>
      <c r="R239" s="144"/>
      <c r="S239" s="144"/>
      <c r="T239" s="144"/>
      <c r="U239" s="144"/>
      <c r="V239" s="144"/>
      <c r="W239" s="144"/>
      <c r="X239" s="144"/>
      <c r="Y239" s="144"/>
      <c r="Z239" s="144"/>
      <c r="AA239" s="144"/>
      <c r="AB239" s="144"/>
      <c r="AC239" s="144"/>
      <c r="AD239" s="144"/>
      <c r="AE239" s="144"/>
      <c r="AF239" s="144"/>
      <c r="AG239" s="144"/>
    </row>
    <row r="240" spans="2:33" ht="15" customHeight="1">
      <c r="B240" s="151" t="str">
        <f t="array" ref="B240">INDEX(B220:B235,MATCH(B239,B220:B235,0)+1)</f>
        <v>API 5L Weld Seam Factor</v>
      </c>
      <c r="C240" s="152">
        <f>VLOOKUP($B$240,$B$220:$G$235,2,FALSE)</f>
        <v>1</v>
      </c>
      <c r="D240" s="153">
        <f>VLOOKUP($B$240,$B$220:$G$235,3,FALSE)</f>
        <v>1</v>
      </c>
      <c r="E240" s="153">
        <f>VLOOKUP($B$240,$B$220:$G$235,4,FALSE)</f>
        <v>1</v>
      </c>
      <c r="F240" s="153">
        <f>VLOOKUP($B$240,$B$220:$G$235,5,FALSE)</f>
        <v>0.6</v>
      </c>
      <c r="G240" s="154">
        <f>VLOOKUP($B$240,$B$220:$G$235,6,FALSE)</f>
        <v>1</v>
      </c>
      <c r="H240" s="144"/>
      <c r="I240" s="144"/>
      <c r="J240" s="144"/>
      <c r="K240" s="144"/>
      <c r="L240" s="144"/>
      <c r="M240" s="144"/>
      <c r="N240" s="144"/>
      <c r="O240" s="144"/>
      <c r="P240" s="144"/>
      <c r="Q240" s="144"/>
      <c r="R240" s="144"/>
      <c r="S240" s="144"/>
      <c r="T240" s="144"/>
      <c r="U240" s="144"/>
      <c r="V240" s="144"/>
      <c r="W240" s="144"/>
      <c r="X240" s="144"/>
      <c r="Y240" s="144"/>
      <c r="Z240" s="144"/>
      <c r="AA240" s="144"/>
      <c r="AB240" s="144"/>
      <c r="AC240" s="144"/>
      <c r="AD240" s="144"/>
      <c r="AE240" s="144"/>
      <c r="AF240" s="144"/>
      <c r="AG240" s="144"/>
    </row>
    <row r="241" spans="2:15" ht="15" customHeight="1"/>
    <row r="242" spans="2:15" ht="18" customHeight="1">
      <c r="B242" s="1"/>
      <c r="C242" s="1"/>
      <c r="E242" s="7"/>
      <c r="F242" s="155"/>
      <c r="H242" s="215" t="s">
        <v>377</v>
      </c>
      <c r="I242" s="194"/>
      <c r="J242" s="194"/>
      <c r="K242" s="194"/>
      <c r="L242" s="195"/>
      <c r="N242" s="156"/>
      <c r="O242" s="1"/>
    </row>
    <row r="243" spans="2:15">
      <c r="B243" s="10"/>
      <c r="E243" s="143"/>
      <c r="F243" s="157"/>
      <c r="H243" s="158"/>
      <c r="I243" s="211" t="s">
        <v>123</v>
      </c>
      <c r="J243" s="183"/>
      <c r="K243" s="183"/>
      <c r="L243" s="212"/>
    </row>
    <row r="244" spans="2:15" ht="15" customHeight="1">
      <c r="B244" s="10"/>
      <c r="E244" s="143"/>
      <c r="F244" s="157"/>
      <c r="H244" s="159" t="s">
        <v>378</v>
      </c>
      <c r="I244" s="160">
        <v>1</v>
      </c>
      <c r="J244" s="160">
        <v>2</v>
      </c>
      <c r="K244" s="160">
        <v>3</v>
      </c>
      <c r="L244" s="161">
        <v>4</v>
      </c>
    </row>
    <row r="245" spans="2:15">
      <c r="B245" s="10"/>
      <c r="E245" s="143"/>
      <c r="F245" s="157"/>
      <c r="H245" s="162" t="s">
        <v>122</v>
      </c>
      <c r="I245">
        <v>0.72</v>
      </c>
      <c r="J245">
        <v>0.6</v>
      </c>
      <c r="K245">
        <v>0.5</v>
      </c>
      <c r="L245" s="163">
        <v>0.4</v>
      </c>
    </row>
    <row r="246" spans="2:15">
      <c r="B246" s="10"/>
      <c r="E246" s="143"/>
      <c r="F246" s="157"/>
      <c r="H246" s="164" t="s">
        <v>379</v>
      </c>
      <c r="I246">
        <v>0.6</v>
      </c>
      <c r="J246">
        <v>0.5</v>
      </c>
      <c r="K246">
        <v>0.5</v>
      </c>
      <c r="L246" s="163">
        <v>0.4</v>
      </c>
    </row>
    <row r="247" spans="2:15">
      <c r="B247" s="10"/>
      <c r="E247" s="143"/>
      <c r="F247" s="157"/>
      <c r="H247" s="164" t="s">
        <v>380</v>
      </c>
      <c r="I247">
        <v>0.72</v>
      </c>
      <c r="J247">
        <v>0.6</v>
      </c>
      <c r="K247">
        <v>0.5</v>
      </c>
      <c r="L247" s="163">
        <v>0.4</v>
      </c>
    </row>
    <row r="248" spans="2:15">
      <c r="B248" s="10"/>
      <c r="E248" s="143"/>
      <c r="F248" s="157"/>
      <c r="H248" s="164" t="s">
        <v>381</v>
      </c>
      <c r="I248">
        <v>0.6</v>
      </c>
      <c r="J248">
        <v>0.6</v>
      </c>
      <c r="K248">
        <v>0.5</v>
      </c>
      <c r="L248" s="163">
        <v>0.4</v>
      </c>
    </row>
    <row r="249" spans="2:15">
      <c r="B249" s="10"/>
      <c r="E249" s="143"/>
      <c r="F249" s="157"/>
      <c r="H249" s="164" t="s">
        <v>382</v>
      </c>
      <c r="I249">
        <v>0.6</v>
      </c>
      <c r="J249">
        <v>0.6</v>
      </c>
      <c r="K249">
        <v>0.5</v>
      </c>
      <c r="L249" s="163">
        <v>0.4</v>
      </c>
    </row>
    <row r="250" spans="2:15">
      <c r="B250" s="10"/>
      <c r="E250" s="143"/>
      <c r="F250" s="157"/>
      <c r="H250" s="162" t="s">
        <v>383</v>
      </c>
      <c r="I250">
        <v>0.6</v>
      </c>
      <c r="J250">
        <v>0.6</v>
      </c>
      <c r="K250">
        <v>0.5</v>
      </c>
      <c r="L250" s="163">
        <v>0.4</v>
      </c>
    </row>
    <row r="251" spans="2:15">
      <c r="B251" s="10"/>
      <c r="E251" s="143"/>
      <c r="F251" s="157"/>
      <c r="H251" s="164" t="s">
        <v>384</v>
      </c>
      <c r="I251">
        <v>0.6</v>
      </c>
      <c r="J251">
        <v>0.6</v>
      </c>
      <c r="K251">
        <v>0.5</v>
      </c>
      <c r="L251" s="163">
        <v>0.4</v>
      </c>
    </row>
    <row r="252" spans="2:15">
      <c r="H252" s="162" t="s">
        <v>385</v>
      </c>
      <c r="I252">
        <v>0.5</v>
      </c>
      <c r="J252">
        <v>0.5</v>
      </c>
      <c r="K252">
        <v>0.5</v>
      </c>
      <c r="L252" s="163">
        <v>0.4</v>
      </c>
    </row>
    <row r="253" spans="2:15" ht="15" customHeight="1">
      <c r="H253" s="165" t="s">
        <v>386</v>
      </c>
      <c r="I253" s="153">
        <v>0.5</v>
      </c>
      <c r="J253" s="153">
        <v>0.5</v>
      </c>
      <c r="K253" s="153">
        <v>0.5</v>
      </c>
      <c r="L253" s="154">
        <v>0.4</v>
      </c>
    </row>
    <row r="255" spans="2:15">
      <c r="B255" s="1" t="s">
        <v>387</v>
      </c>
      <c r="C255" s="1" t="s">
        <v>205</v>
      </c>
      <c r="D255" s="1" t="s">
        <v>220</v>
      </c>
    </row>
    <row r="256" spans="2:15">
      <c r="B256" t="s">
        <v>388</v>
      </c>
      <c r="C256">
        <v>200</v>
      </c>
      <c r="D256">
        <v>5000</v>
      </c>
    </row>
    <row r="257" spans="2:4">
      <c r="B257" t="s">
        <v>389</v>
      </c>
      <c r="C257">
        <v>500</v>
      </c>
      <c r="D257">
        <v>5000</v>
      </c>
    </row>
    <row r="258" spans="2:4">
      <c r="B258" t="s">
        <v>141</v>
      </c>
      <c r="C258">
        <v>500</v>
      </c>
      <c r="D258">
        <v>10000</v>
      </c>
    </row>
    <row r="259" spans="2:4">
      <c r="B259" t="s">
        <v>390</v>
      </c>
      <c r="C259">
        <v>1000</v>
      </c>
      <c r="D259">
        <v>10000</v>
      </c>
    </row>
    <row r="260" spans="2:4">
      <c r="B260" t="s">
        <v>391</v>
      </c>
      <c r="C260">
        <v>1000</v>
      </c>
      <c r="D260">
        <v>10000</v>
      </c>
    </row>
    <row r="261" spans="2:4">
      <c r="B261" t="s">
        <v>392</v>
      </c>
      <c r="C261">
        <v>2000</v>
      </c>
      <c r="D261">
        <v>20000</v>
      </c>
    </row>
    <row r="263" spans="2:4">
      <c r="B263" s="1" t="s">
        <v>393</v>
      </c>
      <c r="C263" s="1" t="s">
        <v>394</v>
      </c>
      <c r="D263" s="1"/>
    </row>
    <row r="264" spans="2:4">
      <c r="B264">
        <v>1</v>
      </c>
      <c r="C264">
        <v>0.72</v>
      </c>
    </row>
    <row r="265" spans="2:4">
      <c r="B265">
        <v>2</v>
      </c>
      <c r="C265">
        <v>0.6</v>
      </c>
    </row>
    <row r="266" spans="2:4">
      <c r="B266">
        <v>3</v>
      </c>
      <c r="C266">
        <v>0.5</v>
      </c>
    </row>
    <row r="267" spans="2:4">
      <c r="B267">
        <v>4</v>
      </c>
      <c r="C267">
        <v>0.4</v>
      </c>
    </row>
    <row r="269" spans="2:4">
      <c r="B269" s="196" t="s">
        <v>395</v>
      </c>
      <c r="C269" s="183"/>
    </row>
    <row r="270" spans="2:4">
      <c r="B270" s="2" t="s">
        <v>125</v>
      </c>
      <c r="C270" s="2" t="s">
        <v>395</v>
      </c>
    </row>
    <row r="271" spans="2:4">
      <c r="B271" t="s">
        <v>356</v>
      </c>
      <c r="C271">
        <v>1</v>
      </c>
    </row>
    <row r="272" spans="2:4">
      <c r="B272" t="s">
        <v>126</v>
      </c>
      <c r="C272">
        <v>1</v>
      </c>
    </row>
    <row r="273" spans="2:7">
      <c r="B273" t="s">
        <v>357</v>
      </c>
      <c r="C273">
        <v>0.6</v>
      </c>
    </row>
    <row r="274" spans="2:7">
      <c r="B274" t="s">
        <v>396</v>
      </c>
      <c r="C274">
        <v>1</v>
      </c>
    </row>
    <row r="275" spans="2:7">
      <c r="B275" t="s">
        <v>397</v>
      </c>
      <c r="C275">
        <v>1</v>
      </c>
    </row>
    <row r="276" spans="2:7">
      <c r="B276" t="s">
        <v>361</v>
      </c>
      <c r="C276">
        <v>1</v>
      </c>
    </row>
    <row r="277" spans="2:7">
      <c r="B277" t="s">
        <v>398</v>
      </c>
      <c r="C277">
        <v>0.8</v>
      </c>
    </row>
    <row r="278" spans="2:7">
      <c r="B278" t="s">
        <v>399</v>
      </c>
      <c r="C278">
        <v>0.6</v>
      </c>
    </row>
    <row r="281" spans="2:7">
      <c r="B281" s="196" t="s">
        <v>400</v>
      </c>
      <c r="C281" s="183"/>
      <c r="D281" s="183"/>
      <c r="E281" s="183"/>
      <c r="F281" s="183"/>
      <c r="G281" s="183"/>
    </row>
    <row r="282" spans="2:7">
      <c r="B282" s="2" t="s">
        <v>401</v>
      </c>
      <c r="C282" s="2" t="s">
        <v>402</v>
      </c>
      <c r="D282" s="2" t="s">
        <v>403</v>
      </c>
      <c r="E282" s="2" t="s">
        <v>404</v>
      </c>
    </row>
    <row r="283" spans="2:7">
      <c r="B283" t="s">
        <v>129</v>
      </c>
      <c r="C283">
        <v>29000000</v>
      </c>
      <c r="D283">
        <v>0.3</v>
      </c>
      <c r="E283">
        <v>6.4999999999999996E-6</v>
      </c>
    </row>
    <row r="284" spans="2:7">
      <c r="B284" t="s">
        <v>405</v>
      </c>
      <c r="C284">
        <v>10000000</v>
      </c>
      <c r="D284">
        <v>0.33</v>
      </c>
      <c r="E284">
        <v>1.31E-5</v>
      </c>
    </row>
    <row r="285" spans="2:7">
      <c r="B285" t="s">
        <v>406</v>
      </c>
      <c r="C285">
        <v>14500000</v>
      </c>
      <c r="D285">
        <v>0.21</v>
      </c>
      <c r="E285">
        <v>6.7000000000000002E-6</v>
      </c>
    </row>
    <row r="286" spans="2:7">
      <c r="B286" t="s">
        <v>407</v>
      </c>
      <c r="C286">
        <v>1600000</v>
      </c>
      <c r="D286">
        <v>0.33</v>
      </c>
      <c r="E286">
        <v>1.7E-6</v>
      </c>
    </row>
    <row r="287" spans="2:7">
      <c r="B287" t="s">
        <v>408</v>
      </c>
      <c r="C287">
        <v>14800000</v>
      </c>
      <c r="D287">
        <v>0.33</v>
      </c>
      <c r="E287">
        <v>1.04E-5</v>
      </c>
    </row>
    <row r="288" spans="2:7">
      <c r="B288" t="s">
        <v>409</v>
      </c>
      <c r="C288">
        <v>17000000</v>
      </c>
      <c r="D288">
        <v>0.36</v>
      </c>
      <c r="E288">
        <v>9.3000000000000007E-6</v>
      </c>
    </row>
    <row r="289" spans="2:5">
      <c r="B289" t="s">
        <v>410</v>
      </c>
      <c r="C289">
        <v>13900000</v>
      </c>
      <c r="D289">
        <v>0.34</v>
      </c>
      <c r="E289">
        <v>9.9999999999999991E-6</v>
      </c>
    </row>
    <row r="290" spans="2:5">
      <c r="B290" t="s">
        <v>411</v>
      </c>
      <c r="C290">
        <v>6500000</v>
      </c>
      <c r="D290">
        <v>0.35</v>
      </c>
      <c r="E290">
        <v>1.4E-5</v>
      </c>
    </row>
    <row r="291" spans="2:5">
      <c r="B291" t="s">
        <v>412</v>
      </c>
      <c r="C291">
        <v>10200000</v>
      </c>
      <c r="D291">
        <v>0.22</v>
      </c>
      <c r="E291">
        <v>5.0000000000000004E-6</v>
      </c>
    </row>
    <row r="292" spans="2:5">
      <c r="B292" t="s">
        <v>413</v>
      </c>
      <c r="C292">
        <v>300000</v>
      </c>
      <c r="D292">
        <v>0.34</v>
      </c>
      <c r="E292">
        <v>3.8899999999999997E-5</v>
      </c>
    </row>
    <row r="295" spans="2:5">
      <c r="B295" s="2" t="s">
        <v>414</v>
      </c>
      <c r="C295" s="2" t="s">
        <v>415</v>
      </c>
    </row>
    <row r="296" spans="2:5">
      <c r="B296" s="10" t="s">
        <v>416</v>
      </c>
      <c r="C296">
        <v>0.40500000000000003</v>
      </c>
    </row>
    <row r="297" spans="2:5">
      <c r="B297" s="10" t="s">
        <v>234</v>
      </c>
      <c r="C297">
        <v>0.54</v>
      </c>
    </row>
    <row r="298" spans="2:5">
      <c r="B298" s="10" t="s">
        <v>235</v>
      </c>
      <c r="C298">
        <v>0.67500000000000004</v>
      </c>
    </row>
    <row r="299" spans="2:5">
      <c r="B299" s="10" t="s">
        <v>236</v>
      </c>
      <c r="C299">
        <v>0.84</v>
      </c>
    </row>
    <row r="300" spans="2:5">
      <c r="B300" s="10" t="s">
        <v>237</v>
      </c>
      <c r="C300">
        <v>1.05</v>
      </c>
    </row>
    <row r="301" spans="2:5">
      <c r="B301" s="10">
        <v>1</v>
      </c>
      <c r="C301">
        <v>1.3149999999999999</v>
      </c>
    </row>
    <row r="302" spans="2:5">
      <c r="B302" s="10" t="s">
        <v>238</v>
      </c>
      <c r="C302">
        <v>1.66</v>
      </c>
    </row>
    <row r="303" spans="2:5">
      <c r="B303" s="10" t="s">
        <v>239</v>
      </c>
      <c r="C303">
        <v>1.9</v>
      </c>
    </row>
    <row r="304" spans="2:5">
      <c r="B304" s="10">
        <v>2</v>
      </c>
      <c r="C304">
        <v>2.375</v>
      </c>
    </row>
    <row r="305" spans="2:3">
      <c r="B305" s="10" t="s">
        <v>240</v>
      </c>
      <c r="C305">
        <v>2.875</v>
      </c>
    </row>
    <row r="306" spans="2:3">
      <c r="B306" s="10">
        <v>3</v>
      </c>
      <c r="C306">
        <v>3.5</v>
      </c>
    </row>
    <row r="307" spans="2:3">
      <c r="B307" s="10" t="s">
        <v>241</v>
      </c>
      <c r="C307">
        <v>4</v>
      </c>
    </row>
    <row r="308" spans="2:3">
      <c r="B308" s="10">
        <v>4</v>
      </c>
      <c r="C308">
        <v>4.5</v>
      </c>
    </row>
    <row r="309" spans="2:3">
      <c r="B309" s="10">
        <v>5</v>
      </c>
      <c r="C309">
        <v>5.5629999999999997</v>
      </c>
    </row>
    <row r="310" spans="2:3">
      <c r="B310" s="10">
        <v>6</v>
      </c>
      <c r="C310">
        <v>6.625</v>
      </c>
    </row>
    <row r="311" spans="2:3">
      <c r="B311" s="10">
        <v>8</v>
      </c>
      <c r="C311">
        <v>8.625</v>
      </c>
    </row>
    <row r="312" spans="2:3">
      <c r="B312" s="10">
        <v>10</v>
      </c>
      <c r="C312">
        <v>10.75</v>
      </c>
    </row>
    <row r="313" spans="2:3">
      <c r="B313" s="10">
        <v>12</v>
      </c>
      <c r="C313">
        <v>12.75</v>
      </c>
    </row>
    <row r="314" spans="2:3">
      <c r="B314" s="10">
        <v>14</v>
      </c>
      <c r="C314">
        <v>14</v>
      </c>
    </row>
    <row r="315" spans="2:3">
      <c r="B315" s="10">
        <v>16</v>
      </c>
      <c r="C315">
        <v>16</v>
      </c>
    </row>
    <row r="316" spans="2:3">
      <c r="B316" s="10">
        <v>18</v>
      </c>
      <c r="C316">
        <v>18</v>
      </c>
    </row>
    <row r="317" spans="2:3">
      <c r="B317" s="10">
        <v>20</v>
      </c>
      <c r="C317">
        <v>20</v>
      </c>
    </row>
    <row r="318" spans="2:3">
      <c r="B318" s="10">
        <v>22</v>
      </c>
      <c r="C318">
        <v>22</v>
      </c>
    </row>
    <row r="319" spans="2:3">
      <c r="B319" s="10">
        <v>24</v>
      </c>
      <c r="C319">
        <v>24</v>
      </c>
    </row>
    <row r="320" spans="2:3">
      <c r="B320" s="10">
        <v>26</v>
      </c>
      <c r="C320">
        <v>26</v>
      </c>
    </row>
    <row r="321" spans="2:3">
      <c r="B321" s="10">
        <v>28</v>
      </c>
      <c r="C321">
        <v>28</v>
      </c>
    </row>
    <row r="322" spans="2:3">
      <c r="B322" s="10">
        <v>30</v>
      </c>
      <c r="C322">
        <v>30</v>
      </c>
    </row>
    <row r="323" spans="2:3">
      <c r="B323" s="10">
        <v>32</v>
      </c>
      <c r="C323">
        <v>32</v>
      </c>
    </row>
    <row r="324" spans="2:3">
      <c r="B324" s="10">
        <v>34</v>
      </c>
      <c r="C324">
        <v>34</v>
      </c>
    </row>
    <row r="325" spans="2:3">
      <c r="B325" s="10">
        <v>36</v>
      </c>
      <c r="C325">
        <v>36</v>
      </c>
    </row>
    <row r="326" spans="2:3">
      <c r="B326" s="10">
        <v>38</v>
      </c>
      <c r="C326">
        <v>38</v>
      </c>
    </row>
    <row r="327" spans="2:3">
      <c r="B327" s="10">
        <v>40</v>
      </c>
      <c r="C327">
        <v>40</v>
      </c>
    </row>
    <row r="328" spans="2:3">
      <c r="B328" s="10">
        <v>42</v>
      </c>
      <c r="C328">
        <v>42</v>
      </c>
    </row>
    <row r="329" spans="2:3">
      <c r="B329" s="10">
        <v>44</v>
      </c>
      <c r="C329">
        <v>44</v>
      </c>
    </row>
    <row r="330" spans="2:3">
      <c r="B330" s="10">
        <v>46</v>
      </c>
      <c r="C330">
        <v>46</v>
      </c>
    </row>
    <row r="331" spans="2:3">
      <c r="B331" s="10">
        <v>48</v>
      </c>
      <c r="C331">
        <v>48</v>
      </c>
    </row>
    <row r="334" spans="2:3">
      <c r="B334" s="2" t="s">
        <v>153</v>
      </c>
    </row>
    <row r="335" spans="2:3">
      <c r="B335" t="s">
        <v>154</v>
      </c>
    </row>
    <row r="336" spans="2:3">
      <c r="B336" t="s">
        <v>417</v>
      </c>
    </row>
    <row r="337" spans="2:3">
      <c r="B337" t="s">
        <v>418</v>
      </c>
    </row>
    <row r="339" spans="2:3">
      <c r="B339" s="2" t="s">
        <v>419</v>
      </c>
      <c r="C339" s="2" t="s">
        <v>158</v>
      </c>
    </row>
    <row r="340" spans="2:3">
      <c r="B340" t="s">
        <v>156</v>
      </c>
      <c r="C340">
        <v>10000</v>
      </c>
    </row>
    <row r="341" spans="2:3">
      <c r="B341" t="s">
        <v>420</v>
      </c>
      <c r="C341">
        <v>12000</v>
      </c>
    </row>
    <row r="344" spans="2:3">
      <c r="B344" s="2" t="s">
        <v>421</v>
      </c>
    </row>
    <row r="345" spans="2:3">
      <c r="B345" s="10">
        <v>24000</v>
      </c>
    </row>
    <row r="346" spans="2:3">
      <c r="B346" s="10">
        <v>30000</v>
      </c>
    </row>
    <row r="347" spans="2:3">
      <c r="B347" s="10">
        <v>35000</v>
      </c>
    </row>
    <row r="348" spans="2:3">
      <c r="B348" s="10">
        <v>42000</v>
      </c>
    </row>
    <row r="349" spans="2:3">
      <c r="B349" s="10" t="s">
        <v>422</v>
      </c>
    </row>
    <row r="350" spans="2:3">
      <c r="B350" s="10">
        <v>52000</v>
      </c>
    </row>
    <row r="351" spans="2:3">
      <c r="B351" s="10" t="s">
        <v>423</v>
      </c>
    </row>
    <row r="352" spans="2:3">
      <c r="B352" s="10" t="s">
        <v>424</v>
      </c>
    </row>
    <row r="353" spans="2:2">
      <c r="B353" s="10" t="s">
        <v>425</v>
      </c>
    </row>
    <row r="354" spans="2:2">
      <c r="B354" s="10">
        <v>70000</v>
      </c>
    </row>
    <row r="355" spans="2:2">
      <c r="B355" s="10">
        <v>80000</v>
      </c>
    </row>
  </sheetData>
  <mergeCells count="37">
    <mergeCell ref="B281:G281"/>
    <mergeCell ref="H119:I119"/>
    <mergeCell ref="B119:C119"/>
    <mergeCell ref="C238:G238"/>
    <mergeCell ref="C195:AG195"/>
    <mergeCell ref="E119:F119"/>
    <mergeCell ref="B269:C269"/>
    <mergeCell ref="I243:L243"/>
    <mergeCell ref="C219:G219"/>
    <mergeCell ref="C184:AG184"/>
    <mergeCell ref="B143:C143"/>
    <mergeCell ref="H242:L242"/>
    <mergeCell ref="E134:F134"/>
    <mergeCell ref="B126:C126"/>
    <mergeCell ref="H126:I126"/>
    <mergeCell ref="K143:L143"/>
    <mergeCell ref="A1:E1"/>
    <mergeCell ref="C181:X181"/>
    <mergeCell ref="E126:F126"/>
    <mergeCell ref="B105:C105"/>
    <mergeCell ref="H143:I143"/>
    <mergeCell ref="K126:L126"/>
    <mergeCell ref="B41:E41"/>
    <mergeCell ref="K91:L91"/>
    <mergeCell ref="E143:F143"/>
    <mergeCell ref="B98:C98"/>
    <mergeCell ref="B3:E3"/>
    <mergeCell ref="A77:A81"/>
    <mergeCell ref="B112:C112"/>
    <mergeCell ref="E91:F91"/>
    <mergeCell ref="B85:C85"/>
    <mergeCell ref="B91:C91"/>
    <mergeCell ref="H91:I91"/>
    <mergeCell ref="C214:AG214"/>
    <mergeCell ref="B134:C134"/>
    <mergeCell ref="H134:I134"/>
    <mergeCell ref="E98:F98"/>
  </mergeCells>
  <conditionalFormatting sqref="E78:E81">
    <cfRule type="containsText" dxfId="17" priority="1" operator="containsText" text="Pass">
      <formula>NOT(ISERROR(SEARCH("Pass",E78)))</formula>
    </cfRule>
    <cfRule type="containsText" dxfId="16" priority="2" operator="containsText" text="Fail">
      <formula>NOT(ISERROR(SEARCH("Fail",E78)))</formula>
    </cfRule>
    <cfRule type="containsText" dxfId="15" priority="3" operator="containsText" text="Fail">
      <formula>NOT(ISERROR(SEARCH("Fail",E78)))</formula>
    </cfRule>
    <cfRule type="containsText" dxfId="14" priority="4" operator="containsText" text="Pass">
      <formula>NOT(ISERROR(SEARCH("Pass",E78)))</formula>
    </cfRule>
  </conditionalFormatting>
  <dataValidations count="19">
    <dataValidation errorStyle="warning" allowBlank="1" showInputMessage="1" showErrorMessage="1" error="This is an atypical nominal pipe diameter." sqref="C13" xr:uid="{00000000-0002-0000-0500-000000000000}"/>
    <dataValidation errorStyle="warning" allowBlank="1" showInputMessage="1" showErrorMessage="1" error="This is an atypical pipe SMYS." sqref="C17" xr:uid="{00000000-0002-0000-0500-000001000000}"/>
    <dataValidation type="decimal" allowBlank="1" showInputMessage="1" showErrorMessage="1" error="Temperature is not within limits of CFR 192.115." sqref="C27 C39" xr:uid="{00000000-0002-0000-0500-000002000000}">
      <formula1>-20</formula1>
      <formula2>450</formula2>
    </dataValidation>
    <dataValidation type="decimal" allowBlank="1" showInputMessage="1" showErrorMessage="1" promptTitle="Soil Unit Weight" prompt="Typical value is 120 pcf. Range: 50-200 pcf" sqref="C33" xr:uid="{00000000-0002-0000-0500-000003000000}">
      <formula1>50</formula1>
      <formula2>200</formula2>
    </dataValidation>
    <dataValidation allowBlank="1" showInputMessage="1" showErrorMessage="1" errorTitle="Pipe Internal Pressure Error" error="The value entered for the pipes internal pressure is outside of the allowable range." sqref="E29 E34" xr:uid="{00000000-0002-0000-0500-000004000000}"/>
    <dataValidation type="decimal" allowBlank="1" showInputMessage="1" showErrorMessage="1" promptTitle="Pipe Depth" prompt="API 1102 recommends 3-10 ft for highway crossings" sqref="C34" xr:uid="{00000000-0002-0000-0500-000005000000}">
      <formula1>1</formula1>
      <formula2>30</formula2>
    </dataValidation>
    <dataValidation type="whole" allowBlank="1" showInputMessage="1" showErrorMessage="1" errorTitle="Invalid Pressure" error="Pressure must be between 0 and 6000 psi per API 1102" promptTitle="Operating Pressure" prompt="Enter pressure between 0 and 6000 psi" sqref="C29" xr:uid="{00000000-0002-0000-0500-000006000000}">
      <formula1>0</formula1>
      <formula2>6000</formula2>
    </dataValidation>
    <dataValidation type="list" errorStyle="warning" allowBlank="1" showInputMessage="1" showErrorMessage="1" error="This is an atypical nominal pipe diameter." sqref="C12" xr:uid="{00000000-0002-0000-0500-000007000000}">
      <formula1>$C$155:$AD$155</formula1>
    </dataValidation>
    <dataValidation type="list" errorStyle="warning" allowBlank="1" showInputMessage="1" showErrorMessage="1" error="The wall thickness that was entered is atypical for this pipe size." sqref="C14" xr:uid="{00000000-0002-0000-0500-000008000000}">
      <formula1>OFFSET($C$182,0,0,1,COUNT($C$182:$X$182))</formula1>
    </dataValidation>
    <dataValidation type="list" allowBlank="1" showInputMessage="1" showErrorMessage="1" sqref="C21" xr:uid="{00000000-0002-0000-0500-000009000000}">
      <formula1>OFFSET($C$239,0,0,1,COUNTIF($C$239:$G$239, "&gt;"""))</formula1>
    </dataValidation>
    <dataValidation type="list" allowBlank="1" showInputMessage="1" showErrorMessage="1" sqref="C19" xr:uid="{00000000-0002-0000-0500-00000A000000}">
      <formula1>$I$244:$L$244</formula1>
    </dataValidation>
    <dataValidation type="list" allowBlank="1" showInputMessage="1" showErrorMessage="1" error="This is an atypical pipe grade." sqref="C16" xr:uid="{00000000-0002-0000-0500-00000B000000}">
      <formula1>OFFSET($C$215,0,0,1,COUNTIF($C$215:$AG$215, "&gt;"""))</formula1>
    </dataValidation>
    <dataValidation type="list" allowBlank="1" showInputMessage="1" showErrorMessage="1" sqref="C18" xr:uid="{00000000-0002-0000-0500-00000C000000}">
      <formula1>$H$245:$H$253</formula1>
    </dataValidation>
    <dataValidation type="list" allowBlank="1" showInputMessage="1" showErrorMessage="1" sqref="C35" xr:uid="{00000000-0002-0000-0500-00000D000000}">
      <formula1>$B$151:$B$153</formula1>
    </dataValidation>
    <dataValidation type="list" allowBlank="1" showInputMessage="1" showErrorMessage="1" sqref="C15" xr:uid="{00000000-0002-0000-0500-00000E000000}">
      <formula1>$B$185:$B$192</formula1>
    </dataValidation>
    <dataValidation type="list" allowBlank="1" showInputMessage="1" showErrorMessage="1" sqref="C30" xr:uid="{00000000-0002-0000-0500-00000F000000}">
      <formula1>$B$256:$B$261</formula1>
    </dataValidation>
    <dataValidation type="list" allowBlank="1" showInputMessage="1" showErrorMessage="1" sqref="C23" xr:uid="{00000000-0002-0000-0500-000010000000}">
      <formula1>$B$283:$B$292</formula1>
    </dataValidation>
    <dataValidation type="list" allowBlank="1" showInputMessage="1" showErrorMessage="1" sqref="C36" xr:uid="{00000000-0002-0000-0500-000011000000}">
      <formula1>$B$335:$B$337</formula1>
    </dataValidation>
    <dataValidation type="list" allowBlank="1" showInputMessage="1" showErrorMessage="1" sqref="C37" xr:uid="{00000000-0002-0000-0500-000012000000}">
      <formula1>$B$340:$B$341</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97"/>
  <sheetViews>
    <sheetView workbookViewId="0"/>
  </sheetViews>
  <sheetFormatPr defaultRowHeight="14.4"/>
  <cols>
    <col min="1" max="1" width="57.88671875" customWidth="1"/>
    <col min="2" max="2" width="99.109375" customWidth="1"/>
    <col min="3" max="3" width="23.44140625" customWidth="1"/>
    <col min="4" max="4" width="99.109375" customWidth="1"/>
    <col min="5" max="5" width="16.6640625" customWidth="1"/>
    <col min="6" max="6" width="14.77734375" customWidth="1"/>
    <col min="8" max="8" width="12.6640625" customWidth="1"/>
    <col min="9" max="9" width="14.33203125" customWidth="1"/>
    <col min="10" max="10" width="12.109375" customWidth="1"/>
    <col min="11" max="11" width="8.88671875" customWidth="1"/>
  </cols>
  <sheetData>
    <row r="1" spans="1:8">
      <c r="A1" s="1" t="s">
        <v>426</v>
      </c>
    </row>
    <row r="2" spans="1:8">
      <c r="A2" t="s">
        <v>112</v>
      </c>
      <c r="B2" s="3">
        <f>'Highway Loading'!C12</f>
        <v>12</v>
      </c>
      <c r="C2" t="s">
        <v>113</v>
      </c>
    </row>
    <row r="3" spans="1:8">
      <c r="A3" t="s">
        <v>114</v>
      </c>
      <c r="B3">
        <f>'Highway Loading'!C13</f>
        <v>12.75</v>
      </c>
      <c r="C3" t="s">
        <v>113</v>
      </c>
    </row>
    <row r="4" spans="1:8">
      <c r="A4" t="s">
        <v>115</v>
      </c>
      <c r="B4" s="3">
        <f>'Highway Loading'!C14</f>
        <v>0.25</v>
      </c>
      <c r="C4" t="s">
        <v>113</v>
      </c>
    </row>
    <row r="5" spans="1:8">
      <c r="A5" t="s">
        <v>120</v>
      </c>
      <c r="B5" s="3">
        <f>'Highway Loading'!C17</f>
        <v>65000</v>
      </c>
      <c r="C5" t="s">
        <v>103</v>
      </c>
    </row>
    <row r="6" spans="1:8">
      <c r="A6" t="s">
        <v>393</v>
      </c>
      <c r="B6" s="3">
        <f>'Highway Loading'!C19</f>
        <v>1</v>
      </c>
      <c r="G6" t="s">
        <v>427</v>
      </c>
    </row>
    <row r="7" spans="1:8">
      <c r="A7" t="s">
        <v>124</v>
      </c>
      <c r="B7">
        <f>'Highway Loading'!C20</f>
        <v>0.72</v>
      </c>
    </row>
    <row r="8" spans="1:8">
      <c r="A8" t="s">
        <v>125</v>
      </c>
      <c r="B8" s="3" t="str">
        <f>'Highway Loading'!C21</f>
        <v>Electric Resistance Welded</v>
      </c>
    </row>
    <row r="9" spans="1:8">
      <c r="A9" t="s">
        <v>127</v>
      </c>
      <c r="B9">
        <f>'Highway Loading'!C22</f>
        <v>1</v>
      </c>
    </row>
    <row r="10" spans="1:8">
      <c r="A10" t="s">
        <v>128</v>
      </c>
      <c r="B10" s="3" t="str">
        <f>'Highway Loading'!C23</f>
        <v>Steel</v>
      </c>
    </row>
    <row r="11" spans="1:8">
      <c r="A11" t="s">
        <v>130</v>
      </c>
      <c r="B11" s="74">
        <f>'Highway Loading'!C24</f>
        <v>29000000</v>
      </c>
      <c r="C11" t="s">
        <v>103</v>
      </c>
      <c r="G11" s="3" t="s">
        <v>428</v>
      </c>
      <c r="H11" s="177">
        <f>(VLOOKUP(B10,'Highway Loading'!B283:E292,2, FALSE))</f>
        <v>29000000</v>
      </c>
    </row>
    <row r="12" spans="1:8">
      <c r="A12" t="s">
        <v>131</v>
      </c>
      <c r="B12">
        <f>'Highway Loading'!C25</f>
        <v>0.3</v>
      </c>
    </row>
    <row r="13" spans="1:8">
      <c r="A13" t="s">
        <v>132</v>
      </c>
      <c r="B13">
        <f>'Highway Loading'!C26</f>
        <v>6.4999999999999996E-6</v>
      </c>
      <c r="C13" t="s">
        <v>133</v>
      </c>
    </row>
    <row r="14" spans="1:8">
      <c r="A14" t="s">
        <v>137</v>
      </c>
      <c r="B14" s="3">
        <f>'Highway Loading'!C28</f>
        <v>1</v>
      </c>
      <c r="G14" t="s">
        <v>429</v>
      </c>
    </row>
    <row r="15" spans="1:8">
      <c r="A15" t="s">
        <v>134</v>
      </c>
      <c r="B15" s="3">
        <f>'Highway Loading'!C27</f>
        <v>70</v>
      </c>
      <c r="C15" t="s">
        <v>135</v>
      </c>
    </row>
    <row r="16" spans="1:8">
      <c r="A16" t="s">
        <v>138</v>
      </c>
      <c r="B16" s="3">
        <f>'Highway Loading'!C29</f>
        <v>1000</v>
      </c>
      <c r="C16" t="s">
        <v>103</v>
      </c>
    </row>
    <row r="18" spans="1:7">
      <c r="A18" s="1" t="s">
        <v>430</v>
      </c>
    </row>
    <row r="19" spans="1:7">
      <c r="A19" t="s">
        <v>140</v>
      </c>
      <c r="B19" s="5" t="str">
        <f>'Highway Loading'!C30</f>
        <v>Loose sands and gravels</v>
      </c>
    </row>
    <row r="20" spans="1:7">
      <c r="A20" t="s">
        <v>142</v>
      </c>
      <c r="B20">
        <f>'Highway Loading'!C31</f>
        <v>500</v>
      </c>
      <c r="C20" t="s">
        <v>103</v>
      </c>
    </row>
    <row r="21" spans="1:7">
      <c r="A21" t="s">
        <v>143</v>
      </c>
      <c r="B21">
        <f>'Highway Loading'!C32</f>
        <v>10000</v>
      </c>
      <c r="C21" t="s">
        <v>103</v>
      </c>
    </row>
    <row r="22" spans="1:7">
      <c r="A22" t="s">
        <v>144</v>
      </c>
      <c r="B22" s="3">
        <f>'Highway Loading'!C33</f>
        <v>120</v>
      </c>
      <c r="C22" t="s">
        <v>145</v>
      </c>
      <c r="G22" t="s">
        <v>431</v>
      </c>
    </row>
    <row r="23" spans="1:7">
      <c r="A23" t="s">
        <v>147</v>
      </c>
      <c r="B23" s="3">
        <f>'Highway Loading'!C34</f>
        <v>6</v>
      </c>
      <c r="C23" t="s">
        <v>148</v>
      </c>
    </row>
    <row r="24" spans="1:7">
      <c r="A24" t="s">
        <v>150</v>
      </c>
      <c r="B24" s="3">
        <f>'Highway Loading'!C35</f>
        <v>14.75</v>
      </c>
      <c r="C24" t="s">
        <v>151</v>
      </c>
      <c r="G24" t="s">
        <v>432</v>
      </c>
    </row>
    <row r="25" spans="1:7">
      <c r="A25" t="s">
        <v>153</v>
      </c>
      <c r="B25" s="3" t="str">
        <f>'Highway Loading'!C36</f>
        <v>Flexible</v>
      </c>
    </row>
    <row r="26" spans="1:7">
      <c r="A26" t="s">
        <v>155</v>
      </c>
      <c r="B26" s="3" t="str">
        <f>'Highway Loading'!C37</f>
        <v>Tandem Axle</v>
      </c>
      <c r="G26" t="s">
        <v>433</v>
      </c>
    </row>
    <row r="27" spans="1:7">
      <c r="A27" t="s">
        <v>158</v>
      </c>
      <c r="B27">
        <f>'Highway Loading'!C38</f>
        <v>10000</v>
      </c>
      <c r="C27" t="s">
        <v>159</v>
      </c>
    </row>
    <row r="28" spans="1:7">
      <c r="A28" t="s">
        <v>160</v>
      </c>
      <c r="B28" s="3">
        <f>'Highway Loading'!C39</f>
        <v>70</v>
      </c>
      <c r="C28" t="s">
        <v>135</v>
      </c>
    </row>
    <row r="30" spans="1:7">
      <c r="A30" s="1" t="s">
        <v>434</v>
      </c>
      <c r="B30" s="7" t="s">
        <v>435</v>
      </c>
      <c r="D30" s="1" t="s">
        <v>436</v>
      </c>
      <c r="E30" s="1" t="s">
        <v>437</v>
      </c>
      <c r="G30" s="1" t="s">
        <v>438</v>
      </c>
    </row>
    <row r="31" spans="1:7">
      <c r="A31" t="s">
        <v>165</v>
      </c>
      <c r="B31">
        <f>'Highway Loading'!C44</f>
        <v>25500</v>
      </c>
      <c r="C31" t="s">
        <v>103</v>
      </c>
      <c r="D31" t="str">
        <f>ROUND(B16*B3/(2*B4),2)&amp;" = "&amp;B16&amp;"*"&amp;B3&amp;"/(2*"&amp;B4&amp;")"</f>
        <v>25500 = 1000*12.75/(2*0.25)</v>
      </c>
      <c r="E31">
        <f>B16*B3/(2*B4)</f>
        <v>25500</v>
      </c>
    </row>
    <row r="32" spans="1:7">
      <c r="A32" t="s">
        <v>166</v>
      </c>
      <c r="B32">
        <f>'Highway Loading'!C45</f>
        <v>46800</v>
      </c>
      <c r="C32" t="s">
        <v>103</v>
      </c>
      <c r="D32" t="str">
        <f>ROUND(B7*B9*B14*B5,2)&amp;" = "&amp;B7&amp;"*"&amp;B9&amp;"*"&amp;B14&amp;"*"&amp;B5</f>
        <v>46800 = 0.72*1*1*65000</v>
      </c>
      <c r="E32">
        <f>B7*B9*B14*B5</f>
        <v>46800</v>
      </c>
    </row>
    <row r="33" spans="1:14">
      <c r="L33" s="217" t="s">
        <v>439</v>
      </c>
      <c r="M33" s="183"/>
      <c r="N33" s="183"/>
    </row>
    <row r="34" spans="1:14">
      <c r="A34" t="s">
        <v>167</v>
      </c>
      <c r="B34" s="3">
        <f>'Highway Loading'!C47</f>
        <v>2790.5294117647072</v>
      </c>
      <c r="G34" t="s">
        <v>440</v>
      </c>
      <c r="L34" s="2" t="s">
        <v>441</v>
      </c>
    </row>
    <row r="35" spans="1:14">
      <c r="A35" t="s">
        <v>168</v>
      </c>
      <c r="B35" s="3">
        <f>'Highway Loading'!C48</f>
        <v>1.0658474576271186</v>
      </c>
      <c r="G35" t="s">
        <v>442</v>
      </c>
      <c r="L35" t="str">
        <f t="array" ref="L35:N38">F80:H83</f>
        <v>E'</v>
      </c>
      <c r="M35">
        <v>500</v>
      </c>
      <c r="N35" t="str">
        <v>psi</v>
      </c>
    </row>
    <row r="36" spans="1:14">
      <c r="A36" t="s">
        <v>169</v>
      </c>
      <c r="B36" s="3">
        <f>'Highway Loading'!C49</f>
        <v>1.104107843137256</v>
      </c>
      <c r="G36" t="s">
        <v>443</v>
      </c>
      <c r="L36" t="str">
        <v>tw/D</v>
      </c>
      <c r="M36">
        <v>1.9607843137254902E-2</v>
      </c>
      <c r="N36" t="str">
        <v>116</v>
      </c>
    </row>
    <row r="37" spans="1:14">
      <c r="A37" t="s">
        <v>170</v>
      </c>
      <c r="B37">
        <f>'Highway Loading'!C50</f>
        <v>2907.6414109908601</v>
      </c>
      <c r="C37" t="s">
        <v>103</v>
      </c>
      <c r="D37" t="str">
        <f>ROUND(B37,2)&amp;" = "&amp;ROUND(B34,2)&amp;"*"&amp;ROUND(B35,3)&amp;"*"&amp;ROUND(B36,3)&amp;"*("&amp;B22&amp;"/1728)*"&amp;B3</f>
        <v>2907.64 = 2790.53*1.066*1.104*(120/1728)*12.75</v>
      </c>
      <c r="E37">
        <f>B34*B35*B36*(B22/12^3)*B3</f>
        <v>2907.6414109908601</v>
      </c>
      <c r="L37" t="str">
        <v/>
      </c>
      <c r="M37" t="str">
        <v/>
      </c>
      <c r="N37" t="str">
        <v/>
      </c>
    </row>
    <row r="38" spans="1:14">
      <c r="L38" t="str">
        <v/>
      </c>
      <c r="M38" t="str">
        <v/>
      </c>
      <c r="N38" t="str">
        <v/>
      </c>
    </row>
    <row r="39" spans="1:14">
      <c r="A39" t="s">
        <v>171</v>
      </c>
      <c r="B39" s="3">
        <f>'Highway Loading'!C52</f>
        <v>1.476219512195122</v>
      </c>
      <c r="G39" t="s">
        <v>444</v>
      </c>
      <c r="L39">
        <f>VLOOKUP(L33,Tables!A2:B12,2, FALSE)</f>
        <v>0</v>
      </c>
    </row>
    <row r="41" spans="1:14">
      <c r="A41" t="s">
        <v>172</v>
      </c>
      <c r="B41" s="3">
        <f>'Highway Loading'!C54</f>
        <v>14.207908202727459</v>
      </c>
      <c r="G41" t="s">
        <v>445</v>
      </c>
    </row>
    <row r="42" spans="1:14">
      <c r="A42" t="s">
        <v>173</v>
      </c>
      <c r="B42" s="3">
        <f>'Highway Loading'!C55</f>
        <v>1.01675</v>
      </c>
      <c r="G42" t="s">
        <v>446</v>
      </c>
    </row>
    <row r="43" spans="1:14">
      <c r="A43" t="s">
        <v>174</v>
      </c>
      <c r="B43" s="3">
        <f>'Highway Loading'!C56</f>
        <v>1</v>
      </c>
      <c r="G43" t="s">
        <v>447</v>
      </c>
    </row>
    <row r="44" spans="1:14">
      <c r="A44" t="s">
        <v>175</v>
      </c>
      <c r="B44" s="3">
        <f>'Highway Loading'!C57</f>
        <v>1</v>
      </c>
      <c r="G44" t="s">
        <v>447</v>
      </c>
    </row>
    <row r="45" spans="1:14">
      <c r="A45" t="s">
        <v>176</v>
      </c>
      <c r="B45">
        <f>'Highway Loading'!C58</f>
        <v>1480.9240049230664</v>
      </c>
      <c r="C45" t="s">
        <v>103</v>
      </c>
      <c r="D45" t="str">
        <f>ROUND(B45,2)&amp;" = "&amp;ROUND(B41,2)&amp;"*"&amp;ROUND(B42,3)&amp;"*"&amp;B43&amp;"*"&amp;B44&amp;"*"&amp;ROUND(B39,3)&amp;"*"&amp;B27&amp;"/144"</f>
        <v>1480.92 = 14.21*1.017*1*1*1.476*10000/144</v>
      </c>
      <c r="E45">
        <f>B41*B42*B43*B44*B39*(B27/12^2)</f>
        <v>1480.9240049230664</v>
      </c>
    </row>
    <row r="46" spans="1:14">
      <c r="A46" t="s">
        <v>177</v>
      </c>
      <c r="B46" s="3">
        <f>'Highway Loading'!C59</f>
        <v>9.7852745098039211</v>
      </c>
      <c r="G46" t="s">
        <v>448</v>
      </c>
    </row>
    <row r="47" spans="1:14">
      <c r="A47" t="s">
        <v>178</v>
      </c>
      <c r="B47" s="3">
        <f>'Highway Loading'!C60</f>
        <v>1.0024999999999999</v>
      </c>
      <c r="G47" t="s">
        <v>449</v>
      </c>
    </row>
    <row r="48" spans="1:14">
      <c r="A48" t="s">
        <v>179</v>
      </c>
      <c r="B48">
        <f>'Highway Loading'!C61</f>
        <v>1005.6476525324307</v>
      </c>
      <c r="C48" t="s">
        <v>103</v>
      </c>
      <c r="D48" t="str">
        <f>ROUND(B48,2)&amp;" = "&amp;ROUND(B46,2)&amp;"*"&amp;ROUND(B47,3)&amp;"*"&amp;B43&amp;"*"&amp;B44&amp;"*"&amp;ROUND(B39,3)&amp;"*"&amp;B27&amp;"/144"</f>
        <v>1005.65 = 9.79*1.003*1*1*1.476*10000/144</v>
      </c>
      <c r="E48">
        <f>B46*B47*B43*B44*B39*(B27/12^2)</f>
        <v>1005.6476525324307</v>
      </c>
    </row>
    <row r="50" spans="1:7">
      <c r="A50" t="s">
        <v>180</v>
      </c>
      <c r="B50">
        <f>'Highway Loading'!C63</f>
        <v>25000</v>
      </c>
      <c r="C50" t="s">
        <v>103</v>
      </c>
      <c r="D50" t="str">
        <f>ROUND(B50,2)&amp;" = "&amp;B16&amp;"*("&amp;B3&amp;"-"&amp;B4&amp;")/(2*"&amp;B4&amp;")"</f>
        <v>25000 = 1000*(12.75-0.25)/(2*0.25)</v>
      </c>
      <c r="E50">
        <f>B16*(B3-B4)/(2*B4)</f>
        <v>25000</v>
      </c>
    </row>
    <row r="51" spans="1:7">
      <c r="A51" t="s">
        <v>181</v>
      </c>
      <c r="B51">
        <f>'Highway Loading'!C64</f>
        <v>29388.565415913927</v>
      </c>
      <c r="C51" t="s">
        <v>103</v>
      </c>
      <c r="D51" t="str">
        <f>ROUND(B51,2)&amp;" = "&amp;ROUND(B37,2)&amp;"+"&amp;ROUND(B45,2)&amp;"+"&amp;ROUND(B50,2)</f>
        <v>29388.57 = 2907.64+1480.92+25000</v>
      </c>
      <c r="E51">
        <f>E37+E45+E50</f>
        <v>29388.565415913927</v>
      </c>
    </row>
    <row r="52" spans="1:7">
      <c r="A52" t="s">
        <v>182</v>
      </c>
      <c r="B52">
        <f>'Highway Loading'!C65</f>
        <v>9377.940075829687</v>
      </c>
      <c r="C52" t="s">
        <v>103</v>
      </c>
      <c r="D52" t="str">
        <f>ROUND(B52,2)&amp;" = "&amp;ROUND(B48,2)&amp;"-"&amp;B11&amp;"*"&amp;B13&amp;"*"&amp;(B28-B15)&amp;"+"&amp;B12&amp;"*("&amp;ROUND(B37,2)&amp;"+"&amp;ROUND(B50,2)&amp;")"</f>
        <v>9377.94 = 1005.65-29000000*0.0000065*0+0.3*(2907.64+25000)</v>
      </c>
      <c r="E52" s="170">
        <f>E48-B11*B13*(B15-B28)+B12*(E37+E50)</f>
        <v>9377.940075829687</v>
      </c>
    </row>
    <row r="53" spans="1:7">
      <c r="A53" t="s">
        <v>183</v>
      </c>
      <c r="B53">
        <f>'Highway Loading'!C66</f>
        <v>-1000</v>
      </c>
      <c r="C53" t="s">
        <v>103</v>
      </c>
      <c r="D53" t="str">
        <f>B53&amp;" = -"&amp;B16</f>
        <v>-1000 = -1000</v>
      </c>
      <c r="E53">
        <f>-B16</f>
        <v>-1000</v>
      </c>
    </row>
    <row r="54" spans="1:7">
      <c r="A54" t="s">
        <v>184</v>
      </c>
      <c r="B54">
        <f>'Highway Loading'!C67</f>
        <v>26754.361090820439</v>
      </c>
      <c r="C54" t="s">
        <v>103</v>
      </c>
      <c r="D54" t="str">
        <f>ROUND(B54,2)&amp;" = √(½*[("&amp;ROUND(B51,2)&amp;"-"&amp;ROUND(B52,2)&amp;")²+("&amp;ROUND(B52,2)&amp;"-"&amp;ROUND(B53,2)&amp;")²+("&amp;ROUND(B53,2)&amp;"-"&amp;ROUND(B51,2)&amp;")²])"</f>
        <v>26754.36 = √(½*[(29388.57-9377.94)²+(9377.94--1000)²+(-1000-29388.57)²])</v>
      </c>
      <c r="E54">
        <f>SQRT(0.5*((E51-E52)^2+(E52-E53)^2+(E53-E51)^2))</f>
        <v>26754.361090820439</v>
      </c>
    </row>
    <row r="57" spans="1:7">
      <c r="A57" t="s">
        <v>185</v>
      </c>
      <c r="B57">
        <f>'Highway Loading'!C69</f>
        <v>46800</v>
      </c>
      <c r="C57" t="s">
        <v>103</v>
      </c>
      <c r="D57" t="str">
        <f>B57&amp;" = "&amp;B5&amp;"*"&amp;B7</f>
        <v>46800 = 65000*0.72</v>
      </c>
      <c r="E57">
        <f>B5*B7</f>
        <v>46800</v>
      </c>
    </row>
    <row r="59" spans="1:7">
      <c r="A59" t="s">
        <v>186</v>
      </c>
      <c r="B59" s="3">
        <f>'Highway Loading'!C71</f>
        <v>12000</v>
      </c>
      <c r="C59" t="s">
        <v>103</v>
      </c>
      <c r="G59" t="s">
        <v>450</v>
      </c>
    </row>
    <row r="60" spans="1:7">
      <c r="A60" t="s">
        <v>187</v>
      </c>
      <c r="B60" s="3">
        <f>'Highway Loading'!C72</f>
        <v>23000</v>
      </c>
      <c r="C60" t="s">
        <v>103</v>
      </c>
      <c r="G60" t="s">
        <v>451</v>
      </c>
    </row>
    <row r="61" spans="1:7">
      <c r="A61" t="s">
        <v>188</v>
      </c>
      <c r="B61">
        <f>'Highway Loading'!C73</f>
        <v>8640</v>
      </c>
      <c r="C61" t="s">
        <v>103</v>
      </c>
      <c r="D61" t="str">
        <f>ROUND(B61,0)&amp;" = "&amp;B59&amp;"*"&amp;B7</f>
        <v>8640 = 12000*0.72</v>
      </c>
      <c r="E61">
        <v>8640</v>
      </c>
    </row>
    <row r="62" spans="1:7">
      <c r="A62" t="s">
        <v>189</v>
      </c>
      <c r="B62">
        <f>'Highway Loading'!C74</f>
        <v>16560</v>
      </c>
      <c r="C62" t="s">
        <v>103</v>
      </c>
      <c r="D62" t="str">
        <f>ROUND(B60*B7,0)&amp;" = "&amp;B60&amp;"*"&amp;B7</f>
        <v>16560 = 23000*0.72</v>
      </c>
      <c r="E62">
        <f>B60*B7</f>
        <v>16560</v>
      </c>
    </row>
    <row r="65" spans="1:8">
      <c r="A65" s="2" t="s">
        <v>191</v>
      </c>
      <c r="B65" s="2" t="s">
        <v>192</v>
      </c>
      <c r="C65" s="2" t="s">
        <v>193</v>
      </c>
      <c r="D65" s="2" t="s">
        <v>194</v>
      </c>
    </row>
    <row r="66" spans="1:8">
      <c r="A66" t="s">
        <v>101</v>
      </c>
      <c r="B66">
        <f>B31</f>
        <v>25500</v>
      </c>
      <c r="C66">
        <f>B32</f>
        <v>46800</v>
      </c>
      <c r="D66" t="str">
        <f>IF(B66&gt;=C66, "Fail", "Pass")</f>
        <v>Pass</v>
      </c>
    </row>
    <row r="67" spans="1:8">
      <c r="A67" t="s">
        <v>104</v>
      </c>
      <c r="B67">
        <f>B54</f>
        <v>26754.361090820439</v>
      </c>
      <c r="C67">
        <f>B57</f>
        <v>46800</v>
      </c>
      <c r="D67" t="str">
        <f>IF(B67&gt;=C67, "Fail", "Pass")</f>
        <v>Pass</v>
      </c>
    </row>
    <row r="68" spans="1:8">
      <c r="A68" t="s">
        <v>195</v>
      </c>
      <c r="B68">
        <f>B48</f>
        <v>1005.6476525324307</v>
      </c>
      <c r="C68">
        <f>B61</f>
        <v>8640</v>
      </c>
      <c r="D68" t="str">
        <f>IF(B68&gt;=C68, "Fail", "Pass")</f>
        <v>Pass</v>
      </c>
    </row>
    <row r="69" spans="1:8">
      <c r="A69" t="s">
        <v>196</v>
      </c>
      <c r="B69">
        <f>B45</f>
        <v>1480.9240049230664</v>
      </c>
      <c r="C69">
        <f>B62</f>
        <v>16560</v>
      </c>
      <c r="D69" t="str">
        <f>IF(B69&gt;=C69, "Fail", "Pass")</f>
        <v>Pass</v>
      </c>
    </row>
    <row r="71" spans="1:8">
      <c r="B71" s="196" t="s">
        <v>452</v>
      </c>
      <c r="C71" s="183"/>
    </row>
    <row r="72" spans="1:8">
      <c r="B72" t="str">
        <f>ROUND(B31,2)&amp;" = "&amp;B16&amp;"*"&amp;B3&amp;"/(2*"&amp;B4&amp;")"</f>
        <v>25500 = 1000*12.75/(2*0.25)</v>
      </c>
      <c r="C72" t="str">
        <f>ROUND(B32,2)&amp;" = "&amp;B7&amp;"*"&amp;B9&amp;"*"&amp;B14&amp;"*"&amp;B5</f>
        <v>46800 = 0.72*1*1*65000</v>
      </c>
    </row>
    <row r="73" spans="1:8">
      <c r="B73" t="str">
        <f>ROUND(B54,2)&amp;" = √(½*[("&amp;ROUND(B51,2)&amp;"-"&amp;ROUND(B52,2)&amp;")²+("&amp;ROUND(B52,2)&amp;"-"&amp;B53&amp;")²+("&amp;B53&amp;"-"&amp;ROUND(B51,2)&amp;")²])"</f>
        <v>26754.36 = √(½*[(29388.57-9377.94)²+(9377.94--1000)²+(-1000-29388.57)²])</v>
      </c>
      <c r="C73" t="str">
        <f>ROUND(B57,2)&amp;" = "&amp;B5&amp;"*"&amp;B7</f>
        <v>46800 = 65000*0.72</v>
      </c>
    </row>
    <row r="74" spans="1:8">
      <c r="B74" t="str">
        <f>ROUND(B48,2)&amp;" = "&amp;ROUND(B46,2)&amp;"*"&amp;ROUND(B47,3)&amp;"*"&amp;B43&amp;"*"&amp;B44&amp;"*"&amp;ROUND(B39,2)&amp;"*"&amp;B27&amp;"/144"</f>
        <v>1005.65 = 9.79*1.003*1*1*1.48*10000/144</v>
      </c>
      <c r="C74" t="str">
        <f>ROUND(B61,2)&amp;" = "&amp;B59&amp;"*"&amp;B7</f>
        <v>8640 = 12000*0.72</v>
      </c>
    </row>
    <row r="75" spans="1:8">
      <c r="B75" t="str">
        <f>ROUND(B45,2)&amp;" = "&amp;ROUND(B41,2)&amp;"*"&amp;ROUND(B42,3)&amp;"*"&amp;B43&amp;"*"&amp;B44&amp;"*"&amp;ROUND(B39,2)&amp;"*"&amp;B27&amp;"/144"</f>
        <v>1480.92 = 14.21*1.017*1*1*1.48*10000/144</v>
      </c>
      <c r="C75" t="str">
        <f>ROUND(B62,2)&amp;" = "&amp;B60&amp;"*"&amp;B7</f>
        <v>16560 = 23000*0.72</v>
      </c>
    </row>
    <row r="78" spans="1:8" ht="15" customHeight="1"/>
    <row r="79" spans="1:8" ht="15" customHeight="1">
      <c r="A79" s="216" t="s">
        <v>453</v>
      </c>
      <c r="B79" s="207"/>
      <c r="C79" s="207"/>
      <c r="D79" s="214"/>
      <c r="F79" s="218" t="s">
        <v>454</v>
      </c>
      <c r="G79" s="207"/>
      <c r="H79" s="214"/>
    </row>
    <row r="80" spans="1:8">
      <c r="A80" s="9" t="s">
        <v>439</v>
      </c>
      <c r="B80" s="9" t="s">
        <v>455</v>
      </c>
      <c r="C80" s="9">
        <f>B20</f>
        <v>500</v>
      </c>
      <c r="D80" s="9" t="s">
        <v>103</v>
      </c>
      <c r="F80" s="9" t="str">
        <f t="array" ref="F80">IF(IFERROR(INDEX(B$80:B$97, SMALL(IF($L$33=$A$80:$A$97, ROW($A$80:$A$97)-ROW($A$80)+1), ROW(1:1))),"")=0, "", IFERROR(INDEX(B$80:B$97, SMALL(IF($L$33=$A$80:$A$97, ROW($A$80:$A$97)-ROW($A$80)+1), ROW(1:1))),""))</f>
        <v>E'</v>
      </c>
      <c r="G80" s="9">
        <f t="array" ref="G80">IF(IFERROR(INDEX(C$80:C$97, SMALL(IF($L$33=$A$80:$A$97, ROW($A$80:$A$97)-ROW($A$80)+1), ROW(1:1))),"")=0, "", IFERROR(INDEX(C$80:C$97, SMALL(IF($L$33=$A$80:$A$97, ROW($A$80:$A$97)-ROW($A$80)+1), ROW(1:1))),""))</f>
        <v>500</v>
      </c>
      <c r="H80" s="9" t="str">
        <f t="array" ref="H80">IF(IFERROR(INDEX(D$80:D$97, SMALL(IF($L$33=$A$80:$A$97, ROW($A$80:$A$97)-ROW($A$80)+1), ROW(1:1))),"")=0, "", IFERROR(INDEX(D$80:D$97, SMALL(IF($L$33=$A$80:$A$97, ROW($A$80:$A$97)-ROW($A$80)+1), ROW(1:1))),""))</f>
        <v>psi</v>
      </c>
    </row>
    <row r="81" spans="1:8">
      <c r="A81" s="8" t="s">
        <v>439</v>
      </c>
      <c r="B81" s="8" t="s">
        <v>198</v>
      </c>
      <c r="C81" s="8">
        <f>B4/B3</f>
        <v>1.9607843137254902E-2</v>
      </c>
      <c r="D81" s="8" t="s">
        <v>246</v>
      </c>
      <c r="F81" s="9" t="str">
        <f t="array" ref="F81">IF(IFERROR(INDEX(B$80:B$97, SMALL(IF($L$33=$A$80:$A$97, ROW($A$80:$A$97)-ROW($A$80)+1), ROW(2:2))),"")=0, "", IFERROR(INDEX(B$80:B$97, SMALL(IF($L$33=$A$80:$A$97, ROW($A$80:$A$97)-ROW($A$80)+1), ROW(2:2))),""))</f>
        <v>tw/D</v>
      </c>
      <c r="G81" s="9">
        <f t="array" ref="G81">IF(IFERROR(INDEX(C$80:C$97, SMALL(IF($L$33=$A$80:$A$97, ROW($A$80:$A$97)-ROW($A$80)+1), ROW(2:2))),"")=0, "", IFERROR(INDEX(C$80:C$97, SMALL(IF($L$33=$A$80:$A$97, ROW($A$80:$A$97)-ROW($A$80)+1), ROW(2:2))),""))</f>
        <v>1.9607843137254902E-2</v>
      </c>
      <c r="H81" s="9" t="str">
        <f t="array" ref="H81">IF(IFERROR(INDEX(D$80:D$97, SMALL(IF($L$33=$A$80:$A$97, ROW($A$80:$A$97)-ROW($A$80)+1), ROW(2:2))),"")=0, "", IFERROR(INDEX(D$80:D$97, SMALL(IF($L$33=$A$80:$A$97, ROW($A$80:$A$97)-ROW($A$80)+1), ROW(2:2))),""))</f>
        <v>116</v>
      </c>
    </row>
    <row r="82" spans="1:8">
      <c r="A82" s="8" t="s">
        <v>456</v>
      </c>
      <c r="B82" s="8" t="s">
        <v>199</v>
      </c>
      <c r="C82" s="8">
        <f>B23*12/B3</f>
        <v>5.6470588235294121</v>
      </c>
      <c r="D82" s="8"/>
      <c r="F82" s="9" t="str">
        <f t="array" ref="F82">IF(IFERROR(INDEX(B$80:B$97, SMALL(IF($L$33=$A$80:$A$97, ROW($A$80:$A$97)-ROW($A$80)+1), ROW(3:3))),"")=0, "", IFERROR(INDEX(B$80:B$97, SMALL(IF($L$33=$A$80:$A$97, ROW($A$80:$A$97)-ROW($A$80)+1), ROW(3:3))),""))</f>
        <v/>
      </c>
      <c r="G82" s="9" t="str">
        <f t="array" ref="G82">IF(IFERROR(INDEX(C$80:C$97, SMALL(IF($L$33=$A$80:$A$97, ROW($A$80:$A$97)-ROW($A$80)+1), ROW(3:3))),"")=0, "", IFERROR(INDEX(C$80:C$97, SMALL(IF($L$33=$A$80:$A$97, ROW($A$80:$A$97)-ROW($A$80)+1), ROW(3:3))),""))</f>
        <v/>
      </c>
      <c r="H82" s="9" t="str">
        <f t="array" ref="H82">IF(IFERROR(INDEX(D$80:D$97, SMALL(IF($L$33=$A$80:$A$97, ROW($A$80:$A$97)-ROW($A$80)+1), ROW(3:3))),"")=0, "", IFERROR(INDEX(D$80:D$97, SMALL(IF($L$33=$A$80:$A$97, ROW($A$80:$A$97)-ROW($A$80)+1), ROW(3:3))),""))</f>
        <v/>
      </c>
    </row>
    <row r="83" spans="1:8">
      <c r="A83" s="8" t="s">
        <v>457</v>
      </c>
      <c r="B83" s="8" t="s">
        <v>200</v>
      </c>
      <c r="C83" s="8">
        <f>B24/B3</f>
        <v>1.1568627450980393</v>
      </c>
      <c r="D83" s="8"/>
      <c r="F83" s="9" t="str">
        <f t="array" ref="F83">IF(IFERROR(INDEX(B$80:B$97, SMALL(IF($L$33=$A$80:$A$97, ROW($A$80:$A$97)-ROW($A$80)+1), ROW(4:4))),"")=0, "", IFERROR(INDEX(B$80:B$97, SMALL(IF($L$33=$A$80:$A$97, ROW($A$80:$A$97)-ROW($A$80)+1), ROW(4:4))),""))</f>
        <v/>
      </c>
      <c r="G83" s="9" t="str">
        <f t="array" ref="G83">IF(IFERROR(INDEX(C$80:C$97, SMALL(IF($L$33=$A$80:$A$97, ROW($A$80:$A$97)-ROW($A$80)+1), ROW(4:4))),"")=0, "", IFERROR(INDEX(C$80:C$97, SMALL(IF($L$33=$A$80:$A$97, ROW($A$80:$A$97)-ROW($A$80)+1), ROW(4:4))),""))</f>
        <v/>
      </c>
      <c r="H83" s="9" t="str">
        <f t="array" ref="H83">IF(IFERROR(INDEX(D$80:D$97, SMALL(IF($L$33=$A$80:$A$97, ROW($A$80:$A$97)-ROW($A$80)+1), ROW(4:4))),"")=0, "", IFERROR(INDEX(D$80:D$97, SMALL(IF($L$33=$A$80:$A$97, ROW($A$80:$A$97)-ROW($A$80)+1), ROW(4:4))),""))</f>
        <v/>
      </c>
    </row>
    <row r="84" spans="1:8">
      <c r="A84" s="8" t="s">
        <v>216</v>
      </c>
      <c r="B84" s="8" t="s">
        <v>458</v>
      </c>
      <c r="C84" s="8">
        <f>B23</f>
        <v>6</v>
      </c>
      <c r="D84" s="8" t="s">
        <v>148</v>
      </c>
    </row>
    <row r="85" spans="1:8">
      <c r="A85" s="8" t="s">
        <v>459</v>
      </c>
      <c r="B85" s="8" t="s">
        <v>460</v>
      </c>
      <c r="C85" s="8">
        <f>B21</f>
        <v>10000</v>
      </c>
      <c r="D85" s="8" t="s">
        <v>103</v>
      </c>
    </row>
    <row r="86" spans="1:8">
      <c r="A86" s="8" t="s">
        <v>459</v>
      </c>
      <c r="B86" s="8" t="s">
        <v>198</v>
      </c>
      <c r="C86" s="8">
        <f>B4/B3</f>
        <v>1.9607843137254902E-2</v>
      </c>
      <c r="D86" s="8"/>
    </row>
    <row r="87" spans="1:8">
      <c r="A87" s="8" t="s">
        <v>461</v>
      </c>
      <c r="B87" s="8" t="s">
        <v>458</v>
      </c>
      <c r="C87" s="8">
        <f>B23</f>
        <v>6</v>
      </c>
      <c r="D87" s="8" t="s">
        <v>148</v>
      </c>
    </row>
    <row r="88" spans="1:8">
      <c r="A88" s="8" t="s">
        <v>461</v>
      </c>
      <c r="B88" s="8" t="s">
        <v>462</v>
      </c>
      <c r="C88" s="8">
        <f>B3</f>
        <v>12.75</v>
      </c>
      <c r="D88" s="8" t="s">
        <v>113</v>
      </c>
    </row>
    <row r="89" spans="1:8">
      <c r="A89" s="8" t="s">
        <v>463</v>
      </c>
      <c r="B89" s="8" t="s">
        <v>153</v>
      </c>
      <c r="C89" s="8" t="str">
        <f>B25</f>
        <v>Flexible</v>
      </c>
      <c r="D89" s="8"/>
    </row>
    <row r="90" spans="1:8">
      <c r="A90" s="8" t="s">
        <v>463</v>
      </c>
      <c r="B90" s="8" t="s">
        <v>419</v>
      </c>
      <c r="C90" s="8" t="str">
        <f>B26</f>
        <v>Tandem Axle</v>
      </c>
      <c r="D90" s="8"/>
    </row>
    <row r="91" spans="1:8">
      <c r="A91" s="8" t="s">
        <v>463</v>
      </c>
      <c r="B91" s="8" t="s">
        <v>458</v>
      </c>
      <c r="C91" s="8">
        <f>B23</f>
        <v>6</v>
      </c>
      <c r="D91" s="8" t="s">
        <v>148</v>
      </c>
    </row>
    <row r="92" spans="1:8">
      <c r="A92" s="8" t="s">
        <v>463</v>
      </c>
      <c r="B92" s="8" t="s">
        <v>462</v>
      </c>
      <c r="C92" s="8">
        <f>B3</f>
        <v>12.75</v>
      </c>
      <c r="D92" s="8" t="s">
        <v>113</v>
      </c>
    </row>
    <row r="93" spans="1:8">
      <c r="A93" s="8" t="s">
        <v>464</v>
      </c>
      <c r="B93" s="8" t="s">
        <v>460</v>
      </c>
      <c r="C93" s="8">
        <f>B21</f>
        <v>10000</v>
      </c>
      <c r="D93" s="8" t="s">
        <v>103</v>
      </c>
    </row>
    <row r="94" spans="1:8">
      <c r="A94" s="8" t="s">
        <v>464</v>
      </c>
      <c r="B94" s="8" t="s">
        <v>198</v>
      </c>
      <c r="C94" s="8">
        <f>B4/B3</f>
        <v>1.9607843137254902E-2</v>
      </c>
      <c r="D94" s="8"/>
    </row>
    <row r="95" spans="1:8">
      <c r="A95" s="8" t="s">
        <v>465</v>
      </c>
      <c r="B95" s="8" t="s">
        <v>458</v>
      </c>
      <c r="C95" s="8">
        <f>B23</f>
        <v>6</v>
      </c>
      <c r="D95" s="8" t="s">
        <v>148</v>
      </c>
    </row>
    <row r="96" spans="1:8">
      <c r="A96" s="8" t="s">
        <v>465</v>
      </c>
      <c r="B96" s="8" t="s">
        <v>462</v>
      </c>
      <c r="C96" s="8">
        <f>B3</f>
        <v>12.75</v>
      </c>
      <c r="D96" s="8" t="s">
        <v>113</v>
      </c>
    </row>
    <row r="97" spans="1:4">
      <c r="A97" s="8" t="s">
        <v>466</v>
      </c>
      <c r="B97" s="8" t="s">
        <v>120</v>
      </c>
      <c r="C97" s="8">
        <f>B5</f>
        <v>65000</v>
      </c>
      <c r="D97" s="8" t="s">
        <v>103</v>
      </c>
    </row>
  </sheetData>
  <mergeCells count="4">
    <mergeCell ref="B71:C71"/>
    <mergeCell ref="L33:N33"/>
    <mergeCell ref="A79:D79"/>
    <mergeCell ref="F79:H79"/>
  </mergeCells>
  <conditionalFormatting sqref="D66:D69">
    <cfRule type="containsText" dxfId="13" priority="1" operator="containsText" text="Pass">
      <formula>NOT(ISERROR(SEARCH("Pass",D66)))</formula>
    </cfRule>
    <cfRule type="containsText" dxfId="12" priority="2" operator="containsText" text="Fail">
      <formula>NOT(ISERROR(SEARCH("Fail",D66)))</formula>
    </cfRule>
    <cfRule type="containsText" dxfId="11" priority="3" operator="containsText" text="Fail">
      <formula>NOT(ISERROR(SEARCH("Fail",D66)))</formula>
    </cfRule>
    <cfRule type="containsText" dxfId="10" priority="4" operator="containsText" text="Pass">
      <formula>NOT(ISERROR(SEARCH("Pass",D66)))</formula>
    </cfRule>
  </conditionalFormatting>
  <pageMargins left="0.7" right="0.7" top="0.75" bottom="0.75" header="0.3" footer="0.3"/>
  <drawing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275"/>
  <sheetViews>
    <sheetView workbookViewId="0"/>
  </sheetViews>
  <sheetFormatPr defaultRowHeight="14.4"/>
  <cols>
    <col min="1" max="1" width="51.77734375" customWidth="1"/>
    <col min="2" max="2" width="21.109375" customWidth="1"/>
    <col min="3" max="3" width="26.44140625" customWidth="1"/>
    <col min="4" max="4" width="37.44140625" customWidth="1"/>
    <col min="5" max="5" width="22.88671875" customWidth="1"/>
    <col min="6" max="6" width="22.6640625" customWidth="1"/>
    <col min="7" max="7" width="146.88671875" customWidth="1"/>
  </cols>
  <sheetData>
    <row r="1" spans="1:8">
      <c r="A1" s="4" t="s">
        <v>467</v>
      </c>
    </row>
    <row r="2" spans="1:8">
      <c r="A2" t="s">
        <v>439</v>
      </c>
    </row>
    <row r="3" spans="1:8">
      <c r="A3" t="s">
        <v>456</v>
      </c>
    </row>
    <row r="4" spans="1:8">
      <c r="A4" t="s">
        <v>457</v>
      </c>
    </row>
    <row r="5" spans="1:8">
      <c r="A5" t="s">
        <v>216</v>
      </c>
    </row>
    <row r="6" spans="1:8">
      <c r="A6" t="s">
        <v>459</v>
      </c>
    </row>
    <row r="7" spans="1:8">
      <c r="A7" t="s">
        <v>461</v>
      </c>
    </row>
    <row r="8" spans="1:8">
      <c r="A8" t="s">
        <v>463</v>
      </c>
    </row>
    <row r="9" spans="1:8">
      <c r="A9" t="s">
        <v>464</v>
      </c>
    </row>
    <row r="10" spans="1:8">
      <c r="A10" t="s">
        <v>465</v>
      </c>
    </row>
    <row r="11" spans="1:8">
      <c r="A11" t="s">
        <v>466</v>
      </c>
    </row>
    <row r="13" spans="1:8" ht="15" customHeight="1"/>
    <row r="14" spans="1:8" ht="15" customHeight="1">
      <c r="A14" s="219" t="s">
        <v>206</v>
      </c>
      <c r="B14" s="207"/>
      <c r="C14" s="207"/>
      <c r="D14" s="207"/>
      <c r="E14" s="207"/>
      <c r="F14" s="207"/>
      <c r="G14" s="207"/>
      <c r="H14" s="208"/>
    </row>
    <row r="15" spans="1:8" ht="15" customHeight="1">
      <c r="A15" s="219" t="s">
        <v>468</v>
      </c>
      <c r="B15" s="208"/>
      <c r="C15" s="219" t="s">
        <v>469</v>
      </c>
      <c r="D15" s="208"/>
      <c r="E15" s="219" t="s">
        <v>470</v>
      </c>
      <c r="F15" s="208"/>
      <c r="G15" s="219" t="s">
        <v>471</v>
      </c>
      <c r="H15" s="208"/>
    </row>
    <row r="16" spans="1:8" ht="15" customHeight="1">
      <c r="A16" s="86" t="s">
        <v>472</v>
      </c>
      <c r="B16" s="88" t="s">
        <v>473</v>
      </c>
      <c r="C16" s="86" t="s">
        <v>472</v>
      </c>
      <c r="D16" s="88" t="s">
        <v>473</v>
      </c>
      <c r="E16" s="86" t="s">
        <v>472</v>
      </c>
      <c r="F16" s="88" t="s">
        <v>473</v>
      </c>
      <c r="G16" s="86" t="s">
        <v>472</v>
      </c>
      <c r="H16" s="88" t="s">
        <v>473</v>
      </c>
    </row>
    <row r="17" spans="1:8">
      <c r="A17" s="9">
        <v>0</v>
      </c>
      <c r="B17" s="9">
        <v>11632</v>
      </c>
      <c r="C17" s="9">
        <v>0</v>
      </c>
      <c r="D17" s="9">
        <v>7625</v>
      </c>
      <c r="E17" s="9">
        <v>0</v>
      </c>
      <c r="F17" s="9">
        <v>5772</v>
      </c>
      <c r="G17" s="9">
        <v>0</v>
      </c>
      <c r="H17" s="9">
        <v>4443</v>
      </c>
    </row>
    <row r="18" spans="1:8">
      <c r="A18" s="8">
        <v>7.26E-3</v>
      </c>
      <c r="B18" s="8">
        <v>11632</v>
      </c>
      <c r="C18" s="8">
        <v>7.26E-3</v>
      </c>
      <c r="D18" s="8">
        <v>7625</v>
      </c>
      <c r="E18" s="8">
        <v>7.3800000000000003E-3</v>
      </c>
      <c r="F18" s="8">
        <v>5772</v>
      </c>
      <c r="G18" s="8">
        <v>7.26E-3</v>
      </c>
      <c r="H18" s="8">
        <v>4443</v>
      </c>
    </row>
    <row r="19" spans="1:8">
      <c r="A19" s="8">
        <v>8.1099999999999992E-3</v>
      </c>
      <c r="B19" s="8">
        <v>11632</v>
      </c>
      <c r="C19" s="8">
        <v>7.92E-3</v>
      </c>
      <c r="D19" s="8">
        <v>7625</v>
      </c>
      <c r="E19" s="8">
        <v>7.7499999999999999E-3</v>
      </c>
      <c r="F19" s="8">
        <v>5449</v>
      </c>
      <c r="G19" s="8">
        <v>7.7499999999999999E-3</v>
      </c>
      <c r="H19" s="8">
        <v>4000</v>
      </c>
    </row>
    <row r="20" spans="1:8">
      <c r="A20" s="8">
        <v>8.2500000000000004E-3</v>
      </c>
      <c r="B20" s="8">
        <v>11338</v>
      </c>
      <c r="C20" s="8">
        <v>8.2500000000000004E-3</v>
      </c>
      <c r="D20" s="8">
        <v>7286</v>
      </c>
      <c r="E20" s="8">
        <v>8.2500000000000004E-3</v>
      </c>
      <c r="F20" s="8">
        <v>5175</v>
      </c>
      <c r="G20" s="8">
        <v>8.2500000000000004E-3</v>
      </c>
      <c r="H20" s="8">
        <v>3804</v>
      </c>
    </row>
    <row r="21" spans="1:8">
      <c r="A21" s="8">
        <v>0.01</v>
      </c>
      <c r="B21" s="8">
        <v>8552</v>
      </c>
      <c r="C21" s="8">
        <v>0.01</v>
      </c>
      <c r="D21" s="8">
        <v>6280</v>
      </c>
      <c r="E21" s="8">
        <v>0.01</v>
      </c>
      <c r="F21" s="8">
        <v>4499</v>
      </c>
      <c r="G21" s="8">
        <v>0.01</v>
      </c>
      <c r="H21" s="8">
        <v>3208</v>
      </c>
    </row>
    <row r="22" spans="1:8">
      <c r="A22" s="8">
        <v>1.2500000000000001E-2</v>
      </c>
      <c r="B22" s="8">
        <v>6564</v>
      </c>
      <c r="C22" s="8">
        <v>1.2500000000000001E-2</v>
      </c>
      <c r="D22" s="8">
        <v>5374</v>
      </c>
      <c r="E22" s="8">
        <v>1.2500000000000001E-2</v>
      </c>
      <c r="F22" s="8">
        <v>3882</v>
      </c>
      <c r="G22" s="8">
        <v>1.2500000000000001E-2</v>
      </c>
      <c r="H22" s="8">
        <v>2777</v>
      </c>
    </row>
    <row r="23" spans="1:8">
      <c r="A23" s="8">
        <v>1.4999999999999999E-2</v>
      </c>
      <c r="B23" s="8">
        <v>4873</v>
      </c>
      <c r="C23" s="8">
        <v>1.4999999999999999E-2</v>
      </c>
      <c r="D23" s="8">
        <v>4305</v>
      </c>
      <c r="E23" s="8">
        <v>1.4999999999999999E-2</v>
      </c>
      <c r="F23" s="8">
        <v>3261</v>
      </c>
      <c r="G23" s="8">
        <v>1.4999999999999999E-2</v>
      </c>
      <c r="H23" s="8">
        <v>2404</v>
      </c>
    </row>
    <row r="24" spans="1:8">
      <c r="A24" s="8">
        <v>1.7500000000000002E-2</v>
      </c>
      <c r="B24" s="8">
        <v>3900</v>
      </c>
      <c r="C24" s="8">
        <v>1.7500000000000002E-2</v>
      </c>
      <c r="D24" s="8">
        <v>3476</v>
      </c>
      <c r="E24" s="8">
        <v>1.7500000000000002E-2</v>
      </c>
      <c r="F24" s="8">
        <v>2791</v>
      </c>
      <c r="G24" s="8">
        <v>1.7500000000000002E-2</v>
      </c>
      <c r="H24" s="8">
        <v>2145</v>
      </c>
    </row>
    <row r="25" spans="1:8">
      <c r="A25" s="8">
        <v>0.02</v>
      </c>
      <c r="B25" s="8">
        <v>3000</v>
      </c>
      <c r="C25" s="8">
        <v>0.02</v>
      </c>
      <c r="D25" s="8">
        <v>2663</v>
      </c>
      <c r="E25" s="8">
        <v>0.02</v>
      </c>
      <c r="F25" s="8">
        <v>2292</v>
      </c>
      <c r="G25" s="8">
        <v>0.02</v>
      </c>
      <c r="H25" s="8">
        <v>1852</v>
      </c>
    </row>
    <row r="26" spans="1:8">
      <c r="A26" s="8">
        <v>2.5000000000000001E-2</v>
      </c>
      <c r="B26" s="8">
        <v>1781</v>
      </c>
      <c r="C26" s="8">
        <v>2.5000000000000001E-2</v>
      </c>
      <c r="D26" s="8">
        <v>1642</v>
      </c>
      <c r="E26" s="8">
        <v>2.5000000000000001E-2</v>
      </c>
      <c r="F26" s="8">
        <v>1545</v>
      </c>
      <c r="G26" s="8">
        <v>2.5000000000000001E-2</v>
      </c>
      <c r="H26" s="8">
        <v>1387</v>
      </c>
    </row>
    <row r="27" spans="1:8">
      <c r="A27" s="8">
        <v>0.03</v>
      </c>
      <c r="B27" s="8">
        <v>1153</v>
      </c>
      <c r="C27" s="8">
        <v>0.03</v>
      </c>
      <c r="D27" s="8">
        <v>1077</v>
      </c>
      <c r="E27" s="8">
        <v>0.03</v>
      </c>
      <c r="F27" s="8">
        <v>1066</v>
      </c>
      <c r="G27" s="8">
        <v>0.03</v>
      </c>
      <c r="H27" s="8">
        <v>1000</v>
      </c>
    </row>
    <row r="28" spans="1:8">
      <c r="A28" s="8">
        <v>3.5000000000000003E-2</v>
      </c>
      <c r="B28" s="8">
        <v>819</v>
      </c>
      <c r="C28" s="8">
        <v>3.5000000000000003E-2</v>
      </c>
      <c r="D28" s="8">
        <v>819</v>
      </c>
      <c r="E28" s="8">
        <v>3.5000000000000003E-2</v>
      </c>
      <c r="F28" s="8">
        <v>819</v>
      </c>
      <c r="G28" s="8">
        <v>3.5000000000000003E-2</v>
      </c>
      <c r="H28" s="8">
        <v>819</v>
      </c>
    </row>
    <row r="29" spans="1:8">
      <c r="A29" s="8">
        <v>0.04</v>
      </c>
      <c r="B29" s="8">
        <v>642</v>
      </c>
      <c r="C29" s="8">
        <v>0.04</v>
      </c>
      <c r="D29" s="8">
        <v>642</v>
      </c>
      <c r="E29" s="8">
        <v>0.04</v>
      </c>
      <c r="F29" s="8">
        <v>642</v>
      </c>
      <c r="G29" s="8">
        <v>0.04</v>
      </c>
      <c r="H29" s="8">
        <v>642</v>
      </c>
    </row>
    <row r="30" spans="1:8">
      <c r="A30" s="8">
        <v>4.4999999999999998E-2</v>
      </c>
      <c r="B30" s="8">
        <v>525</v>
      </c>
      <c r="C30" s="8">
        <v>4.4999999999999998E-2</v>
      </c>
      <c r="D30" s="8">
        <v>525</v>
      </c>
      <c r="E30" s="8">
        <v>4.4999999999999998E-2</v>
      </c>
      <c r="F30" s="8">
        <v>525</v>
      </c>
      <c r="G30" s="8">
        <v>4.4999999999999998E-2</v>
      </c>
      <c r="H30" s="8">
        <v>525</v>
      </c>
    </row>
    <row r="31" spans="1:8">
      <c r="A31" s="8">
        <v>0.05</v>
      </c>
      <c r="B31" s="8">
        <v>460</v>
      </c>
      <c r="C31" s="8">
        <v>0.05</v>
      </c>
      <c r="D31" s="8">
        <v>460</v>
      </c>
      <c r="E31" s="8">
        <v>0.05</v>
      </c>
      <c r="F31" s="8">
        <v>460</v>
      </c>
      <c r="G31" s="8">
        <v>0.05</v>
      </c>
      <c r="H31" s="8">
        <v>460</v>
      </c>
    </row>
    <row r="32" spans="1:8">
      <c r="A32" s="8">
        <v>5.5E-2</v>
      </c>
      <c r="B32" s="8">
        <v>393</v>
      </c>
      <c r="C32" s="8">
        <v>5.5E-2</v>
      </c>
      <c r="D32" s="8">
        <v>393</v>
      </c>
      <c r="E32" s="8">
        <v>5.5E-2</v>
      </c>
      <c r="F32" s="8">
        <v>393</v>
      </c>
      <c r="G32" s="8">
        <v>5.5E-2</v>
      </c>
      <c r="H32" s="8">
        <v>393</v>
      </c>
    </row>
    <row r="33" spans="1:8">
      <c r="A33" s="8">
        <v>0.06</v>
      </c>
      <c r="B33" s="8">
        <v>335</v>
      </c>
      <c r="C33" s="8">
        <v>0.06</v>
      </c>
      <c r="D33" s="8">
        <v>335</v>
      </c>
      <c r="E33" s="8">
        <v>0.06</v>
      </c>
      <c r="F33" s="8">
        <v>335</v>
      </c>
      <c r="G33" s="8">
        <v>0.06</v>
      </c>
      <c r="H33" s="8">
        <v>335</v>
      </c>
    </row>
    <row r="34" spans="1:8">
      <c r="A34" s="8">
        <v>6.5000000000000002E-2</v>
      </c>
      <c r="B34" s="8">
        <v>273</v>
      </c>
      <c r="C34" s="8">
        <v>6.5000000000000002E-2</v>
      </c>
      <c r="D34" s="8">
        <v>273</v>
      </c>
      <c r="E34" s="8">
        <v>6.5000000000000002E-2</v>
      </c>
      <c r="F34" s="8">
        <v>273</v>
      </c>
      <c r="G34" s="8">
        <v>6.5000000000000002E-2</v>
      </c>
      <c r="H34" s="8">
        <v>273</v>
      </c>
    </row>
    <row r="35" spans="1:8">
      <c r="A35" s="8">
        <v>7.0000000000000007E-2</v>
      </c>
      <c r="B35" s="8">
        <v>207</v>
      </c>
      <c r="C35" s="8">
        <v>7.0000000000000007E-2</v>
      </c>
      <c r="D35" s="8">
        <v>207</v>
      </c>
      <c r="E35" s="8">
        <v>7.0000000000000007E-2</v>
      </c>
      <c r="F35" s="8">
        <v>207</v>
      </c>
      <c r="G35" s="8">
        <v>7.0000000000000007E-2</v>
      </c>
      <c r="H35" s="8">
        <v>207</v>
      </c>
    </row>
    <row r="36" spans="1:8">
      <c r="A36" s="8">
        <v>7.4999999999999997E-2</v>
      </c>
      <c r="B36" s="8">
        <v>143</v>
      </c>
      <c r="C36" s="8">
        <v>7.4999999999999997E-2</v>
      </c>
      <c r="D36" s="8">
        <v>143</v>
      </c>
      <c r="E36" s="8">
        <v>7.4999999999999997E-2</v>
      </c>
      <c r="F36" s="8">
        <v>143</v>
      </c>
      <c r="G36" s="8">
        <v>7.4999999999999997E-2</v>
      </c>
      <c r="H36" s="8">
        <v>143</v>
      </c>
    </row>
    <row r="37" spans="1:8">
      <c r="A37" s="8">
        <v>0.08</v>
      </c>
      <c r="B37" s="8">
        <v>88</v>
      </c>
      <c r="C37" s="8">
        <v>0.08</v>
      </c>
      <c r="D37" s="8">
        <v>88</v>
      </c>
      <c r="E37" s="8">
        <v>0.08</v>
      </c>
      <c r="F37" s="8">
        <v>88</v>
      </c>
      <c r="G37" s="8">
        <v>0.08</v>
      </c>
      <c r="H37" s="8">
        <v>88</v>
      </c>
    </row>
    <row r="38" spans="1:8">
      <c r="A38" s="8">
        <v>5</v>
      </c>
      <c r="B38" s="8">
        <v>88</v>
      </c>
      <c r="C38" s="8">
        <v>5</v>
      </c>
      <c r="D38" s="8">
        <v>88</v>
      </c>
      <c r="E38" s="8">
        <v>5</v>
      </c>
      <c r="F38" s="8">
        <v>88</v>
      </c>
      <c r="G38" s="8">
        <v>5</v>
      </c>
      <c r="H38" s="8">
        <v>88</v>
      </c>
    </row>
    <row r="39" spans="1:8" ht="15" customHeight="1"/>
    <row r="40" spans="1:8" ht="15" customHeight="1">
      <c r="A40" s="219" t="s">
        <v>474</v>
      </c>
      <c r="B40" s="207"/>
      <c r="C40" s="207"/>
      <c r="D40" s="208"/>
    </row>
    <row r="41" spans="1:8" ht="15" customHeight="1">
      <c r="A41" s="221" t="s">
        <v>475</v>
      </c>
      <c r="B41" s="214"/>
      <c r="C41" s="220" t="s">
        <v>476</v>
      </c>
      <c r="D41" s="208"/>
    </row>
    <row r="42" spans="1:8">
      <c r="A42" s="9" t="s">
        <v>477</v>
      </c>
      <c r="B42" s="9" t="s">
        <v>478</v>
      </c>
      <c r="C42" s="9" t="s">
        <v>477</v>
      </c>
      <c r="D42" s="9" t="s">
        <v>478</v>
      </c>
    </row>
    <row r="43" spans="1:8">
      <c r="A43" s="8">
        <v>0</v>
      </c>
      <c r="B43" s="8">
        <v>0</v>
      </c>
      <c r="C43" s="8">
        <v>0</v>
      </c>
      <c r="D43" s="8">
        <v>0</v>
      </c>
    </row>
    <row r="44" spans="1:8">
      <c r="A44" s="8">
        <v>1</v>
      </c>
      <c r="B44" s="8">
        <v>0.32100000000000001</v>
      </c>
      <c r="C44" s="8">
        <v>1</v>
      </c>
      <c r="D44" s="8">
        <v>0.32100000000000001</v>
      </c>
    </row>
    <row r="45" spans="1:8">
      <c r="A45" s="8">
        <v>2</v>
      </c>
      <c r="B45" s="8">
        <v>0.64400000000000002</v>
      </c>
      <c r="C45" s="8">
        <v>2</v>
      </c>
      <c r="D45" s="8">
        <v>0.63100000000000001</v>
      </c>
    </row>
    <row r="46" spans="1:8">
      <c r="A46" s="8">
        <v>3</v>
      </c>
      <c r="B46" s="8">
        <v>0.84399999999999997</v>
      </c>
      <c r="C46" s="8">
        <v>3</v>
      </c>
      <c r="D46" s="8">
        <v>0.77600000000000002</v>
      </c>
    </row>
    <row r="47" spans="1:8">
      <c r="A47" s="8">
        <v>4</v>
      </c>
      <c r="B47" s="8">
        <v>0.98299999999999998</v>
      </c>
      <c r="C47" s="8">
        <v>4</v>
      </c>
      <c r="D47" s="8">
        <v>0.89300000000000002</v>
      </c>
    </row>
    <row r="48" spans="1:8">
      <c r="A48" s="8">
        <v>5</v>
      </c>
      <c r="B48" s="8">
        <v>1.077</v>
      </c>
      <c r="C48" s="8">
        <v>5</v>
      </c>
      <c r="D48" s="8">
        <v>0.96399999999999997</v>
      </c>
    </row>
    <row r="49" spans="1:4">
      <c r="A49" s="8">
        <v>6</v>
      </c>
      <c r="B49" s="8">
        <v>1.1619999999999999</v>
      </c>
      <c r="C49" s="8">
        <v>6</v>
      </c>
      <c r="D49" s="8">
        <v>1.032</v>
      </c>
    </row>
    <row r="50" spans="1:4">
      <c r="A50" s="8">
        <v>7</v>
      </c>
      <c r="B50" s="8">
        <v>1.2150000000000001</v>
      </c>
      <c r="C50" s="8">
        <v>7</v>
      </c>
      <c r="D50" s="8">
        <v>1.071</v>
      </c>
    </row>
    <row r="51" spans="1:4">
      <c r="A51" s="8">
        <v>8</v>
      </c>
      <c r="B51" s="8">
        <v>1.26</v>
      </c>
      <c r="C51" s="8">
        <v>8</v>
      </c>
      <c r="D51" s="8">
        <v>1.1080000000000001</v>
      </c>
    </row>
    <row r="52" spans="1:4">
      <c r="A52" s="8">
        <v>9</v>
      </c>
      <c r="B52" s="8">
        <v>1.2949999999999999</v>
      </c>
      <c r="C52" s="8">
        <v>9</v>
      </c>
      <c r="D52" s="8">
        <v>1.133</v>
      </c>
    </row>
    <row r="53" spans="1:4">
      <c r="A53" s="8">
        <v>10</v>
      </c>
      <c r="B53" s="8">
        <v>1.325</v>
      </c>
      <c r="C53" s="8">
        <v>10</v>
      </c>
      <c r="D53" s="8">
        <v>1.1519999999999999</v>
      </c>
    </row>
    <row r="54" spans="1:4">
      <c r="A54" s="8">
        <v>11</v>
      </c>
      <c r="B54" s="8">
        <v>1.3420000000000001</v>
      </c>
      <c r="C54" s="8">
        <v>11</v>
      </c>
      <c r="D54" s="8">
        <v>1.1639999999999999</v>
      </c>
    </row>
    <row r="55" spans="1:4">
      <c r="A55" s="8">
        <v>12</v>
      </c>
      <c r="B55" s="8">
        <v>1.3560000000000001</v>
      </c>
      <c r="C55" s="8">
        <v>12</v>
      </c>
      <c r="D55" s="8">
        <v>1.1719999999999999</v>
      </c>
    </row>
    <row r="56" spans="1:4">
      <c r="A56" s="8">
        <v>13</v>
      </c>
      <c r="B56" s="8">
        <v>1.363</v>
      </c>
      <c r="C56" s="8">
        <v>13</v>
      </c>
      <c r="D56" s="8">
        <v>1.173</v>
      </c>
    </row>
    <row r="57" spans="1:4">
      <c r="A57" s="8">
        <v>14</v>
      </c>
      <c r="B57" s="8">
        <v>1.3640000000000001</v>
      </c>
      <c r="C57" s="8">
        <v>14</v>
      </c>
      <c r="D57" s="8">
        <v>1.173</v>
      </c>
    </row>
    <row r="58" spans="1:4">
      <c r="A58" s="8">
        <v>15</v>
      </c>
      <c r="B58" s="8">
        <v>1.3640000000000001</v>
      </c>
      <c r="C58" s="8">
        <v>15</v>
      </c>
      <c r="D58" s="8">
        <v>1.173</v>
      </c>
    </row>
    <row r="59" spans="1:4">
      <c r="A59" s="8">
        <v>16</v>
      </c>
      <c r="B59" s="8">
        <v>1.3640000000000001</v>
      </c>
      <c r="C59" s="8">
        <v>16</v>
      </c>
      <c r="D59" s="8">
        <v>1.173</v>
      </c>
    </row>
    <row r="60" spans="1:4">
      <c r="A60" s="8">
        <v>17</v>
      </c>
      <c r="B60" s="8">
        <v>1.3640000000000001</v>
      </c>
      <c r="C60" s="8">
        <v>17</v>
      </c>
      <c r="D60" s="8">
        <v>1.173</v>
      </c>
    </row>
    <row r="61" spans="1:4">
      <c r="A61" s="8">
        <v>18</v>
      </c>
      <c r="B61" s="8">
        <v>1.3640000000000001</v>
      </c>
      <c r="C61" s="8">
        <v>18</v>
      </c>
      <c r="D61" s="8">
        <v>1.173</v>
      </c>
    </row>
    <row r="62" spans="1:4">
      <c r="A62" s="8">
        <v>19</v>
      </c>
      <c r="B62" s="8">
        <v>1.3640000000000001</v>
      </c>
      <c r="C62" s="8">
        <v>19</v>
      </c>
      <c r="D62" s="8">
        <v>1.173</v>
      </c>
    </row>
    <row r="63" spans="1:4">
      <c r="A63" s="8">
        <v>20</v>
      </c>
      <c r="B63" s="8">
        <v>1.3640000000000001</v>
      </c>
      <c r="C63" s="8">
        <v>20</v>
      </c>
      <c r="D63" s="8">
        <v>1.173</v>
      </c>
    </row>
    <row r="64" spans="1:4">
      <c r="A64" s="8">
        <v>21</v>
      </c>
      <c r="B64" s="8">
        <v>1.3640000000000001</v>
      </c>
      <c r="C64" s="8">
        <v>21</v>
      </c>
      <c r="D64" s="8">
        <v>1.173</v>
      </c>
    </row>
    <row r="65" spans="1:4">
      <c r="A65" s="8">
        <v>22</v>
      </c>
      <c r="B65" s="8">
        <v>1.3640000000000001</v>
      </c>
      <c r="C65" s="8">
        <v>22</v>
      </c>
      <c r="D65" s="8">
        <v>1.173</v>
      </c>
    </row>
    <row r="66" spans="1:4">
      <c r="A66" s="8">
        <v>23</v>
      </c>
      <c r="B66" s="8">
        <v>1.3640000000000001</v>
      </c>
      <c r="C66" s="8">
        <v>23</v>
      </c>
      <c r="D66" s="8">
        <v>1.173</v>
      </c>
    </row>
    <row r="67" spans="1:4">
      <c r="A67" s="8">
        <v>24</v>
      </c>
      <c r="B67" s="8">
        <v>1.3640000000000001</v>
      </c>
      <c r="C67" s="8">
        <v>24</v>
      </c>
      <c r="D67" s="8">
        <v>1.173</v>
      </c>
    </row>
    <row r="68" spans="1:4">
      <c r="A68" s="8">
        <v>25</v>
      </c>
      <c r="B68" s="8">
        <v>1.3640000000000001</v>
      </c>
      <c r="C68" s="8">
        <v>25</v>
      </c>
      <c r="D68" s="8">
        <v>1.173</v>
      </c>
    </row>
    <row r="69" spans="1:4">
      <c r="A69" s="8">
        <v>26</v>
      </c>
      <c r="B69" s="8">
        <v>1.3640000000000001</v>
      </c>
      <c r="C69" s="8">
        <v>26</v>
      </c>
      <c r="D69" s="8">
        <v>1.173</v>
      </c>
    </row>
    <row r="70" spans="1:4">
      <c r="A70" s="8">
        <v>27</v>
      </c>
      <c r="B70" s="8">
        <v>1.3640000000000001</v>
      </c>
      <c r="C70" s="8">
        <v>27</v>
      </c>
      <c r="D70" s="8">
        <v>1.173</v>
      </c>
    </row>
    <row r="71" spans="1:4">
      <c r="A71" s="8">
        <v>28</v>
      </c>
      <c r="B71" s="8">
        <v>1.3640000000000001</v>
      </c>
      <c r="C71" s="8">
        <v>28</v>
      </c>
      <c r="D71" s="8">
        <v>1.173</v>
      </c>
    </row>
    <row r="72" spans="1:4">
      <c r="A72" s="8">
        <v>29</v>
      </c>
      <c r="B72" s="8">
        <v>1.3640000000000001</v>
      </c>
      <c r="C72" s="8">
        <v>29</v>
      </c>
      <c r="D72" s="8">
        <v>1.173</v>
      </c>
    </row>
    <row r="73" spans="1:4">
      <c r="A73" s="8">
        <v>30</v>
      </c>
      <c r="B73" s="8">
        <v>1.3640000000000001</v>
      </c>
      <c r="C73" s="8">
        <v>30</v>
      </c>
      <c r="D73" s="8">
        <v>1.173</v>
      </c>
    </row>
    <row r="74" spans="1:4">
      <c r="A74" s="8">
        <v>31</v>
      </c>
      <c r="B74" s="8">
        <v>1.3640000000000001</v>
      </c>
      <c r="C74" s="8">
        <v>31</v>
      </c>
      <c r="D74" s="8">
        <v>1.173</v>
      </c>
    </row>
    <row r="75" spans="1:4">
      <c r="A75" s="8">
        <v>32</v>
      </c>
      <c r="B75" s="8">
        <v>1.3640000000000001</v>
      </c>
      <c r="C75" s="8">
        <v>32</v>
      </c>
      <c r="D75" s="8">
        <v>1.173</v>
      </c>
    </row>
    <row r="76" spans="1:4">
      <c r="A76" s="8">
        <v>60</v>
      </c>
      <c r="B76" s="8">
        <v>1.3640000000000001</v>
      </c>
      <c r="C76" s="8">
        <v>60</v>
      </c>
      <c r="D76" s="8">
        <v>1.173</v>
      </c>
    </row>
    <row r="77" spans="1:4" ht="15" customHeight="1"/>
    <row r="78" spans="1:4" ht="15" customHeight="1">
      <c r="A78" s="219" t="s">
        <v>215</v>
      </c>
      <c r="B78" s="208"/>
    </row>
    <row r="79" spans="1:4" ht="15" customHeight="1">
      <c r="A79" s="86" t="s">
        <v>479</v>
      </c>
      <c r="B79" s="87" t="s">
        <v>480</v>
      </c>
    </row>
    <row r="80" spans="1:4">
      <c r="A80" s="9">
        <v>1</v>
      </c>
      <c r="B80" s="9">
        <v>0.83069999999999999</v>
      </c>
    </row>
    <row r="81" spans="1:6">
      <c r="A81" s="8">
        <v>1.05</v>
      </c>
      <c r="B81" s="8">
        <v>0.90900000000000003</v>
      </c>
    </row>
    <row r="82" spans="1:6">
      <c r="A82" s="8">
        <v>1.1000000000000001</v>
      </c>
      <c r="B82" s="8">
        <v>0.99660000000000004</v>
      </c>
    </row>
    <row r="83" spans="1:6">
      <c r="A83" s="8">
        <v>1.1499999999999999</v>
      </c>
      <c r="B83" s="8">
        <v>1.0903</v>
      </c>
    </row>
    <row r="84" spans="1:6">
      <c r="A84" s="8">
        <v>1.2</v>
      </c>
      <c r="B84" s="8">
        <v>1.1909000000000001</v>
      </c>
    </row>
    <row r="85" spans="1:6">
      <c r="A85" s="8">
        <v>1.25</v>
      </c>
      <c r="B85" s="8">
        <v>1.2941</v>
      </c>
    </row>
    <row r="86" spans="1:6">
      <c r="A86" s="8">
        <v>1.3</v>
      </c>
      <c r="B86" s="8">
        <v>1.4</v>
      </c>
    </row>
    <row r="87" spans="1:6">
      <c r="A87" s="8">
        <v>5</v>
      </c>
      <c r="B87" s="8">
        <f>(B86-B85)/(A86-A85)*(A87-A86)+B86</f>
        <v>9.236599999999985</v>
      </c>
    </row>
    <row r="88" spans="1:6" ht="15" customHeight="1"/>
    <row r="89" spans="1:6" ht="15" customHeight="1">
      <c r="A89" s="219" t="s">
        <v>216</v>
      </c>
      <c r="B89" s="208"/>
    </row>
    <row r="90" spans="1:6" ht="15" customHeight="1">
      <c r="A90" s="86" t="s">
        <v>481</v>
      </c>
      <c r="B90" s="87" t="s">
        <v>482</v>
      </c>
    </row>
    <row r="91" spans="1:6">
      <c r="A91" s="9">
        <v>0</v>
      </c>
      <c r="B91" s="9">
        <v>1.5</v>
      </c>
    </row>
    <row r="92" spans="1:6">
      <c r="A92" s="8">
        <v>5.22</v>
      </c>
      <c r="B92" s="8">
        <v>1.5</v>
      </c>
    </row>
    <row r="93" spans="1:6">
      <c r="A93" s="8">
        <v>21.62</v>
      </c>
      <c r="B93" s="8">
        <v>1</v>
      </c>
    </row>
    <row r="94" spans="1:6">
      <c r="A94" s="8">
        <v>100</v>
      </c>
      <c r="B94" s="8">
        <v>1</v>
      </c>
    </row>
    <row r="95" spans="1:6" ht="15" customHeight="1"/>
    <row r="96" spans="1:6" ht="15" customHeight="1">
      <c r="A96" s="219" t="s">
        <v>483</v>
      </c>
      <c r="B96" s="207"/>
      <c r="C96" s="207"/>
      <c r="D96" s="207"/>
      <c r="E96" s="207"/>
      <c r="F96" s="208"/>
    </row>
    <row r="97" spans="1:6" ht="15" customHeight="1">
      <c r="A97" s="219" t="s">
        <v>484</v>
      </c>
      <c r="B97" s="208"/>
      <c r="C97" s="219" t="s">
        <v>485</v>
      </c>
      <c r="D97" s="208"/>
      <c r="E97" s="219" t="s">
        <v>486</v>
      </c>
      <c r="F97" s="208"/>
    </row>
    <row r="98" spans="1:6" ht="15" customHeight="1">
      <c r="A98" s="86" t="s">
        <v>472</v>
      </c>
      <c r="B98" s="88" t="s">
        <v>487</v>
      </c>
      <c r="C98" s="86" t="s">
        <v>472</v>
      </c>
      <c r="D98" s="88" t="s">
        <v>487</v>
      </c>
      <c r="E98" s="86" t="s">
        <v>472</v>
      </c>
      <c r="F98" s="88" t="s">
        <v>487</v>
      </c>
    </row>
    <row r="99" spans="1:6">
      <c r="A99" s="9">
        <v>1.018E-2</v>
      </c>
      <c r="B99" s="9">
        <v>19.818999999999999</v>
      </c>
      <c r="C99" s="9">
        <v>1.018E-2</v>
      </c>
      <c r="D99" s="9">
        <v>12.714</v>
      </c>
      <c r="E99" s="9">
        <v>1.018E-2</v>
      </c>
      <c r="F99" s="9">
        <v>6.8559999999999999</v>
      </c>
    </row>
    <row r="100" spans="1:6">
      <c r="A100" s="8">
        <v>1.061E-2</v>
      </c>
      <c r="B100" s="8">
        <v>19.818999999999999</v>
      </c>
      <c r="C100" s="8">
        <v>1.061E-2</v>
      </c>
      <c r="D100" s="8">
        <v>13.066000000000001</v>
      </c>
      <c r="E100" s="8">
        <v>1.061E-2</v>
      </c>
      <c r="F100" s="8">
        <v>7.2169999999999996</v>
      </c>
    </row>
    <row r="101" spans="1:6">
      <c r="A101" s="8">
        <v>1.2109999999999999E-2</v>
      </c>
      <c r="B101" s="8">
        <v>20.376000000000001</v>
      </c>
      <c r="C101" s="8">
        <v>1.2109999999999999E-2</v>
      </c>
      <c r="D101" s="8">
        <v>14.063000000000001</v>
      </c>
      <c r="E101" s="8">
        <v>1.2109999999999999E-2</v>
      </c>
      <c r="F101" s="8">
        <v>8.1029999999999998</v>
      </c>
    </row>
    <row r="102" spans="1:6">
      <c r="A102" s="8">
        <v>1.3939999999999999E-2</v>
      </c>
      <c r="B102" s="8">
        <v>20.675999999999998</v>
      </c>
      <c r="C102" s="8">
        <v>1.3939999999999999E-2</v>
      </c>
      <c r="D102" s="8">
        <v>14.603</v>
      </c>
      <c r="E102" s="8">
        <v>1.3939999999999999E-2</v>
      </c>
      <c r="F102" s="8">
        <v>8.7859999999999996</v>
      </c>
    </row>
    <row r="103" spans="1:6">
      <c r="A103" s="8">
        <v>1.541E-2</v>
      </c>
      <c r="B103" s="8">
        <v>20.632000000000001</v>
      </c>
      <c r="C103" s="8">
        <v>1.541E-2</v>
      </c>
      <c r="D103" s="8">
        <v>14.746</v>
      </c>
      <c r="E103" s="8">
        <v>1.541E-2</v>
      </c>
      <c r="F103" s="8">
        <v>9.1210000000000004</v>
      </c>
    </row>
    <row r="104" spans="1:6">
      <c r="A104" s="8">
        <v>1.729E-2</v>
      </c>
      <c r="B104" s="8">
        <v>20.338999999999999</v>
      </c>
      <c r="C104" s="8">
        <v>1.729E-2</v>
      </c>
      <c r="D104" s="8">
        <v>14.641</v>
      </c>
      <c r="E104" s="8">
        <v>1.729E-2</v>
      </c>
      <c r="F104" s="8">
        <v>9.3870000000000005</v>
      </c>
    </row>
    <row r="105" spans="1:6">
      <c r="A105" s="8">
        <v>2.018E-2</v>
      </c>
      <c r="B105" s="8">
        <v>19.387</v>
      </c>
      <c r="C105" s="8">
        <v>2.018E-2</v>
      </c>
      <c r="D105" s="8">
        <v>14.101000000000001</v>
      </c>
      <c r="E105" s="8">
        <v>2.018E-2</v>
      </c>
      <c r="F105" s="8">
        <v>9.51</v>
      </c>
    </row>
    <row r="106" spans="1:6">
      <c r="A106" s="8">
        <v>2.4250000000000001E-2</v>
      </c>
      <c r="B106" s="8">
        <v>17.248999999999999</v>
      </c>
      <c r="C106" s="8">
        <v>2.4250000000000001E-2</v>
      </c>
      <c r="D106" s="8">
        <v>12.5</v>
      </c>
      <c r="E106" s="8">
        <v>2.4250000000000001E-2</v>
      </c>
      <c r="F106" s="8">
        <v>9.3230000000000004</v>
      </c>
    </row>
    <row r="107" spans="1:6">
      <c r="A107" s="8">
        <v>2.9909999999999999E-2</v>
      </c>
      <c r="B107" s="8">
        <v>13.464</v>
      </c>
      <c r="C107" s="8">
        <v>2.9909999999999999E-2</v>
      </c>
      <c r="D107" s="8">
        <v>10.52</v>
      </c>
      <c r="E107" s="8">
        <v>2.9909999999999999E-2</v>
      </c>
      <c r="F107" s="8">
        <v>8.4469999999999992</v>
      </c>
    </row>
    <row r="108" spans="1:6">
      <c r="A108" s="8">
        <v>3.5819999999999998E-2</v>
      </c>
      <c r="B108" s="8">
        <v>10.35</v>
      </c>
      <c r="C108" s="8">
        <v>3.5819999999999998E-2</v>
      </c>
      <c r="D108" s="8">
        <v>8.7650000000000006</v>
      </c>
      <c r="E108" s="8">
        <v>3.5819999999999998E-2</v>
      </c>
      <c r="F108" s="8">
        <v>7.2</v>
      </c>
    </row>
    <row r="109" spans="1:6">
      <c r="A109" s="8">
        <v>4.0070000000000001E-2</v>
      </c>
      <c r="B109" s="8">
        <v>8.6809999999999992</v>
      </c>
      <c r="C109" s="8">
        <v>4.0070000000000001E-2</v>
      </c>
      <c r="D109" s="8">
        <v>7.6130000000000004</v>
      </c>
      <c r="E109" s="8">
        <v>4.0070000000000001E-2</v>
      </c>
      <c r="F109" s="8">
        <v>6.367</v>
      </c>
    </row>
    <row r="110" spans="1:6">
      <c r="A110" s="8">
        <v>4.4839999999999998E-2</v>
      </c>
      <c r="B110" s="8">
        <v>7.077</v>
      </c>
      <c r="C110" s="8">
        <v>4.4839999999999998E-2</v>
      </c>
      <c r="D110" s="8">
        <v>6.5519999999999996</v>
      </c>
      <c r="E110" s="8">
        <v>4.4839999999999998E-2</v>
      </c>
      <c r="F110" s="8">
        <v>5.55</v>
      </c>
    </row>
    <row r="111" spans="1:6">
      <c r="A111" s="8">
        <v>5.0119999999999998E-2</v>
      </c>
      <c r="B111" s="8">
        <v>5.9139999999999997</v>
      </c>
      <c r="C111" s="8">
        <v>5.0119999999999998E-2</v>
      </c>
      <c r="D111" s="8">
        <v>5.4649999999999999</v>
      </c>
      <c r="E111" s="8">
        <v>5.0119999999999998E-2</v>
      </c>
      <c r="F111" s="8">
        <v>4.734</v>
      </c>
    </row>
    <row r="112" spans="1:6">
      <c r="A112" s="8">
        <v>5.4960000000000002E-2</v>
      </c>
      <c r="B112" s="8">
        <v>5.15</v>
      </c>
      <c r="C112" s="8">
        <v>5.4960000000000002E-2</v>
      </c>
      <c r="D112" s="8">
        <v>4.5999999999999996</v>
      </c>
      <c r="E112" s="8">
        <v>5.4960000000000002E-2</v>
      </c>
      <c r="F112" s="8">
        <v>4.0359999999999996</v>
      </c>
    </row>
    <row r="113" spans="1:8">
      <c r="A113" s="8">
        <v>5.9990000000000002E-2</v>
      </c>
      <c r="B113" s="8">
        <v>4.1529999999999996</v>
      </c>
      <c r="C113" s="8">
        <v>5.9990000000000002E-2</v>
      </c>
      <c r="D113" s="8">
        <v>3.7850000000000001</v>
      </c>
      <c r="E113" s="8">
        <v>5.9990000000000002E-2</v>
      </c>
      <c r="F113" s="8">
        <v>3.3260000000000001</v>
      </c>
    </row>
    <row r="114" spans="1:8">
      <c r="A114" s="8">
        <v>6.4879999999999993E-2</v>
      </c>
      <c r="B114" s="8">
        <v>3.4649999999999999</v>
      </c>
      <c r="C114" s="8">
        <v>6.4879999999999993E-2</v>
      </c>
      <c r="D114" s="8">
        <v>3.1240000000000001</v>
      </c>
      <c r="E114" s="8">
        <v>6.4879999999999993E-2</v>
      </c>
      <c r="F114" s="8">
        <v>2.7530000000000001</v>
      </c>
    </row>
    <row r="115" spans="1:8">
      <c r="A115" s="8">
        <v>7.0050000000000001E-2</v>
      </c>
      <c r="B115" s="8">
        <v>2.823</v>
      </c>
      <c r="C115" s="8">
        <v>7.0050000000000001E-2</v>
      </c>
      <c r="D115" s="8">
        <v>2.4940000000000002</v>
      </c>
      <c r="E115" s="8">
        <v>7.0050000000000001E-2</v>
      </c>
      <c r="F115" s="8">
        <v>2.1859999999999999</v>
      </c>
    </row>
    <row r="116" spans="1:8">
      <c r="A116" s="8">
        <v>7.4929999999999997E-2</v>
      </c>
      <c r="B116" s="8">
        <v>2.323</v>
      </c>
      <c r="C116" s="8">
        <v>7.4929999999999997E-2</v>
      </c>
      <c r="D116" s="8">
        <v>2.0350000000000001</v>
      </c>
      <c r="E116" s="8">
        <v>7.4929999999999997E-2</v>
      </c>
      <c r="F116" s="8">
        <v>1.7270000000000001</v>
      </c>
    </row>
    <row r="117" spans="1:8" ht="16.2" customHeight="1">
      <c r="A117" s="8">
        <v>0.08</v>
      </c>
      <c r="B117" s="8">
        <v>1.9059999999999999</v>
      </c>
      <c r="C117" s="8">
        <v>0.08</v>
      </c>
      <c r="D117" s="8">
        <v>1.605</v>
      </c>
      <c r="E117" s="8">
        <v>0.08</v>
      </c>
      <c r="F117" s="8">
        <v>1.3009999999999999</v>
      </c>
    </row>
    <row r="118" spans="1:8">
      <c r="A118" s="8">
        <v>5</v>
      </c>
      <c r="B118" s="8">
        <v>1.9059999999999999</v>
      </c>
      <c r="C118" s="8">
        <v>5</v>
      </c>
      <c r="D118" s="8">
        <v>1.605</v>
      </c>
      <c r="E118" s="8">
        <v>5</v>
      </c>
      <c r="F118" s="8">
        <v>1.3009999999999999</v>
      </c>
    </row>
    <row r="119" spans="1:8" ht="15" customHeight="1"/>
    <row r="120" spans="1:8" ht="15" customHeight="1">
      <c r="A120" s="219" t="s">
        <v>488</v>
      </c>
      <c r="B120" s="207"/>
      <c r="C120" s="207"/>
      <c r="D120" s="207"/>
      <c r="E120" s="207"/>
      <c r="F120" s="207"/>
      <c r="G120" s="207"/>
      <c r="H120" s="208"/>
    </row>
    <row r="121" spans="1:8" ht="15" customHeight="1">
      <c r="A121" s="219" t="s">
        <v>489</v>
      </c>
      <c r="B121" s="208"/>
      <c r="C121" s="219" t="s">
        <v>490</v>
      </c>
      <c r="D121" s="208"/>
      <c r="E121" s="219" t="s">
        <v>491</v>
      </c>
      <c r="F121" s="208"/>
      <c r="G121" s="219" t="s">
        <v>492</v>
      </c>
      <c r="H121" s="208"/>
    </row>
    <row r="122" spans="1:8" ht="15" customHeight="1">
      <c r="A122" s="86" t="s">
        <v>493</v>
      </c>
      <c r="B122" s="88" t="s">
        <v>494</v>
      </c>
      <c r="C122" s="86" t="s">
        <v>493</v>
      </c>
      <c r="D122" s="88" t="s">
        <v>494</v>
      </c>
      <c r="E122" s="86" t="s">
        <v>493</v>
      </c>
      <c r="F122" s="88" t="s">
        <v>494</v>
      </c>
      <c r="G122" s="86" t="s">
        <v>493</v>
      </c>
      <c r="H122" s="88" t="s">
        <v>494</v>
      </c>
    </row>
    <row r="123" spans="1:8">
      <c r="A123" s="9">
        <v>0</v>
      </c>
      <c r="B123" s="9">
        <v>1.444</v>
      </c>
      <c r="C123" s="9">
        <v>0</v>
      </c>
      <c r="D123" s="9">
        <v>1.093</v>
      </c>
      <c r="E123" s="9">
        <v>0</v>
      </c>
      <c r="F123" s="9">
        <v>0.85299999999999998</v>
      </c>
      <c r="G123" s="9">
        <v>0</v>
      </c>
      <c r="H123" s="9">
        <v>0.67900000000000005</v>
      </c>
    </row>
    <row r="124" spans="1:8">
      <c r="A124" s="8">
        <v>2.1240000000000001</v>
      </c>
      <c r="B124" s="8">
        <v>1.444</v>
      </c>
      <c r="C124" s="8">
        <v>2.1240000000000001</v>
      </c>
      <c r="D124" s="8">
        <v>1.093</v>
      </c>
      <c r="E124" s="8">
        <v>2.1240000000000001</v>
      </c>
      <c r="F124" s="8">
        <v>0.85299999999999998</v>
      </c>
      <c r="G124" s="8">
        <v>2.1240000000000001</v>
      </c>
      <c r="H124" s="8">
        <v>0.67900000000000005</v>
      </c>
    </row>
    <row r="125" spans="1:8">
      <c r="A125" s="8">
        <v>2.35</v>
      </c>
      <c r="B125" s="8">
        <v>1.444</v>
      </c>
      <c r="C125" s="8">
        <v>2.35</v>
      </c>
      <c r="D125" s="8">
        <v>1.105</v>
      </c>
      <c r="E125" s="8">
        <v>2.35</v>
      </c>
      <c r="F125" s="8">
        <v>0.86399999999999999</v>
      </c>
      <c r="G125" s="8">
        <v>2.35</v>
      </c>
      <c r="H125" s="8">
        <v>0.68899999999999995</v>
      </c>
    </row>
    <row r="126" spans="1:8">
      <c r="A126" s="8">
        <v>3.1720000000000002</v>
      </c>
      <c r="B126" s="8">
        <v>1.48</v>
      </c>
      <c r="C126" s="8">
        <v>3.1720000000000002</v>
      </c>
      <c r="D126" s="8">
        <v>1.141</v>
      </c>
      <c r="E126" s="8">
        <v>3.1720000000000002</v>
      </c>
      <c r="F126" s="8">
        <v>0.88500000000000001</v>
      </c>
      <c r="G126" s="8">
        <v>3.1720000000000002</v>
      </c>
      <c r="H126" s="8">
        <v>0.71099999999999997</v>
      </c>
    </row>
    <row r="127" spans="1:8">
      <c r="A127" s="8">
        <v>3.952</v>
      </c>
      <c r="B127" s="8">
        <v>1.4910000000000001</v>
      </c>
      <c r="C127" s="8">
        <v>3.952</v>
      </c>
      <c r="D127" s="8">
        <v>1.1579999999999999</v>
      </c>
      <c r="E127" s="8">
        <v>3.952</v>
      </c>
      <c r="F127" s="8">
        <v>0.89600000000000002</v>
      </c>
      <c r="G127" s="8">
        <v>3.952</v>
      </c>
      <c r="H127" s="8">
        <v>0.72499999999999998</v>
      </c>
    </row>
    <row r="128" spans="1:8">
      <c r="A128" s="8">
        <v>4.9349999999999996</v>
      </c>
      <c r="B128" s="8">
        <v>1.4830000000000001</v>
      </c>
      <c r="C128" s="8">
        <v>4.9349999999999996</v>
      </c>
      <c r="D128" s="8">
        <v>1.1639999999999999</v>
      </c>
      <c r="E128" s="8">
        <v>4.9349999999999996</v>
      </c>
      <c r="F128" s="8">
        <v>0.90200000000000002</v>
      </c>
      <c r="G128" s="8">
        <v>4.9349999999999996</v>
      </c>
      <c r="H128" s="8">
        <v>0.73199999999999998</v>
      </c>
    </row>
    <row r="129" spans="1:8">
      <c r="A129" s="8">
        <v>6</v>
      </c>
      <c r="B129" s="8">
        <v>1.4670000000000001</v>
      </c>
      <c r="C129" s="8">
        <v>6</v>
      </c>
      <c r="D129" s="8">
        <v>1.157</v>
      </c>
      <c r="E129" s="8">
        <v>6</v>
      </c>
      <c r="F129" s="8">
        <v>0.9</v>
      </c>
      <c r="G129" s="8">
        <v>6</v>
      </c>
      <c r="H129" s="8">
        <v>0.72699999999999998</v>
      </c>
    </row>
    <row r="130" spans="1:8">
      <c r="A130" s="8">
        <v>8</v>
      </c>
      <c r="B130" s="8">
        <v>1.413</v>
      </c>
      <c r="C130" s="8">
        <v>8</v>
      </c>
      <c r="D130" s="8">
        <v>1.117</v>
      </c>
      <c r="E130" s="8">
        <v>8</v>
      </c>
      <c r="F130" s="8">
        <v>0.89</v>
      </c>
      <c r="G130" s="8">
        <v>8</v>
      </c>
      <c r="H130" s="8">
        <v>0.71299999999999997</v>
      </c>
    </row>
    <row r="131" spans="1:8">
      <c r="A131" s="8">
        <v>10</v>
      </c>
      <c r="B131" s="8">
        <v>1.339</v>
      </c>
      <c r="C131" s="8">
        <v>10</v>
      </c>
      <c r="D131" s="8">
        <v>1.0720000000000001</v>
      </c>
      <c r="E131" s="8">
        <v>10</v>
      </c>
      <c r="F131" s="8">
        <v>0.87</v>
      </c>
      <c r="G131" s="8">
        <v>10</v>
      </c>
      <c r="H131" s="8">
        <v>0.69599999999999995</v>
      </c>
    </row>
    <row r="132" spans="1:8">
      <c r="A132" s="8">
        <v>12</v>
      </c>
      <c r="B132" s="8">
        <v>1.272</v>
      </c>
      <c r="C132" s="8">
        <v>12</v>
      </c>
      <c r="D132" s="8">
        <v>1.0309999999999999</v>
      </c>
      <c r="E132" s="8">
        <v>12</v>
      </c>
      <c r="F132" s="8">
        <v>0.84399999999999997</v>
      </c>
      <c r="G132" s="8">
        <v>12</v>
      </c>
      <c r="H132" s="8">
        <v>0.67400000000000004</v>
      </c>
    </row>
    <row r="133" spans="1:8">
      <c r="A133" s="8">
        <v>14</v>
      </c>
      <c r="B133" s="8">
        <v>1.2230000000000001</v>
      </c>
      <c r="C133" s="8">
        <v>14</v>
      </c>
      <c r="D133" s="8">
        <v>0.99299999999999999</v>
      </c>
      <c r="E133" s="8">
        <v>14</v>
      </c>
      <c r="F133" s="8">
        <v>0.81200000000000006</v>
      </c>
      <c r="G133" s="8">
        <v>14</v>
      </c>
      <c r="H133" s="8">
        <v>0.65300000000000002</v>
      </c>
    </row>
    <row r="134" spans="1:8">
      <c r="A134" s="8">
        <v>18</v>
      </c>
      <c r="B134" s="8">
        <v>1.1679999999999999</v>
      </c>
      <c r="C134" s="8">
        <v>18</v>
      </c>
      <c r="D134" s="8">
        <v>0.93200000000000005</v>
      </c>
      <c r="E134" s="8">
        <v>18</v>
      </c>
      <c r="F134" s="8">
        <v>0.77200000000000002</v>
      </c>
      <c r="G134" s="8">
        <v>18</v>
      </c>
      <c r="H134" s="8">
        <v>0.61899999999999999</v>
      </c>
    </row>
    <row r="135" spans="1:8">
      <c r="A135" s="8">
        <v>30</v>
      </c>
      <c r="B135" s="8">
        <v>1.0469999999999999</v>
      </c>
      <c r="C135" s="8">
        <v>30</v>
      </c>
      <c r="D135" s="8">
        <v>0.79900000000000004</v>
      </c>
      <c r="E135" s="8">
        <v>30</v>
      </c>
      <c r="F135" s="8">
        <v>0.67300000000000004</v>
      </c>
      <c r="G135" s="8">
        <v>30</v>
      </c>
      <c r="H135" s="8">
        <v>0.53600000000000003</v>
      </c>
    </row>
    <row r="136" spans="1:8">
      <c r="A136" s="8">
        <v>40</v>
      </c>
      <c r="B136" s="8">
        <v>0.96299999999999997</v>
      </c>
      <c r="C136" s="8">
        <v>40</v>
      </c>
      <c r="D136" s="8">
        <v>0.72599999999999998</v>
      </c>
      <c r="E136" s="8">
        <v>40</v>
      </c>
      <c r="F136" s="8">
        <v>0.59599999999999997</v>
      </c>
      <c r="G136" s="8">
        <v>40</v>
      </c>
      <c r="H136" s="8">
        <v>0.47699999999999998</v>
      </c>
    </row>
    <row r="137" spans="1:8">
      <c r="A137" s="8">
        <v>42</v>
      </c>
      <c r="B137" s="8">
        <v>0.94599999999999995</v>
      </c>
      <c r="C137" s="8">
        <v>42</v>
      </c>
      <c r="D137" s="8">
        <v>0.71399999999999997</v>
      </c>
      <c r="E137" s="8">
        <v>42</v>
      </c>
      <c r="F137" s="8">
        <v>0.57899999999999996</v>
      </c>
      <c r="G137" s="8">
        <v>42</v>
      </c>
      <c r="H137" s="8">
        <v>0.46899999999999997</v>
      </c>
    </row>
    <row r="138" spans="1:8">
      <c r="A138" s="8">
        <v>60</v>
      </c>
      <c r="B138" s="8">
        <v>0.94599999999999995</v>
      </c>
      <c r="C138" s="8">
        <v>60</v>
      </c>
      <c r="D138" s="8">
        <v>0.71399999999999997</v>
      </c>
      <c r="E138" s="8">
        <v>60</v>
      </c>
      <c r="F138" s="8">
        <v>0.57899999999999996</v>
      </c>
      <c r="G138" s="8">
        <v>60</v>
      </c>
      <c r="H138" s="8">
        <v>0.46899999999999997</v>
      </c>
    </row>
    <row r="139" spans="1:8" ht="15" customHeight="1"/>
    <row r="140" spans="1:8" ht="15" customHeight="1">
      <c r="A140" s="219" t="s">
        <v>495</v>
      </c>
      <c r="B140" s="207"/>
      <c r="C140" s="207"/>
      <c r="D140" s="207"/>
      <c r="E140" s="207"/>
      <c r="F140" s="208"/>
    </row>
    <row r="141" spans="1:8" ht="15" customHeight="1">
      <c r="A141" s="221" t="s">
        <v>496</v>
      </c>
      <c r="B141" s="207"/>
      <c r="C141" s="214"/>
      <c r="D141" s="220" t="s">
        <v>497</v>
      </c>
      <c r="E141" s="207"/>
      <c r="F141" s="208"/>
    </row>
    <row r="142" spans="1:8">
      <c r="A142" s="9"/>
      <c r="B142" s="9" t="s">
        <v>498</v>
      </c>
      <c r="C142" s="9" t="s">
        <v>499</v>
      </c>
      <c r="D142" s="9"/>
      <c r="E142" s="9" t="s">
        <v>498</v>
      </c>
      <c r="F142" s="9" t="s">
        <v>499</v>
      </c>
    </row>
    <row r="143" spans="1:8">
      <c r="A143" s="8" t="s">
        <v>500</v>
      </c>
      <c r="B143" s="8">
        <v>1</v>
      </c>
      <c r="C143" s="8">
        <v>1</v>
      </c>
      <c r="D143" s="8" t="s">
        <v>500</v>
      </c>
      <c r="E143" s="8">
        <v>1</v>
      </c>
      <c r="F143" s="8">
        <v>1</v>
      </c>
    </row>
    <row r="144" spans="1:8">
      <c r="A144" s="8" t="s">
        <v>501</v>
      </c>
      <c r="B144" s="8">
        <v>1</v>
      </c>
      <c r="C144" s="8">
        <v>0.75</v>
      </c>
      <c r="D144" s="8" t="s">
        <v>501</v>
      </c>
      <c r="E144" s="8">
        <v>1</v>
      </c>
      <c r="F144" s="8">
        <v>0.65</v>
      </c>
    </row>
    <row r="145" spans="1:6">
      <c r="A145" s="8" t="s">
        <v>502</v>
      </c>
      <c r="B145" s="8">
        <v>1.1000000000000001</v>
      </c>
      <c r="C145" s="8">
        <v>1</v>
      </c>
      <c r="D145" s="8" t="s">
        <v>502</v>
      </c>
      <c r="E145" s="8">
        <v>1.1000000000000001</v>
      </c>
      <c r="F145" s="8">
        <v>1</v>
      </c>
    </row>
    <row r="146" spans="1:6">
      <c r="A146" s="8" t="s">
        <v>503</v>
      </c>
      <c r="B146" s="8">
        <v>1.2</v>
      </c>
      <c r="C146" s="8">
        <v>0.8</v>
      </c>
      <c r="D146" s="8" t="s">
        <v>503</v>
      </c>
      <c r="E146" s="8">
        <v>1.1000000000000001</v>
      </c>
      <c r="F146" s="8">
        <v>0.65</v>
      </c>
    </row>
    <row r="147" spans="1:6">
      <c r="A147" s="8" t="s">
        <v>504</v>
      </c>
      <c r="B147" s="8">
        <v>0.9</v>
      </c>
      <c r="C147" s="8">
        <v>1</v>
      </c>
      <c r="D147" s="8" t="s">
        <v>504</v>
      </c>
      <c r="E147" s="8">
        <v>0.9</v>
      </c>
      <c r="F147" s="8">
        <v>1</v>
      </c>
    </row>
    <row r="148" spans="1:6">
      <c r="A148" s="8" t="s">
        <v>505</v>
      </c>
      <c r="B148" s="8">
        <v>0.9</v>
      </c>
      <c r="C148" s="8">
        <v>0.65</v>
      </c>
      <c r="D148" s="8" t="s">
        <v>505</v>
      </c>
      <c r="E148" s="8">
        <v>0.9</v>
      </c>
      <c r="F148" s="8">
        <v>0.65</v>
      </c>
    </row>
    <row r="151" spans="1:6">
      <c r="A151" s="8" t="s">
        <v>506</v>
      </c>
      <c r="B151" s="8" t="s">
        <v>507</v>
      </c>
      <c r="C151" s="8" t="s">
        <v>508</v>
      </c>
      <c r="D151" s="8" t="s">
        <v>509</v>
      </c>
      <c r="E151" s="8" t="s">
        <v>510</v>
      </c>
    </row>
    <row r="152" spans="1:6">
      <c r="A152" s="8" t="str">
        <f t="shared" ref="A152:A183" si="0">_xlfn.CONCAT(B152, " ", C152)</f>
        <v>24000 Seamless</v>
      </c>
      <c r="B152" s="8">
        <v>24000</v>
      </c>
      <c r="C152" s="8" t="s">
        <v>356</v>
      </c>
      <c r="D152" s="8">
        <v>12000</v>
      </c>
      <c r="E152" s="8">
        <v>21000</v>
      </c>
    </row>
    <row r="153" spans="1:6">
      <c r="A153" s="8" t="str">
        <f t="shared" si="0"/>
        <v>30000 Seamless</v>
      </c>
      <c r="B153" s="8">
        <v>30000</v>
      </c>
      <c r="C153" s="8" t="s">
        <v>356</v>
      </c>
      <c r="D153" s="8">
        <v>12000</v>
      </c>
      <c r="E153" s="8">
        <v>21000</v>
      </c>
    </row>
    <row r="154" spans="1:6">
      <c r="A154" s="8" t="str">
        <f t="shared" si="0"/>
        <v>35000 Seamless</v>
      </c>
      <c r="B154" s="8">
        <v>35000</v>
      </c>
      <c r="C154" s="8" t="s">
        <v>356</v>
      </c>
      <c r="D154" s="8">
        <v>12000</v>
      </c>
      <c r="E154" s="8">
        <v>21000</v>
      </c>
    </row>
    <row r="155" spans="1:6">
      <c r="A155" s="8" t="str">
        <f t="shared" si="0"/>
        <v>42000 Seamless</v>
      </c>
      <c r="B155" s="8">
        <v>42000</v>
      </c>
      <c r="C155" s="8" t="s">
        <v>356</v>
      </c>
      <c r="D155" s="8">
        <v>12000</v>
      </c>
      <c r="E155" s="8">
        <v>21000</v>
      </c>
    </row>
    <row r="156" spans="1:6">
      <c r="A156" s="8" t="str">
        <f t="shared" si="0"/>
        <v>46000 Seamless</v>
      </c>
      <c r="B156" s="8">
        <v>46000</v>
      </c>
      <c r="C156" s="8" t="s">
        <v>356</v>
      </c>
      <c r="D156" s="8">
        <v>12000</v>
      </c>
      <c r="E156" s="8">
        <v>21000</v>
      </c>
    </row>
    <row r="157" spans="1:6">
      <c r="A157" s="8" t="str">
        <f t="shared" si="0"/>
        <v>52000 Seamless</v>
      </c>
      <c r="B157" s="8">
        <v>52000</v>
      </c>
      <c r="C157" s="8" t="s">
        <v>356</v>
      </c>
      <c r="D157" s="8">
        <v>12000</v>
      </c>
      <c r="E157" s="8">
        <v>21000</v>
      </c>
    </row>
    <row r="158" spans="1:6">
      <c r="A158" s="8" t="str">
        <f t="shared" si="0"/>
        <v>56000 Seamless</v>
      </c>
      <c r="B158" s="8">
        <v>56000</v>
      </c>
      <c r="C158" s="8" t="s">
        <v>356</v>
      </c>
      <c r="D158" s="8">
        <v>12000</v>
      </c>
      <c r="E158" s="8">
        <v>23000</v>
      </c>
    </row>
    <row r="159" spans="1:6">
      <c r="A159" s="8" t="str">
        <f t="shared" si="0"/>
        <v>60000 Seamless</v>
      </c>
      <c r="B159" s="8">
        <v>60000</v>
      </c>
      <c r="C159" s="8" t="s">
        <v>356</v>
      </c>
      <c r="D159" s="8">
        <v>12000</v>
      </c>
      <c r="E159" s="8">
        <v>23000</v>
      </c>
    </row>
    <row r="160" spans="1:6">
      <c r="A160" s="8" t="str">
        <f t="shared" si="0"/>
        <v>65000 Seamless</v>
      </c>
      <c r="B160" s="8">
        <v>65000</v>
      </c>
      <c r="C160" s="8" t="s">
        <v>356</v>
      </c>
      <c r="D160" s="8">
        <v>12000</v>
      </c>
      <c r="E160" s="8">
        <v>23000</v>
      </c>
    </row>
    <row r="161" spans="1:5">
      <c r="A161" s="8" t="str">
        <f t="shared" si="0"/>
        <v>70000 Seamless</v>
      </c>
      <c r="B161" s="8">
        <v>70000</v>
      </c>
      <c r="C161" s="8" t="s">
        <v>356</v>
      </c>
      <c r="D161" s="8">
        <v>12000</v>
      </c>
      <c r="E161" s="8">
        <v>25000</v>
      </c>
    </row>
    <row r="162" spans="1:5">
      <c r="A162" s="8" t="str">
        <f t="shared" si="0"/>
        <v>80000 Seamless</v>
      </c>
      <c r="B162" s="8">
        <v>80000</v>
      </c>
      <c r="C162" s="8" t="s">
        <v>356</v>
      </c>
      <c r="D162" s="8">
        <v>12000</v>
      </c>
      <c r="E162" s="8">
        <v>27000</v>
      </c>
    </row>
    <row r="163" spans="1:5">
      <c r="A163" s="8" t="str">
        <f t="shared" si="0"/>
        <v>24000 Electric Resistance Welded</v>
      </c>
      <c r="B163" s="8">
        <v>24000</v>
      </c>
      <c r="C163" s="8" t="s">
        <v>126</v>
      </c>
      <c r="D163" s="8">
        <v>12000</v>
      </c>
      <c r="E163" s="8">
        <v>21000</v>
      </c>
    </row>
    <row r="164" spans="1:5">
      <c r="A164" s="8" t="str">
        <f t="shared" si="0"/>
        <v>30000 Electric Resistance Welded</v>
      </c>
      <c r="B164" s="8">
        <v>30000</v>
      </c>
      <c r="C164" s="8" t="s">
        <v>126</v>
      </c>
      <c r="D164" s="8">
        <v>12000</v>
      </c>
      <c r="E164" s="8">
        <v>21000</v>
      </c>
    </row>
    <row r="165" spans="1:5">
      <c r="A165" s="8" t="str">
        <f t="shared" si="0"/>
        <v>35000 Electric Resistance Welded</v>
      </c>
      <c r="B165" s="8">
        <v>35000</v>
      </c>
      <c r="C165" s="8" t="s">
        <v>126</v>
      </c>
      <c r="D165" s="8">
        <v>12000</v>
      </c>
      <c r="E165" s="8">
        <v>21000</v>
      </c>
    </row>
    <row r="166" spans="1:5">
      <c r="A166" s="8" t="str">
        <f t="shared" si="0"/>
        <v>42000 Electric Resistance Welded</v>
      </c>
      <c r="B166" s="8">
        <v>42000</v>
      </c>
      <c r="C166" s="8" t="s">
        <v>126</v>
      </c>
      <c r="D166" s="8">
        <v>12000</v>
      </c>
      <c r="E166" s="8">
        <v>21000</v>
      </c>
    </row>
    <row r="167" spans="1:5">
      <c r="A167" s="8" t="str">
        <f t="shared" si="0"/>
        <v>46000 Electric Resistance Welded</v>
      </c>
      <c r="B167" s="8">
        <v>46000</v>
      </c>
      <c r="C167" s="8" t="s">
        <v>126</v>
      </c>
      <c r="D167" s="8">
        <v>12000</v>
      </c>
      <c r="E167" s="8">
        <v>21000</v>
      </c>
    </row>
    <row r="168" spans="1:5">
      <c r="A168" s="8" t="str">
        <f t="shared" si="0"/>
        <v>52000 Electric Resistance Welded</v>
      </c>
      <c r="B168" s="8">
        <v>52000</v>
      </c>
      <c r="C168" s="8" t="s">
        <v>126</v>
      </c>
      <c r="D168" s="8">
        <v>12000</v>
      </c>
      <c r="E168" s="8">
        <v>21000</v>
      </c>
    </row>
    <row r="169" spans="1:5">
      <c r="A169" s="8" t="str">
        <f t="shared" si="0"/>
        <v>56000 Electric Resistance Welded</v>
      </c>
      <c r="B169" s="8">
        <v>56000</v>
      </c>
      <c r="C169" s="8" t="s">
        <v>126</v>
      </c>
      <c r="D169" s="8">
        <v>12000</v>
      </c>
      <c r="E169" s="8">
        <v>23000</v>
      </c>
    </row>
    <row r="170" spans="1:5">
      <c r="A170" s="8" t="str">
        <f t="shared" si="0"/>
        <v>60000 Electric Resistance Welded</v>
      </c>
      <c r="B170" s="8">
        <v>60000</v>
      </c>
      <c r="C170" s="8" t="s">
        <v>126</v>
      </c>
      <c r="D170" s="8">
        <v>12000</v>
      </c>
      <c r="E170" s="8">
        <v>23000</v>
      </c>
    </row>
    <row r="171" spans="1:5">
      <c r="A171" s="8" t="str">
        <f t="shared" si="0"/>
        <v>65000 Electric Resistance Welded</v>
      </c>
      <c r="B171" s="8">
        <v>65000</v>
      </c>
      <c r="C171" s="8" t="s">
        <v>126</v>
      </c>
      <c r="D171" s="8">
        <v>12000</v>
      </c>
      <c r="E171" s="8">
        <v>23000</v>
      </c>
    </row>
    <row r="172" spans="1:5">
      <c r="A172" s="8" t="str">
        <f t="shared" si="0"/>
        <v>70000 Electric Resistance Welded</v>
      </c>
      <c r="B172" s="8">
        <v>70000</v>
      </c>
      <c r="C172" s="8" t="s">
        <v>126</v>
      </c>
      <c r="D172" s="8">
        <v>12000</v>
      </c>
      <c r="E172" s="8">
        <v>25000</v>
      </c>
    </row>
    <row r="173" spans="1:5">
      <c r="A173" s="8" t="str">
        <f t="shared" si="0"/>
        <v>80000 Electric Resistance Welded</v>
      </c>
      <c r="B173" s="8">
        <v>80000</v>
      </c>
      <c r="C173" s="8" t="s">
        <v>126</v>
      </c>
      <c r="D173" s="8">
        <v>12000</v>
      </c>
      <c r="E173" s="8">
        <v>27000</v>
      </c>
    </row>
    <row r="174" spans="1:5">
      <c r="A174" s="8" t="str">
        <f t="shared" si="0"/>
        <v>24000 Furnace Butt Welded</v>
      </c>
      <c r="B174" s="8">
        <v>24000</v>
      </c>
      <c r="C174" s="8" t="s">
        <v>357</v>
      </c>
      <c r="D174" s="8">
        <v>12000</v>
      </c>
      <c r="E174" s="8">
        <v>21000</v>
      </c>
    </row>
    <row r="175" spans="1:5">
      <c r="A175" s="8" t="str">
        <f t="shared" si="0"/>
        <v>30000 Furnace Butt Welded</v>
      </c>
      <c r="B175" s="8">
        <v>30000</v>
      </c>
      <c r="C175" s="8" t="s">
        <v>357</v>
      </c>
      <c r="D175" s="8">
        <v>12000</v>
      </c>
      <c r="E175" s="8">
        <v>21000</v>
      </c>
    </row>
    <row r="176" spans="1:5">
      <c r="A176" s="8" t="str">
        <f t="shared" si="0"/>
        <v>35000 Furnace Butt Welded</v>
      </c>
      <c r="B176" s="8">
        <v>35000</v>
      </c>
      <c r="C176" s="8" t="s">
        <v>357</v>
      </c>
      <c r="D176" s="8">
        <v>12000</v>
      </c>
      <c r="E176" s="8">
        <v>21000</v>
      </c>
    </row>
    <row r="177" spans="1:5">
      <c r="A177" s="8" t="str">
        <f t="shared" si="0"/>
        <v>42000 Furnace Butt Welded</v>
      </c>
      <c r="B177" s="8">
        <v>42000</v>
      </c>
      <c r="C177" s="8" t="s">
        <v>357</v>
      </c>
      <c r="D177" s="8">
        <v>12000</v>
      </c>
      <c r="E177" s="8">
        <v>21000</v>
      </c>
    </row>
    <row r="178" spans="1:5">
      <c r="A178" s="8" t="str">
        <f t="shared" si="0"/>
        <v>46000 Furnace Butt Welded</v>
      </c>
      <c r="B178" s="8">
        <v>46000</v>
      </c>
      <c r="C178" s="8" t="s">
        <v>357</v>
      </c>
      <c r="D178" s="8">
        <v>12000</v>
      </c>
      <c r="E178" s="8">
        <v>21000</v>
      </c>
    </row>
    <row r="179" spans="1:5">
      <c r="A179" s="8" t="str">
        <f t="shared" si="0"/>
        <v>52000 Furnace Butt Welded</v>
      </c>
      <c r="B179" s="8">
        <v>52000</v>
      </c>
      <c r="C179" s="8" t="s">
        <v>357</v>
      </c>
      <c r="D179" s="8">
        <v>12000</v>
      </c>
      <c r="E179" s="8">
        <v>21000</v>
      </c>
    </row>
    <row r="180" spans="1:5">
      <c r="A180" s="8" t="str">
        <f t="shared" si="0"/>
        <v>56000 Furnace Butt Welded</v>
      </c>
      <c r="B180" s="8">
        <v>56000</v>
      </c>
      <c r="C180" s="8" t="s">
        <v>357</v>
      </c>
      <c r="D180" s="8">
        <v>12000</v>
      </c>
      <c r="E180" s="8">
        <v>23000</v>
      </c>
    </row>
    <row r="181" spans="1:5">
      <c r="A181" s="8" t="str">
        <f t="shared" si="0"/>
        <v>60000 Furnace Butt Welded</v>
      </c>
      <c r="B181" s="8">
        <v>60000</v>
      </c>
      <c r="C181" s="8" t="s">
        <v>357</v>
      </c>
      <c r="D181" s="8">
        <v>12000</v>
      </c>
      <c r="E181" s="8">
        <v>23000</v>
      </c>
    </row>
    <row r="182" spans="1:5">
      <c r="A182" s="8" t="str">
        <f t="shared" si="0"/>
        <v>65000 Furnace Butt Welded</v>
      </c>
      <c r="B182" s="8">
        <v>65000</v>
      </c>
      <c r="C182" s="8" t="s">
        <v>357</v>
      </c>
      <c r="D182" s="8">
        <v>12000</v>
      </c>
      <c r="E182" s="8">
        <v>23000</v>
      </c>
    </row>
    <row r="183" spans="1:5">
      <c r="A183" s="8" t="str">
        <f t="shared" si="0"/>
        <v>70000 Furnace Butt Welded</v>
      </c>
      <c r="B183" s="8">
        <v>70000</v>
      </c>
      <c r="C183" s="8" t="s">
        <v>357</v>
      </c>
      <c r="D183" s="8">
        <v>12000</v>
      </c>
      <c r="E183" s="8">
        <v>25000</v>
      </c>
    </row>
    <row r="184" spans="1:5">
      <c r="A184" s="8" t="str">
        <f t="shared" ref="A184:A215" si="1">_xlfn.CONCAT(B184, " ", C184)</f>
        <v>80000 Furnace Butt Welded</v>
      </c>
      <c r="B184" s="8">
        <v>80000</v>
      </c>
      <c r="C184" s="8" t="s">
        <v>357</v>
      </c>
      <c r="D184" s="8">
        <v>12000</v>
      </c>
      <c r="E184" s="8">
        <v>27000</v>
      </c>
    </row>
    <row r="185" spans="1:5">
      <c r="A185" s="8" t="str">
        <f t="shared" si="1"/>
        <v>24000 Double Submerged Arc Welded</v>
      </c>
      <c r="B185" s="8">
        <v>24000</v>
      </c>
      <c r="C185" s="8" t="s">
        <v>396</v>
      </c>
      <c r="D185" s="8">
        <v>12000</v>
      </c>
      <c r="E185" s="8">
        <v>12000</v>
      </c>
    </row>
    <row r="186" spans="1:5">
      <c r="A186" s="8" t="str">
        <f t="shared" si="1"/>
        <v>30000 Double Submerged Arc Welded</v>
      </c>
      <c r="B186" s="8">
        <v>30000</v>
      </c>
      <c r="C186" s="8" t="s">
        <v>396</v>
      </c>
      <c r="D186" s="8">
        <v>12000</v>
      </c>
      <c r="E186" s="8">
        <v>12000</v>
      </c>
    </row>
    <row r="187" spans="1:5">
      <c r="A187" s="8" t="str">
        <f t="shared" si="1"/>
        <v>35000 Double Submerged Arc Welded</v>
      </c>
      <c r="B187" s="8">
        <v>35000</v>
      </c>
      <c r="C187" s="8" t="s">
        <v>396</v>
      </c>
      <c r="D187" s="8">
        <v>12000</v>
      </c>
      <c r="E187" s="8">
        <v>12000</v>
      </c>
    </row>
    <row r="188" spans="1:5">
      <c r="A188" s="8" t="str">
        <f t="shared" si="1"/>
        <v>42000 Double Submerged Arc Welded</v>
      </c>
      <c r="B188" s="8">
        <v>42000</v>
      </c>
      <c r="C188" s="8" t="s">
        <v>396</v>
      </c>
      <c r="D188" s="8">
        <v>12000</v>
      </c>
      <c r="E188" s="8">
        <v>12000</v>
      </c>
    </row>
    <row r="189" spans="1:5">
      <c r="A189" s="8" t="str">
        <f t="shared" si="1"/>
        <v>46000 Double Submerged Arc Welded</v>
      </c>
      <c r="B189" s="8">
        <v>46000</v>
      </c>
      <c r="C189" s="8" t="s">
        <v>396</v>
      </c>
      <c r="D189" s="8">
        <v>12000</v>
      </c>
      <c r="E189" s="8">
        <v>12000</v>
      </c>
    </row>
    <row r="190" spans="1:5">
      <c r="A190" s="8" t="str">
        <f t="shared" si="1"/>
        <v>52000 Double Submerged Arc Welded</v>
      </c>
      <c r="B190" s="8">
        <v>52000</v>
      </c>
      <c r="C190" s="8" t="s">
        <v>396</v>
      </c>
      <c r="D190" s="8">
        <v>12000</v>
      </c>
      <c r="E190" s="8">
        <v>12000</v>
      </c>
    </row>
    <row r="191" spans="1:5">
      <c r="A191" s="8" t="str">
        <f t="shared" si="1"/>
        <v>56000 Double Submerged Arc Welded</v>
      </c>
      <c r="B191" s="8">
        <v>56000</v>
      </c>
      <c r="C191" s="8" t="s">
        <v>396</v>
      </c>
      <c r="D191" s="8">
        <v>12000</v>
      </c>
      <c r="E191" s="8">
        <v>12000</v>
      </c>
    </row>
    <row r="192" spans="1:5">
      <c r="A192" s="8" t="str">
        <f t="shared" si="1"/>
        <v>60000 Double Submerged Arc Welded</v>
      </c>
      <c r="B192" s="8">
        <v>60000</v>
      </c>
      <c r="C192" s="8" t="s">
        <v>396</v>
      </c>
      <c r="D192" s="8">
        <v>12000</v>
      </c>
      <c r="E192" s="8">
        <v>12000</v>
      </c>
    </row>
    <row r="193" spans="1:5">
      <c r="A193" s="8" t="str">
        <f t="shared" si="1"/>
        <v>65000 Double Submerged Arc Welded</v>
      </c>
      <c r="B193" s="8">
        <v>65000</v>
      </c>
      <c r="C193" s="8" t="s">
        <v>396</v>
      </c>
      <c r="D193" s="8">
        <v>12000</v>
      </c>
      <c r="E193" s="8">
        <v>12000</v>
      </c>
    </row>
    <row r="194" spans="1:5">
      <c r="A194" s="8" t="str">
        <f t="shared" si="1"/>
        <v>70000 Double Submerged Arc Welded</v>
      </c>
      <c r="B194" s="8">
        <v>70000</v>
      </c>
      <c r="C194" s="8" t="s">
        <v>396</v>
      </c>
      <c r="D194" s="8">
        <v>12000</v>
      </c>
      <c r="E194" s="8">
        <v>13000</v>
      </c>
    </row>
    <row r="195" spans="1:5">
      <c r="A195" s="8" t="str">
        <f t="shared" si="1"/>
        <v>80000 Double Submerged Arc Welded</v>
      </c>
      <c r="B195" s="8">
        <v>80000</v>
      </c>
      <c r="C195" s="8" t="s">
        <v>396</v>
      </c>
      <c r="D195" s="8">
        <v>12000</v>
      </c>
      <c r="E195" s="8">
        <v>14000</v>
      </c>
    </row>
    <row r="196" spans="1:5">
      <c r="A196" s="8" t="str">
        <f t="shared" si="1"/>
        <v>24000 Electric-Fusion Welded</v>
      </c>
      <c r="B196" s="8">
        <v>24000</v>
      </c>
      <c r="C196" s="8" t="s">
        <v>397</v>
      </c>
      <c r="D196" s="8">
        <v>12000</v>
      </c>
      <c r="E196" s="8">
        <v>21000</v>
      </c>
    </row>
    <row r="197" spans="1:5">
      <c r="A197" s="8" t="str">
        <f t="shared" si="1"/>
        <v>30000 Electric-Fusion Welded</v>
      </c>
      <c r="B197" s="8">
        <v>30000</v>
      </c>
      <c r="C197" s="8" t="s">
        <v>397</v>
      </c>
      <c r="D197" s="8">
        <v>12000</v>
      </c>
      <c r="E197" s="8">
        <v>21000</v>
      </c>
    </row>
    <row r="198" spans="1:5">
      <c r="A198" s="8" t="str">
        <f t="shared" si="1"/>
        <v>35000 Electric-Fusion Welded</v>
      </c>
      <c r="B198" s="8">
        <v>35000</v>
      </c>
      <c r="C198" s="8" t="s">
        <v>397</v>
      </c>
      <c r="D198" s="8">
        <v>12000</v>
      </c>
      <c r="E198" s="8">
        <v>21000</v>
      </c>
    </row>
    <row r="199" spans="1:5">
      <c r="A199" s="8" t="str">
        <f t="shared" si="1"/>
        <v>42000 Electric-Fusion Welded</v>
      </c>
      <c r="B199" s="8">
        <v>42000</v>
      </c>
      <c r="C199" s="8" t="s">
        <v>397</v>
      </c>
      <c r="D199" s="8">
        <v>12000</v>
      </c>
      <c r="E199" s="8">
        <v>21000</v>
      </c>
    </row>
    <row r="200" spans="1:5">
      <c r="A200" s="8" t="str">
        <f t="shared" si="1"/>
        <v>46000 Electric-Fusion Welded</v>
      </c>
      <c r="B200" s="8">
        <v>46000</v>
      </c>
      <c r="C200" s="8" t="s">
        <v>397</v>
      </c>
      <c r="D200" s="8">
        <v>12000</v>
      </c>
      <c r="E200" s="8">
        <v>21000</v>
      </c>
    </row>
    <row r="201" spans="1:5">
      <c r="A201" s="8" t="str">
        <f t="shared" si="1"/>
        <v>52000 Electric-Fusion Welded</v>
      </c>
      <c r="B201" s="8">
        <v>52000</v>
      </c>
      <c r="C201" s="8" t="s">
        <v>397</v>
      </c>
      <c r="D201" s="8">
        <v>12000</v>
      </c>
      <c r="E201" s="8">
        <v>21000</v>
      </c>
    </row>
    <row r="202" spans="1:5">
      <c r="A202" s="8" t="str">
        <f t="shared" si="1"/>
        <v>56000 Electric-Fusion Welded</v>
      </c>
      <c r="B202" s="8">
        <v>56000</v>
      </c>
      <c r="C202" s="8" t="s">
        <v>397</v>
      </c>
      <c r="D202" s="8">
        <v>12000</v>
      </c>
      <c r="E202" s="8">
        <v>23000</v>
      </c>
    </row>
    <row r="203" spans="1:5">
      <c r="A203" s="8" t="str">
        <f t="shared" si="1"/>
        <v>60000 Electric-Fusion Welded</v>
      </c>
      <c r="B203" s="8">
        <v>60000</v>
      </c>
      <c r="C203" s="8" t="s">
        <v>397</v>
      </c>
      <c r="D203" s="8">
        <v>12000</v>
      </c>
      <c r="E203" s="8">
        <v>23000</v>
      </c>
    </row>
    <row r="204" spans="1:5">
      <c r="A204" s="8" t="str">
        <f t="shared" si="1"/>
        <v>65000 Electric-Fusion Welded</v>
      </c>
      <c r="B204" s="8">
        <v>65000</v>
      </c>
      <c r="C204" s="8" t="s">
        <v>397</v>
      </c>
      <c r="D204" s="8">
        <v>12000</v>
      </c>
      <c r="E204" s="8">
        <v>23000</v>
      </c>
    </row>
    <row r="205" spans="1:5">
      <c r="A205" s="8" t="str">
        <f t="shared" si="1"/>
        <v>70000 Electric-Fusion Welded</v>
      </c>
      <c r="B205" s="8">
        <v>70000</v>
      </c>
      <c r="C205" s="8" t="s">
        <v>397</v>
      </c>
      <c r="D205" s="8">
        <v>12000</v>
      </c>
      <c r="E205" s="8">
        <v>25000</v>
      </c>
    </row>
    <row r="206" spans="1:5">
      <c r="A206" s="8" t="str">
        <f t="shared" si="1"/>
        <v>80000 Electric-Fusion Welded</v>
      </c>
      <c r="B206" s="8">
        <v>80000</v>
      </c>
      <c r="C206" s="8" t="s">
        <v>397</v>
      </c>
      <c r="D206" s="8">
        <v>12000</v>
      </c>
      <c r="E206" s="8">
        <v>27000</v>
      </c>
    </row>
    <row r="207" spans="1:5">
      <c r="A207" s="8" t="str">
        <f t="shared" si="1"/>
        <v>24000 Submerged Arc Welded</v>
      </c>
      <c r="B207" s="8">
        <v>24000</v>
      </c>
      <c r="C207" s="8" t="s">
        <v>361</v>
      </c>
      <c r="D207" s="8">
        <v>12000</v>
      </c>
      <c r="E207" s="8">
        <v>12000</v>
      </c>
    </row>
    <row r="208" spans="1:5">
      <c r="A208" s="8" t="str">
        <f t="shared" si="1"/>
        <v>30000 Submerged Arc Welded</v>
      </c>
      <c r="B208" s="8">
        <v>30000</v>
      </c>
      <c r="C208" s="8" t="s">
        <v>361</v>
      </c>
      <c r="D208" s="8">
        <v>12000</v>
      </c>
      <c r="E208" s="8">
        <v>12000</v>
      </c>
    </row>
    <row r="209" spans="1:5">
      <c r="A209" s="8" t="str">
        <f t="shared" si="1"/>
        <v>35000 Submerged Arc Welded</v>
      </c>
      <c r="B209" s="8">
        <v>35000</v>
      </c>
      <c r="C209" s="8" t="s">
        <v>361</v>
      </c>
      <c r="D209" s="8">
        <v>12000</v>
      </c>
      <c r="E209" s="8">
        <v>12000</v>
      </c>
    </row>
    <row r="210" spans="1:5">
      <c r="A210" s="8" t="str">
        <f t="shared" si="1"/>
        <v>42000 Submerged Arc Welded</v>
      </c>
      <c r="B210" s="8">
        <v>42000</v>
      </c>
      <c r="C210" s="8" t="s">
        <v>361</v>
      </c>
      <c r="D210" s="8">
        <v>12000</v>
      </c>
      <c r="E210" s="8">
        <v>12000</v>
      </c>
    </row>
    <row r="211" spans="1:5">
      <c r="A211" s="8" t="str">
        <f t="shared" si="1"/>
        <v>46000 Submerged Arc Welded</v>
      </c>
      <c r="B211" s="8">
        <v>46000</v>
      </c>
      <c r="C211" s="8" t="s">
        <v>361</v>
      </c>
      <c r="D211" s="8">
        <v>12000</v>
      </c>
      <c r="E211" s="8">
        <v>12000</v>
      </c>
    </row>
    <row r="212" spans="1:5">
      <c r="A212" s="8" t="str">
        <f t="shared" si="1"/>
        <v>52000 Submerged Arc Welded</v>
      </c>
      <c r="B212" s="8">
        <v>52000</v>
      </c>
      <c r="C212" s="8" t="s">
        <v>361</v>
      </c>
      <c r="D212" s="8">
        <v>12000</v>
      </c>
      <c r="E212" s="8">
        <v>12000</v>
      </c>
    </row>
    <row r="213" spans="1:5">
      <c r="A213" s="8" t="str">
        <f t="shared" si="1"/>
        <v>56000 Submerged Arc Welded</v>
      </c>
      <c r="B213" s="8">
        <v>56000</v>
      </c>
      <c r="C213" s="8" t="s">
        <v>361</v>
      </c>
      <c r="D213" s="8">
        <v>12000</v>
      </c>
      <c r="E213" s="8">
        <v>12000</v>
      </c>
    </row>
    <row r="214" spans="1:5">
      <c r="A214" s="8" t="str">
        <f t="shared" si="1"/>
        <v>60000 Submerged Arc Welded</v>
      </c>
      <c r="B214" s="8">
        <v>60000</v>
      </c>
      <c r="C214" s="8" t="s">
        <v>361</v>
      </c>
      <c r="D214" s="8">
        <v>12000</v>
      </c>
      <c r="E214" s="8">
        <v>12000</v>
      </c>
    </row>
    <row r="215" spans="1:5">
      <c r="A215" s="8" t="str">
        <f t="shared" si="1"/>
        <v>65000 Submerged Arc Welded</v>
      </c>
      <c r="B215" s="8">
        <v>65000</v>
      </c>
      <c r="C215" s="8" t="s">
        <v>361</v>
      </c>
      <c r="D215" s="8">
        <v>12000</v>
      </c>
      <c r="E215" s="8">
        <v>12000</v>
      </c>
    </row>
    <row r="216" spans="1:5">
      <c r="A216" s="8" t="str">
        <f t="shared" ref="A216:A247" si="2">_xlfn.CONCAT(B216, " ", C216)</f>
        <v>70000 Submerged Arc Welded</v>
      </c>
      <c r="B216" s="8">
        <v>70000</v>
      </c>
      <c r="C216" s="8" t="s">
        <v>361</v>
      </c>
      <c r="D216" s="8">
        <v>12000</v>
      </c>
      <c r="E216" s="8">
        <v>13000</v>
      </c>
    </row>
    <row r="217" spans="1:5">
      <c r="A217" s="8" t="str">
        <f t="shared" si="2"/>
        <v>80000 Submerged Arc Welded</v>
      </c>
      <c r="B217" s="8">
        <v>80000</v>
      </c>
      <c r="C217" s="8" t="s">
        <v>361</v>
      </c>
      <c r="D217" s="8">
        <v>12000</v>
      </c>
      <c r="E217" s="8">
        <v>14000</v>
      </c>
    </row>
    <row r="218" spans="1:5">
      <c r="A218" s="8" t="str">
        <f t="shared" si="2"/>
        <v>24000 Unknown Pipe Over 4 Inches</v>
      </c>
      <c r="B218" s="8">
        <v>24000</v>
      </c>
      <c r="C218" s="8" t="s">
        <v>398</v>
      </c>
      <c r="D218" s="8">
        <v>12000</v>
      </c>
      <c r="E218" s="8">
        <v>12000</v>
      </c>
    </row>
    <row r="219" spans="1:5">
      <c r="A219" s="8" t="str">
        <f t="shared" si="2"/>
        <v>30000 Unknown Pipe Over 4 Inches</v>
      </c>
      <c r="B219" s="8">
        <v>30000</v>
      </c>
      <c r="C219" s="8" t="s">
        <v>398</v>
      </c>
      <c r="D219" s="8">
        <v>12000</v>
      </c>
      <c r="E219" s="8">
        <v>12000</v>
      </c>
    </row>
    <row r="220" spans="1:5">
      <c r="A220" s="8" t="str">
        <f t="shared" si="2"/>
        <v>35000 Unknown Pipe Over 4 Inches</v>
      </c>
      <c r="B220" s="8">
        <v>35000</v>
      </c>
      <c r="C220" s="8" t="s">
        <v>398</v>
      </c>
      <c r="D220" s="8">
        <v>12000</v>
      </c>
      <c r="E220" s="8">
        <v>12000</v>
      </c>
    </row>
    <row r="221" spans="1:5">
      <c r="A221" s="8" t="str">
        <f t="shared" si="2"/>
        <v>42000 Unknown Pipe Over 4 Inches</v>
      </c>
      <c r="B221" s="8">
        <v>42000</v>
      </c>
      <c r="C221" s="8" t="s">
        <v>398</v>
      </c>
      <c r="D221" s="8">
        <v>12000</v>
      </c>
      <c r="E221" s="8">
        <v>12000</v>
      </c>
    </row>
    <row r="222" spans="1:5">
      <c r="A222" s="8" t="str">
        <f t="shared" si="2"/>
        <v>46000 Unknown Pipe Over 4 Inches</v>
      </c>
      <c r="B222" s="8">
        <v>46000</v>
      </c>
      <c r="C222" s="8" t="s">
        <v>398</v>
      </c>
      <c r="D222" s="8">
        <v>12000</v>
      </c>
      <c r="E222" s="8">
        <v>12000</v>
      </c>
    </row>
    <row r="223" spans="1:5">
      <c r="A223" s="8" t="str">
        <f t="shared" si="2"/>
        <v>52000 Unknown Pipe Over 4 Inches</v>
      </c>
      <c r="B223" s="8">
        <v>52000</v>
      </c>
      <c r="C223" s="8" t="s">
        <v>398</v>
      </c>
      <c r="D223" s="8">
        <v>12000</v>
      </c>
      <c r="E223" s="8">
        <v>12000</v>
      </c>
    </row>
    <row r="224" spans="1:5">
      <c r="A224" s="8" t="str">
        <f t="shared" si="2"/>
        <v>56000 Unknown Pipe Over 4 Inches</v>
      </c>
      <c r="B224" s="8">
        <v>56000</v>
      </c>
      <c r="C224" s="8" t="s">
        <v>398</v>
      </c>
      <c r="D224" s="8">
        <v>12000</v>
      </c>
      <c r="E224" s="8">
        <v>12000</v>
      </c>
    </row>
    <row r="225" spans="1:5">
      <c r="A225" s="8" t="str">
        <f t="shared" si="2"/>
        <v>60000 Unknown Pipe Over 4 Inches</v>
      </c>
      <c r="B225" s="8">
        <v>60000</v>
      </c>
      <c r="C225" s="8" t="s">
        <v>398</v>
      </c>
      <c r="D225" s="8">
        <v>12000</v>
      </c>
      <c r="E225" s="8">
        <v>12000</v>
      </c>
    </row>
    <row r="226" spans="1:5">
      <c r="A226" s="8" t="str">
        <f t="shared" si="2"/>
        <v>65000 Unknown Pipe Over 4 Inches</v>
      </c>
      <c r="B226" s="8">
        <v>65000</v>
      </c>
      <c r="C226" s="8" t="s">
        <v>398</v>
      </c>
      <c r="D226" s="8">
        <v>12000</v>
      </c>
      <c r="E226" s="8">
        <v>12000</v>
      </c>
    </row>
    <row r="227" spans="1:5">
      <c r="A227" s="8" t="str">
        <f t="shared" si="2"/>
        <v>70000 Unknown Pipe Over 4 Inches</v>
      </c>
      <c r="B227" s="8">
        <v>70000</v>
      </c>
      <c r="C227" s="8" t="s">
        <v>398</v>
      </c>
      <c r="D227" s="8">
        <v>12000</v>
      </c>
      <c r="E227" s="8">
        <v>13000</v>
      </c>
    </row>
    <row r="228" spans="1:5">
      <c r="A228" s="8" t="str">
        <f t="shared" si="2"/>
        <v>80000 Unknown Pipe Over 4 Inches</v>
      </c>
      <c r="B228" s="8">
        <v>80000</v>
      </c>
      <c r="C228" s="8" t="s">
        <v>398</v>
      </c>
      <c r="D228" s="8">
        <v>12000</v>
      </c>
      <c r="E228" s="8">
        <v>14000</v>
      </c>
    </row>
    <row r="229" spans="1:5">
      <c r="A229" s="8" t="str">
        <f t="shared" si="2"/>
        <v>24000 Unknown Pipe 4 Inches or Less</v>
      </c>
      <c r="B229" s="8">
        <v>24000</v>
      </c>
      <c r="C229" s="8" t="s">
        <v>399</v>
      </c>
      <c r="D229" s="8">
        <v>12000</v>
      </c>
      <c r="E229" s="8">
        <v>12000</v>
      </c>
    </row>
    <row r="230" spans="1:5">
      <c r="A230" s="8" t="str">
        <f t="shared" si="2"/>
        <v>30000 Unknown Pipe 4 Inches or Less</v>
      </c>
      <c r="B230" s="8">
        <v>30000</v>
      </c>
      <c r="C230" s="8" t="s">
        <v>399</v>
      </c>
      <c r="D230" s="8">
        <v>12000</v>
      </c>
      <c r="E230" s="8">
        <v>12000</v>
      </c>
    </row>
    <row r="231" spans="1:5">
      <c r="A231" s="8" t="str">
        <f t="shared" si="2"/>
        <v>35000 Unknown Pipe 4 Inches or Less</v>
      </c>
      <c r="B231" s="8">
        <v>35000</v>
      </c>
      <c r="C231" s="8" t="s">
        <v>399</v>
      </c>
      <c r="D231" s="8">
        <v>12000</v>
      </c>
      <c r="E231" s="8">
        <v>12000</v>
      </c>
    </row>
    <row r="232" spans="1:5">
      <c r="A232" s="8" t="str">
        <f t="shared" si="2"/>
        <v>42000 Unknown Pipe 4 Inches or Less</v>
      </c>
      <c r="B232" s="8">
        <v>42000</v>
      </c>
      <c r="C232" s="8" t="s">
        <v>399</v>
      </c>
      <c r="D232" s="8">
        <v>12000</v>
      </c>
      <c r="E232" s="8">
        <v>12000</v>
      </c>
    </row>
    <row r="233" spans="1:5">
      <c r="A233" s="8" t="str">
        <f t="shared" si="2"/>
        <v>46000 Unknown Pipe 4 Inches or Less</v>
      </c>
      <c r="B233" s="8">
        <v>46000</v>
      </c>
      <c r="C233" s="8" t="s">
        <v>399</v>
      </c>
      <c r="D233" s="8">
        <v>12000</v>
      </c>
      <c r="E233" s="8">
        <v>12000</v>
      </c>
    </row>
    <row r="234" spans="1:5">
      <c r="A234" s="8" t="str">
        <f t="shared" si="2"/>
        <v>52000 Unknown Pipe 4 Inches or Less</v>
      </c>
      <c r="B234" s="8">
        <v>52000</v>
      </c>
      <c r="C234" s="8" t="s">
        <v>399</v>
      </c>
      <c r="D234" s="8">
        <v>12000</v>
      </c>
      <c r="E234" s="8">
        <v>12000</v>
      </c>
    </row>
    <row r="235" spans="1:5">
      <c r="A235" s="8" t="str">
        <f t="shared" si="2"/>
        <v>56000 Unknown Pipe 4 Inches or Less</v>
      </c>
      <c r="B235" s="8">
        <v>56000</v>
      </c>
      <c r="C235" s="8" t="s">
        <v>399</v>
      </c>
      <c r="D235" s="8">
        <v>12000</v>
      </c>
      <c r="E235" s="8">
        <v>12000</v>
      </c>
    </row>
    <row r="236" spans="1:5">
      <c r="A236" s="8" t="str">
        <f t="shared" si="2"/>
        <v>60000 Unknown Pipe 4 Inches or Less</v>
      </c>
      <c r="B236" s="8">
        <v>60000</v>
      </c>
      <c r="C236" s="8" t="s">
        <v>399</v>
      </c>
      <c r="D236" s="8">
        <v>12000</v>
      </c>
      <c r="E236" s="8">
        <v>12000</v>
      </c>
    </row>
    <row r="237" spans="1:5">
      <c r="A237" s="8" t="str">
        <f t="shared" si="2"/>
        <v>65000 Unknown Pipe 4 Inches or Less</v>
      </c>
      <c r="B237" s="8">
        <v>65000</v>
      </c>
      <c r="C237" s="8" t="s">
        <v>399</v>
      </c>
      <c r="D237" s="8">
        <v>12000</v>
      </c>
      <c r="E237" s="8">
        <v>12000</v>
      </c>
    </row>
    <row r="238" spans="1:5">
      <c r="A238" s="8" t="str">
        <f t="shared" si="2"/>
        <v>70000 Unknown Pipe 4 Inches or Less</v>
      </c>
      <c r="B238" s="8">
        <v>70000</v>
      </c>
      <c r="C238" s="8" t="s">
        <v>399</v>
      </c>
      <c r="D238" s="8">
        <v>12000</v>
      </c>
      <c r="E238" s="8">
        <v>13000</v>
      </c>
    </row>
    <row r="239" spans="1:5">
      <c r="A239" s="8" t="str">
        <f t="shared" si="2"/>
        <v>80000 Unknown Pipe 4 Inches or Less</v>
      </c>
      <c r="B239" s="8">
        <v>80000</v>
      </c>
      <c r="C239" s="8" t="s">
        <v>399</v>
      </c>
      <c r="D239" s="8">
        <v>12000</v>
      </c>
      <c r="E239" s="8">
        <v>14000</v>
      </c>
    </row>
    <row r="240" spans="1:5" ht="15" customHeight="1"/>
    <row r="241" spans="1:6" ht="15" customHeight="1">
      <c r="A241" s="219" t="s">
        <v>511</v>
      </c>
      <c r="B241" s="207"/>
      <c r="C241" s="207"/>
      <c r="D241" s="207"/>
      <c r="E241" s="207"/>
      <c r="F241" s="208"/>
    </row>
    <row r="242" spans="1:6" ht="15" customHeight="1">
      <c r="A242" s="219" t="s">
        <v>484</v>
      </c>
      <c r="B242" s="208"/>
      <c r="C242" s="219" t="s">
        <v>485</v>
      </c>
      <c r="D242" s="208"/>
      <c r="E242" s="219" t="s">
        <v>486</v>
      </c>
      <c r="F242" s="208"/>
    </row>
    <row r="243" spans="1:6" ht="15" customHeight="1">
      <c r="A243" s="86" t="s">
        <v>472</v>
      </c>
      <c r="B243" s="88" t="s">
        <v>512</v>
      </c>
      <c r="C243" s="86" t="s">
        <v>472</v>
      </c>
      <c r="D243" s="88" t="s">
        <v>512</v>
      </c>
      <c r="E243" s="86" t="s">
        <v>472</v>
      </c>
      <c r="F243" s="88" t="s">
        <v>512</v>
      </c>
    </row>
    <row r="244" spans="1:6">
      <c r="A244" s="9">
        <v>0</v>
      </c>
      <c r="B244" s="9">
        <v>14.659000000000001</v>
      </c>
      <c r="C244" s="9">
        <v>0</v>
      </c>
      <c r="D244" s="9">
        <v>9.7669999999999995</v>
      </c>
      <c r="E244" s="9">
        <v>0</v>
      </c>
      <c r="F244" s="9">
        <v>6.0990000000000002</v>
      </c>
    </row>
    <row r="245" spans="1:6">
      <c r="A245" s="9">
        <v>1.0500000000000001E-2</v>
      </c>
      <c r="B245" s="9">
        <v>14.659000000000001</v>
      </c>
      <c r="C245" s="9">
        <v>1.0500000000000001E-2</v>
      </c>
      <c r="D245" s="8">
        <v>9.7669999999999995</v>
      </c>
      <c r="E245" s="9">
        <v>1.0500000000000001E-2</v>
      </c>
      <c r="F245" s="9">
        <v>6.0990000000000002</v>
      </c>
    </row>
    <row r="246" spans="1:6">
      <c r="A246" s="8">
        <v>1.4999999999999999E-2</v>
      </c>
      <c r="B246" s="8">
        <v>15</v>
      </c>
      <c r="C246" s="8">
        <v>1.4999999999999999E-2</v>
      </c>
      <c r="D246" s="8">
        <v>10</v>
      </c>
      <c r="E246" s="8">
        <v>1.4999999999999999E-2</v>
      </c>
      <c r="F246" s="8">
        <v>6.5839999999999996</v>
      </c>
    </row>
    <row r="247" spans="1:6">
      <c r="A247" s="8">
        <v>0.02</v>
      </c>
      <c r="B247" s="8">
        <v>14.385</v>
      </c>
      <c r="C247" s="8">
        <v>0.02</v>
      </c>
      <c r="D247" s="9">
        <v>9.7669999999999995</v>
      </c>
      <c r="E247" s="8">
        <v>0.02</v>
      </c>
      <c r="F247" s="8">
        <v>6.5839999999999996</v>
      </c>
    </row>
    <row r="248" spans="1:6">
      <c r="A248" s="8">
        <v>2.5000000000000001E-2</v>
      </c>
      <c r="B248" s="8">
        <v>13.278</v>
      </c>
      <c r="C248" s="8">
        <v>2.5000000000000001E-2</v>
      </c>
      <c r="D248" s="8">
        <v>9.1579999999999995</v>
      </c>
      <c r="E248" s="8">
        <v>2.5000000000000001E-2</v>
      </c>
      <c r="F248" s="8">
        <v>6.32</v>
      </c>
    </row>
    <row r="249" spans="1:6">
      <c r="A249" s="8">
        <v>0.03</v>
      </c>
      <c r="B249" s="8">
        <v>11.77</v>
      </c>
      <c r="C249" s="8">
        <v>0.03</v>
      </c>
      <c r="D249" s="8">
        <v>8.4130000000000003</v>
      </c>
      <c r="E249" s="8">
        <v>0.03</v>
      </c>
      <c r="F249" s="8">
        <v>5.7640000000000002</v>
      </c>
    </row>
    <row r="250" spans="1:6">
      <c r="A250" s="8">
        <v>0.04</v>
      </c>
      <c r="B250" s="8">
        <v>9.6579999999999995</v>
      </c>
      <c r="C250" s="8">
        <v>0.04</v>
      </c>
      <c r="D250" s="8">
        <v>6.8170000000000002</v>
      </c>
      <c r="E250" s="8">
        <v>0.04</v>
      </c>
      <c r="F250" s="8">
        <v>4.7690000000000001</v>
      </c>
    </row>
    <row r="251" spans="1:6">
      <c r="A251" s="8">
        <v>0.05</v>
      </c>
      <c r="B251" s="8">
        <v>8.3629999999999995</v>
      </c>
      <c r="C251" s="8">
        <v>0.05</v>
      </c>
      <c r="D251" s="8">
        <v>5.8330000000000002</v>
      </c>
      <c r="E251" s="8">
        <v>0.05</v>
      </c>
      <c r="F251" s="8">
        <v>3.96</v>
      </c>
    </row>
    <row r="252" spans="1:6">
      <c r="A252" s="8">
        <v>0.06</v>
      </c>
      <c r="B252" s="8">
        <v>7.5739999999999998</v>
      </c>
      <c r="C252" s="8">
        <v>0.06</v>
      </c>
      <c r="D252" s="8">
        <v>5.1989999999999998</v>
      </c>
      <c r="E252" s="8">
        <v>0.06</v>
      </c>
      <c r="F252" s="8">
        <v>3.3929999999999998</v>
      </c>
    </row>
    <row r="253" spans="1:6">
      <c r="A253" s="8">
        <v>7.0000000000000007E-2</v>
      </c>
      <c r="B253" s="8">
        <v>7.1029999999999998</v>
      </c>
      <c r="C253" s="8">
        <v>7.0000000000000007E-2</v>
      </c>
      <c r="D253" s="8">
        <v>4.8239999999999998</v>
      </c>
      <c r="E253" s="8">
        <v>7.0000000000000007E-2</v>
      </c>
      <c r="F253" s="8">
        <v>3.0369999999999999</v>
      </c>
    </row>
    <row r="254" spans="1:6">
      <c r="A254" s="8">
        <v>0.08</v>
      </c>
      <c r="B254" s="8">
        <v>6.9409999999999998</v>
      </c>
      <c r="C254" s="8">
        <v>0.08</v>
      </c>
      <c r="D254" s="8">
        <v>4.6459999999999999</v>
      </c>
      <c r="E254" s="8">
        <v>0.08</v>
      </c>
      <c r="F254" s="8">
        <v>2.9929999999999999</v>
      </c>
    </row>
    <row r="255" spans="1:6">
      <c r="A255" s="8">
        <v>5</v>
      </c>
      <c r="B255" s="8">
        <v>6.9409999999999998</v>
      </c>
      <c r="C255" s="8">
        <v>5</v>
      </c>
      <c r="D255" s="8">
        <v>4.6459999999999999</v>
      </c>
      <c r="E255" s="8">
        <v>5</v>
      </c>
      <c r="F255" s="8">
        <v>2.9929999999999999</v>
      </c>
    </row>
    <row r="256" spans="1:6" ht="15" customHeight="1"/>
    <row r="257" spans="1:8" ht="15" customHeight="1">
      <c r="A257" s="219" t="s">
        <v>513</v>
      </c>
      <c r="B257" s="207"/>
      <c r="C257" s="207"/>
      <c r="D257" s="207"/>
      <c r="E257" s="207"/>
      <c r="F257" s="207"/>
      <c r="G257" s="207"/>
      <c r="H257" s="208"/>
    </row>
    <row r="258" spans="1:8" ht="15" customHeight="1">
      <c r="A258" s="219" t="s">
        <v>489</v>
      </c>
      <c r="B258" s="208"/>
      <c r="C258" s="219" t="s">
        <v>490</v>
      </c>
      <c r="D258" s="208"/>
      <c r="E258" s="219" t="s">
        <v>491</v>
      </c>
      <c r="F258" s="208"/>
      <c r="G258" s="219" t="s">
        <v>492</v>
      </c>
      <c r="H258" s="208"/>
    </row>
    <row r="259" spans="1:8" ht="15" customHeight="1">
      <c r="A259" s="86" t="s">
        <v>493</v>
      </c>
      <c r="B259" s="88" t="s">
        <v>514</v>
      </c>
      <c r="C259" s="86" t="s">
        <v>493</v>
      </c>
      <c r="D259" s="88" t="s">
        <v>514</v>
      </c>
      <c r="E259" s="86" t="s">
        <v>493</v>
      </c>
      <c r="F259" s="88" t="s">
        <v>514</v>
      </c>
      <c r="G259" s="86" t="s">
        <v>493</v>
      </c>
      <c r="H259" s="88" t="s">
        <v>514</v>
      </c>
    </row>
    <row r="260" spans="1:8">
      <c r="A260" s="9">
        <v>0</v>
      </c>
      <c r="B260" s="9">
        <v>2.5920000000000001</v>
      </c>
      <c r="C260" s="9">
        <v>0</v>
      </c>
      <c r="D260" s="9">
        <v>2.5920000000000001</v>
      </c>
      <c r="E260" s="9">
        <v>0</v>
      </c>
      <c r="F260" s="9">
        <v>2.5920000000000001</v>
      </c>
      <c r="G260" s="9">
        <v>0</v>
      </c>
      <c r="H260" s="9">
        <v>2.5920000000000001</v>
      </c>
    </row>
    <row r="261" spans="1:8">
      <c r="A261" s="8">
        <v>2.2970000000000002</v>
      </c>
      <c r="B261" s="9">
        <v>2.5920000000000001</v>
      </c>
      <c r="C261" s="8">
        <v>2.2970000000000002</v>
      </c>
      <c r="D261" s="9">
        <v>2.5920000000000001</v>
      </c>
      <c r="E261" s="8">
        <v>2.2970000000000002</v>
      </c>
      <c r="F261" s="9">
        <v>2.5920000000000001</v>
      </c>
      <c r="G261" s="8">
        <v>2.2970000000000002</v>
      </c>
      <c r="H261" s="9">
        <v>2.5920000000000001</v>
      </c>
    </row>
    <row r="262" spans="1:8">
      <c r="A262" s="8">
        <v>2.7530000000000001</v>
      </c>
      <c r="B262" s="8">
        <v>2.25</v>
      </c>
      <c r="C262" s="8">
        <v>2.7530000000000001</v>
      </c>
      <c r="D262" s="8">
        <v>2.1749999999999998</v>
      </c>
      <c r="E262" s="8">
        <v>2.7530000000000001</v>
      </c>
      <c r="F262" s="8">
        <v>2.1749999999999998</v>
      </c>
      <c r="G262" s="8">
        <v>2.7530000000000001</v>
      </c>
      <c r="H262" s="8">
        <v>2.0739999999999998</v>
      </c>
    </row>
    <row r="263" spans="1:8">
      <c r="A263" s="8">
        <v>3.4079999999999999</v>
      </c>
      <c r="B263" s="8">
        <v>2.032</v>
      </c>
      <c r="C263" s="8">
        <v>3.4079999999999999</v>
      </c>
      <c r="D263" s="8">
        <v>1.9339999999999999</v>
      </c>
      <c r="E263" s="8">
        <v>3.4079999999999999</v>
      </c>
      <c r="F263" s="8">
        <v>1.907</v>
      </c>
      <c r="G263" s="8">
        <v>3.4079999999999999</v>
      </c>
      <c r="H263" s="8">
        <v>1.7849999999999999</v>
      </c>
    </row>
    <row r="264" spans="1:8">
      <c r="A264" s="8">
        <v>4</v>
      </c>
      <c r="B264" s="8">
        <v>1.901</v>
      </c>
      <c r="C264" s="8">
        <v>4</v>
      </c>
      <c r="D264" s="8">
        <v>1.796</v>
      </c>
      <c r="E264" s="8">
        <v>4</v>
      </c>
      <c r="F264" s="8">
        <v>1.7450000000000001</v>
      </c>
      <c r="G264" s="8">
        <v>4</v>
      </c>
      <c r="H264" s="8">
        <v>1.623</v>
      </c>
    </row>
    <row r="265" spans="1:8">
      <c r="A265" s="8">
        <v>4.9320000000000004</v>
      </c>
      <c r="B265" s="8">
        <v>1.724</v>
      </c>
      <c r="C265" s="8">
        <v>4.9320000000000004</v>
      </c>
      <c r="D265" s="8">
        <v>1.613</v>
      </c>
      <c r="E265" s="8">
        <v>4.9320000000000004</v>
      </c>
      <c r="F265" s="8">
        <v>1.542</v>
      </c>
      <c r="G265" s="8">
        <v>4.9320000000000004</v>
      </c>
      <c r="H265" s="8">
        <v>1.4370000000000001</v>
      </c>
    </row>
    <row r="266" spans="1:8">
      <c r="A266" s="8">
        <v>6</v>
      </c>
      <c r="B266" s="8">
        <v>1.5640000000000001</v>
      </c>
      <c r="C266" s="8">
        <v>6</v>
      </c>
      <c r="D266" s="8">
        <v>1.448</v>
      </c>
      <c r="E266" s="8">
        <v>6</v>
      </c>
      <c r="F266" s="8">
        <v>1.373</v>
      </c>
      <c r="G266" s="8">
        <v>6</v>
      </c>
      <c r="H266" s="8">
        <v>1.2749999999999999</v>
      </c>
    </row>
    <row r="267" spans="1:8">
      <c r="A267" s="8">
        <v>8</v>
      </c>
      <c r="B267" s="8">
        <v>1.3480000000000001</v>
      </c>
      <c r="C267" s="8">
        <v>8</v>
      </c>
      <c r="D267" s="8">
        <v>1.244</v>
      </c>
      <c r="E267" s="8">
        <v>8</v>
      </c>
      <c r="F267" s="8">
        <v>1.157</v>
      </c>
      <c r="G267" s="8">
        <v>8</v>
      </c>
      <c r="H267" s="8">
        <v>1.0640000000000001</v>
      </c>
    </row>
    <row r="268" spans="1:8">
      <c r="A268" s="8">
        <v>10</v>
      </c>
      <c r="B268" s="8">
        <v>1.234</v>
      </c>
      <c r="C268" s="8">
        <v>10</v>
      </c>
      <c r="D268" s="8">
        <v>1.115</v>
      </c>
      <c r="E268" s="8">
        <v>10</v>
      </c>
      <c r="F268" s="8">
        <v>1.016</v>
      </c>
      <c r="G268" s="8">
        <v>10</v>
      </c>
      <c r="H268" s="8">
        <v>0.91900000000000004</v>
      </c>
    </row>
    <row r="269" spans="1:8">
      <c r="A269" s="8">
        <v>12</v>
      </c>
      <c r="B269" s="8">
        <v>1.169</v>
      </c>
      <c r="C269" s="8">
        <v>12</v>
      </c>
      <c r="D269" s="8">
        <v>1.022</v>
      </c>
      <c r="E269" s="8">
        <v>12</v>
      </c>
      <c r="F269" s="8">
        <v>0.91800000000000004</v>
      </c>
      <c r="G269" s="8">
        <v>12</v>
      </c>
      <c r="H269" s="8">
        <v>0.82</v>
      </c>
    </row>
    <row r="270" spans="1:8">
      <c r="A270" s="8">
        <v>14</v>
      </c>
      <c r="B270" s="8">
        <v>1.1299999999999999</v>
      </c>
      <c r="C270" s="8">
        <v>14</v>
      </c>
      <c r="D270" s="8">
        <v>0.97</v>
      </c>
      <c r="E270" s="8">
        <v>14</v>
      </c>
      <c r="F270" s="8">
        <v>0.86</v>
      </c>
      <c r="G270" s="8">
        <v>14</v>
      </c>
      <c r="H270" s="8">
        <v>0.76300000000000001</v>
      </c>
    </row>
    <row r="271" spans="1:8">
      <c r="A271" s="8">
        <v>16</v>
      </c>
      <c r="B271" s="8">
        <v>1.1000000000000001</v>
      </c>
      <c r="C271" s="8">
        <v>16</v>
      </c>
      <c r="D271" s="8">
        <v>0.95199999999999996</v>
      </c>
      <c r="E271" s="8">
        <v>16</v>
      </c>
      <c r="F271" s="8">
        <v>0.84099999999999997</v>
      </c>
      <c r="G271" s="8">
        <v>16</v>
      </c>
      <c r="H271" s="8">
        <v>0.73599999999999999</v>
      </c>
    </row>
    <row r="272" spans="1:8">
      <c r="A272" s="8">
        <v>28</v>
      </c>
      <c r="B272" s="8">
        <v>0.97099999999999997</v>
      </c>
      <c r="C272" s="8">
        <v>28</v>
      </c>
      <c r="D272" s="8">
        <v>0.83099999999999996</v>
      </c>
      <c r="E272" s="8">
        <v>28</v>
      </c>
      <c r="F272" s="8">
        <v>0.71299999999999997</v>
      </c>
      <c r="G272" s="8">
        <v>28</v>
      </c>
      <c r="H272" s="8">
        <v>0.6</v>
      </c>
    </row>
    <row r="273" spans="1:8">
      <c r="A273" s="8">
        <v>42</v>
      </c>
      <c r="B273" s="8">
        <v>0.77500000000000002</v>
      </c>
      <c r="C273" s="8">
        <v>42</v>
      </c>
      <c r="D273" s="8">
        <v>0.63200000000000001</v>
      </c>
      <c r="E273" s="8">
        <v>42</v>
      </c>
      <c r="F273" s="8">
        <v>0.54500000000000004</v>
      </c>
      <c r="G273" s="8">
        <v>42</v>
      </c>
      <c r="H273" s="8">
        <v>0.45700000000000002</v>
      </c>
    </row>
    <row r="274" spans="1:8">
      <c r="A274" s="8">
        <v>60</v>
      </c>
      <c r="B274" s="8">
        <v>0.77500000000000002</v>
      </c>
      <c r="C274" s="8">
        <v>60</v>
      </c>
      <c r="D274" s="8">
        <v>0.63200000000000001</v>
      </c>
      <c r="E274" s="8">
        <v>60</v>
      </c>
      <c r="F274" s="8">
        <v>0.54500000000000004</v>
      </c>
      <c r="G274" s="8">
        <v>60</v>
      </c>
      <c r="H274" s="8">
        <v>0.45700000000000002</v>
      </c>
    </row>
    <row r="275" spans="1:8">
      <c r="A275" s="8"/>
      <c r="B275" s="8"/>
      <c r="C275" s="8"/>
      <c r="D275" s="8"/>
      <c r="E275" s="8"/>
      <c r="F275" s="8"/>
      <c r="G275" s="8"/>
      <c r="H275" s="8"/>
    </row>
  </sheetData>
  <mergeCells count="31">
    <mergeCell ref="A14:H14"/>
    <mergeCell ref="A97:B97"/>
    <mergeCell ref="A121:B121"/>
    <mergeCell ref="A241:F241"/>
    <mergeCell ref="A258:B258"/>
    <mergeCell ref="E242:F242"/>
    <mergeCell ref="E97:F97"/>
    <mergeCell ref="C258:D258"/>
    <mergeCell ref="E258:F258"/>
    <mergeCell ref="G258:H258"/>
    <mergeCell ref="A96:F96"/>
    <mergeCell ref="A140:F140"/>
    <mergeCell ref="A120:H120"/>
    <mergeCell ref="G121:H121"/>
    <mergeCell ref="A242:B242"/>
    <mergeCell ref="E121:F121"/>
    <mergeCell ref="A15:B15"/>
    <mergeCell ref="A257:H257"/>
    <mergeCell ref="C15:D15"/>
    <mergeCell ref="D141:F141"/>
    <mergeCell ref="C97:D97"/>
    <mergeCell ref="A78:B78"/>
    <mergeCell ref="A40:D40"/>
    <mergeCell ref="A41:B41"/>
    <mergeCell ref="C121:D121"/>
    <mergeCell ref="A141:C141"/>
    <mergeCell ref="C41:D41"/>
    <mergeCell ref="A89:B89"/>
    <mergeCell ref="C242:D242"/>
    <mergeCell ref="E15:F15"/>
    <mergeCell ref="G15:H15"/>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93"/>
  <sheetViews>
    <sheetView workbookViewId="0"/>
  </sheetViews>
  <sheetFormatPr defaultRowHeight="14.4"/>
  <sheetData>
    <row r="1" spans="1:2">
      <c r="A1" t="s">
        <v>515</v>
      </c>
    </row>
    <row r="3" spans="1:2">
      <c r="A3" t="s">
        <v>516</v>
      </c>
      <c r="B3" t="s">
        <v>97</v>
      </c>
    </row>
    <row r="4" spans="1:2">
      <c r="A4" s="6" t="s">
        <v>517</v>
      </c>
      <c r="B4" t="s">
        <v>518</v>
      </c>
    </row>
    <row r="57" spans="1:2">
      <c r="A57" t="s">
        <v>519</v>
      </c>
      <c r="B57" t="s">
        <v>520</v>
      </c>
    </row>
    <row r="93" spans="1:1">
      <c r="A93" t="s">
        <v>521</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U169"/>
  <sheetViews>
    <sheetView tabSelected="1" workbookViewId="0">
      <selection activeCell="G5" sqref="G5"/>
    </sheetView>
  </sheetViews>
  <sheetFormatPr defaultRowHeight="14.4"/>
  <cols>
    <col min="1" max="1" width="14" customWidth="1"/>
    <col min="2" max="2" width="15" customWidth="1"/>
    <col min="3" max="3" width="14" customWidth="1"/>
    <col min="4" max="5" width="15" customWidth="1"/>
    <col min="6" max="7" width="14" customWidth="1"/>
    <col min="8" max="8" width="34" customWidth="1"/>
    <col min="9" max="9" width="14" customWidth="1"/>
    <col min="10" max="10" width="34" customWidth="1"/>
    <col min="11" max="13" width="15" customWidth="1"/>
    <col min="14" max="14" width="34" customWidth="1"/>
    <col min="15" max="67" width="15" customWidth="1"/>
    <col min="68" max="73" width="22" customWidth="1"/>
  </cols>
  <sheetData>
    <row r="1" spans="1:73" ht="36" customHeight="1">
      <c r="A1" s="180" t="s">
        <v>522</v>
      </c>
      <c r="B1" s="180" t="s">
        <v>523</v>
      </c>
      <c r="C1" s="180" t="s">
        <v>524</v>
      </c>
      <c r="D1" s="180" t="s">
        <v>525</v>
      </c>
      <c r="E1" s="180" t="s">
        <v>526</v>
      </c>
      <c r="F1" s="180" t="s">
        <v>527</v>
      </c>
      <c r="G1" s="180" t="s">
        <v>528</v>
      </c>
      <c r="H1" s="180" t="s">
        <v>529</v>
      </c>
      <c r="I1" s="180" t="s">
        <v>530</v>
      </c>
      <c r="J1" s="180" t="s">
        <v>531</v>
      </c>
      <c r="K1" s="180" t="s">
        <v>532</v>
      </c>
      <c r="L1" s="180" t="s">
        <v>533</v>
      </c>
      <c r="M1" s="180" t="s">
        <v>534</v>
      </c>
      <c r="N1" s="180" t="s">
        <v>535</v>
      </c>
      <c r="O1" s="180" t="s">
        <v>536</v>
      </c>
      <c r="P1" s="180" t="s">
        <v>537</v>
      </c>
      <c r="Q1" s="180" t="s">
        <v>538</v>
      </c>
      <c r="R1" s="180" t="s">
        <v>539</v>
      </c>
      <c r="S1" s="180" t="s">
        <v>540</v>
      </c>
      <c r="T1" s="180" t="s">
        <v>541</v>
      </c>
      <c r="U1" s="179" t="s">
        <v>542</v>
      </c>
      <c r="V1" s="179" t="s">
        <v>543</v>
      </c>
      <c r="W1" s="179" t="s">
        <v>544</v>
      </c>
      <c r="X1" s="179" t="s">
        <v>545</v>
      </c>
      <c r="Y1" s="179" t="s">
        <v>546</v>
      </c>
      <c r="Z1" s="179" t="s">
        <v>547</v>
      </c>
      <c r="AA1" s="179" t="s">
        <v>548</v>
      </c>
      <c r="AB1" s="179" t="s">
        <v>549</v>
      </c>
      <c r="AC1" s="179" t="s">
        <v>550</v>
      </c>
      <c r="AD1" s="179" t="s">
        <v>551</v>
      </c>
      <c r="AE1" s="179" t="s">
        <v>552</v>
      </c>
      <c r="AF1" s="179" t="s">
        <v>553</v>
      </c>
      <c r="AG1" s="179" t="s">
        <v>554</v>
      </c>
      <c r="AH1" s="179" t="s">
        <v>555</v>
      </c>
      <c r="AI1" s="179" t="s">
        <v>556</v>
      </c>
      <c r="AJ1" s="179" t="s">
        <v>557</v>
      </c>
      <c r="AK1" s="179" t="s">
        <v>558</v>
      </c>
      <c r="AL1" s="179" t="s">
        <v>559</v>
      </c>
      <c r="AM1" s="179" t="s">
        <v>560</v>
      </c>
      <c r="AN1" s="179" t="s">
        <v>561</v>
      </c>
      <c r="AO1" s="179" t="s">
        <v>562</v>
      </c>
      <c r="AP1" s="179" t="s">
        <v>563</v>
      </c>
      <c r="AQ1" s="179" t="s">
        <v>564</v>
      </c>
      <c r="AR1" s="179" t="s">
        <v>498</v>
      </c>
      <c r="AS1" s="179" t="s">
        <v>499</v>
      </c>
      <c r="AT1" s="179" t="s">
        <v>565</v>
      </c>
      <c r="AU1" s="179" t="s">
        <v>566</v>
      </c>
      <c r="AV1" s="179" t="s">
        <v>567</v>
      </c>
      <c r="AW1" s="179" t="s">
        <v>568</v>
      </c>
      <c r="AX1" s="179" t="s">
        <v>569</v>
      </c>
      <c r="AY1" s="179" t="s">
        <v>570</v>
      </c>
      <c r="AZ1" s="179" t="s">
        <v>571</v>
      </c>
      <c r="BA1" s="179" t="s">
        <v>572</v>
      </c>
      <c r="BB1" s="179" t="s">
        <v>573</v>
      </c>
      <c r="BC1" s="179" t="s">
        <v>574</v>
      </c>
      <c r="BD1" s="179" t="s">
        <v>575</v>
      </c>
      <c r="BE1" s="179" t="s">
        <v>576</v>
      </c>
      <c r="BF1" s="179" t="s">
        <v>577</v>
      </c>
      <c r="BG1" s="179" t="s">
        <v>578</v>
      </c>
      <c r="BH1" s="179" t="s">
        <v>579</v>
      </c>
      <c r="BI1" s="179" t="s">
        <v>580</v>
      </c>
      <c r="BJ1" s="179" t="s">
        <v>581</v>
      </c>
      <c r="BK1" s="179" t="s">
        <v>582</v>
      </c>
      <c r="BL1" s="179" t="s">
        <v>583</v>
      </c>
      <c r="BM1" s="179" t="s">
        <v>584</v>
      </c>
      <c r="BN1" s="179" t="s">
        <v>585</v>
      </c>
      <c r="BO1" s="179" t="s">
        <v>586</v>
      </c>
      <c r="BP1" s="179" t="s">
        <v>587</v>
      </c>
      <c r="BQ1" s="179" t="s">
        <v>588</v>
      </c>
      <c r="BR1" s="179" t="s">
        <v>589</v>
      </c>
      <c r="BS1" s="179" t="s">
        <v>590</v>
      </c>
      <c r="BT1" s="179" t="s">
        <v>591</v>
      </c>
      <c r="BU1" s="179" t="s">
        <v>592</v>
      </c>
    </row>
    <row r="2" spans="1:73">
      <c r="A2" t="s">
        <v>593</v>
      </c>
      <c r="B2" s="181">
        <v>0</v>
      </c>
      <c r="C2" t="s">
        <v>594</v>
      </c>
      <c r="D2" s="181">
        <v>6</v>
      </c>
      <c r="E2" s="181">
        <v>0.13400000000000001</v>
      </c>
      <c r="F2" t="s">
        <v>117</v>
      </c>
      <c r="G2" t="s">
        <v>119</v>
      </c>
      <c r="H2" t="s">
        <v>122</v>
      </c>
      <c r="I2" s="181">
        <v>1</v>
      </c>
      <c r="J2" t="s">
        <v>126</v>
      </c>
      <c r="K2" t="s">
        <v>129</v>
      </c>
      <c r="L2" s="181">
        <v>70</v>
      </c>
      <c r="M2" s="181">
        <v>-14.73</v>
      </c>
      <c r="N2" t="s">
        <v>388</v>
      </c>
      <c r="O2" s="181">
        <v>120</v>
      </c>
      <c r="P2" s="181">
        <v>1</v>
      </c>
      <c r="Q2" s="181">
        <v>8.625</v>
      </c>
      <c r="R2" t="s">
        <v>154</v>
      </c>
      <c r="S2" t="s">
        <v>420</v>
      </c>
      <c r="T2" s="181">
        <v>70</v>
      </c>
      <c r="U2" s="181">
        <f>HLOOKUP(D2,'Highway Loading'!$C$155:$AD$156,2,FALSE)</f>
        <v>6.625</v>
      </c>
      <c r="V2" s="181">
        <f>IF(ISBLANK(G2),"",INDEX('Highway Loading'!$C$216:$AG$216,1,MATCH(G2,'Highway Loading'!$C$215:$AG$215,0)))</f>
        <v>65000</v>
      </c>
      <c r="W2" s="181">
        <f>INDEX('Highway Loading'!$I$245:$L$253,MATCH(H2,'Highway Loading'!$H$245:$H$253,0),MATCH(I2,'Highway Loading'!$I$244:$L$244,0))</f>
        <v>0.72</v>
      </c>
      <c r="X2" s="181">
        <f t="shared" ref="X2:X33" si="0">IF(ISBLANK(J2),"",IF(OR(J2="SEAMLESS",J2="ELECTRIC RESISTANCE WELDED",J2="SUBMERGED ARC WELDED",J2="COMBINATION WELDED"),1,IF(J2="FURNACE BUTT WELDED",0.6,IF(J2="ELECTRIC FUSION WELDED, EVEN CLASS",1,IF(J2="ELECTRIC FUSION WELDED, ODD CLASS",0.8,IF(U2&gt;4.5,0.8,0.6))))))</f>
        <v>1</v>
      </c>
      <c r="Y2" s="181">
        <f>VLOOKUP(K2,'Highway Loading'!$B$283:$E$292,2,FALSE)</f>
        <v>29000000</v>
      </c>
      <c r="Z2" s="181">
        <f>VLOOKUP(K2,'Highway Loading'!$B$283:$E$292,3,FALSE)</f>
        <v>0.3</v>
      </c>
      <c r="AA2" s="181">
        <f>VLOOKUP(K2,'Highway Loading'!$B$283:$E$292,4,FALSE)</f>
        <v>6.4999999999999996E-6</v>
      </c>
      <c r="AB2" s="181">
        <f t="shared" ref="AB2:AB33" si="1">IF(L2&gt;250,1-(1/30/50*(L2-250)),1)</f>
        <v>1</v>
      </c>
      <c r="AC2" s="181">
        <f>VLOOKUP(N2,'Highway Loading'!$B$256:$D$261,2,FALSE)</f>
        <v>200</v>
      </c>
      <c r="AD2" s="181">
        <f>VLOOKUP(N2,'Highway Loading'!$B$256:$D$261,3,FALSE)</f>
        <v>5000</v>
      </c>
      <c r="AE2" s="181">
        <f>VLOOKUP(S2,'Highway Loading'!$B$340:$C$341,2,FALSE)</f>
        <v>12000</v>
      </c>
      <c r="AF2" s="181">
        <f t="shared" ref="AF2:AF33" si="2">E2/U2</f>
        <v>2.0226415094339624E-2</v>
      </c>
      <c r="AG2" s="181">
        <f t="shared" ref="AG2:AG33" si="3">P2*12/Q2</f>
        <v>1.3913043478260869</v>
      </c>
      <c r="AH2" s="181">
        <f t="shared" ref="AH2:AH33" si="4">Q2/U2</f>
        <v>1.3018867924528301</v>
      </c>
      <c r="AI2" s="181">
        <f t="shared" ref="AI2:AI33" si="5">M2*U2/(2*E2)</f>
        <v>-364.12779850746267</v>
      </c>
      <c r="AJ2" s="181">
        <f t="shared" ref="AJ2:AJ33" si="6">W2*X2*AB2*V2</f>
        <v>46800</v>
      </c>
      <c r="AK2" s="181">
        <f>IF(AC2=200,(INDEX(Tables!$B$17:$B$38,MAX(1,MIN(IFERROR(MATCH(AF2,Tables!$A$17:$A$38,1),1),ROWS(Tables!$A$17:$A$38)-1)))+(AF2-INDEX(Tables!$A$17:$A$38,MAX(1,MIN(IFERROR(MATCH(AF2,Tables!$A$17:$A$38,1),1),ROWS(Tables!$A$17:$A$38)-1))))*(INDEX(Tables!$B$17:$B$38,MAX(1,MIN(IFERROR(MATCH(AF2,Tables!$A$17:$A$38,1),1),ROWS(Tables!$A$17:$A$38)-1))+1)-INDEX(Tables!$B$17:$B$38,MAX(1,MIN(IFERROR(MATCH(AF2,Tables!$A$17:$A$38,1),1),ROWS(Tables!$A$17:$A$38)-1))))/(INDEX(Tables!$A$17:$A$38,MAX(1,MIN(IFERROR(MATCH(AF2,Tables!$A$17:$A$38,1),1),ROWS(Tables!$A$17:$A$38)-1))+1)-INDEX(Tables!$A$17:$A$38,MAX(1,MIN(IFERROR(MATCH(AF2,Tables!$A$17:$A$38,1),1),ROWS(Tables!$A$17:$A$38)-1))))),IF(AC2=500,(INDEX(Tables!$D$17:$D$38,MAX(1,MIN(IFERROR(MATCH(AF2,Tables!$C$17:$C$38,1),1),ROWS(Tables!$C$17:$C$38)-1)))+(AF2-INDEX(Tables!$C$17:$C$38,MAX(1,MIN(IFERROR(MATCH(AF2,Tables!$C$17:$C$38,1),1),ROWS(Tables!$C$17:$C$38)-1))))*(INDEX(Tables!$D$17:$D$38,MAX(1,MIN(IFERROR(MATCH(AF2,Tables!$C$17:$C$38,1),1),ROWS(Tables!$C$17:$C$38)-1))+1)-INDEX(Tables!$D$17:$D$38,MAX(1,MIN(IFERROR(MATCH(AF2,Tables!$C$17:$C$38,1),1),ROWS(Tables!$C$17:$C$38)-1))))/(INDEX(Tables!$C$17:$C$38,MAX(1,MIN(IFERROR(MATCH(AF2,Tables!$C$17:$C$38,1),1),ROWS(Tables!$C$17:$C$38)-1))+1)-INDEX(Tables!$C$17:$C$38,MAX(1,MIN(IFERROR(MATCH(AF2,Tables!$C$17:$C$38,1),1),ROWS(Tables!$C$17:$C$38)-1))))),IF(AC2=1000,(INDEX(Tables!$F$17:$F$38,MAX(1,MIN(IFERROR(MATCH(AF2,Tables!$E$17:$E$38,1),1),ROWS(Tables!$E$17:$E$38)-1)))+(AF2-INDEX(Tables!$E$17:$E$38,MAX(1,MIN(IFERROR(MATCH(AF2,Tables!$E$17:$E$38,1),1),ROWS(Tables!$E$17:$E$38)-1))))*(INDEX(Tables!$F$17:$F$38,MAX(1,MIN(IFERROR(MATCH(AF2,Tables!$E$17:$E$38,1),1),ROWS(Tables!$E$17:$E$38)-1))+1)-INDEX(Tables!$F$17:$F$38,MAX(1,MIN(IFERROR(MATCH(AF2,Tables!$E$17:$E$38,1),1),ROWS(Tables!$E$17:$E$38)-1))))/(INDEX(Tables!$E$17:$E$38,MAX(1,MIN(IFERROR(MATCH(AF2,Tables!$E$17:$E$38,1),1),ROWS(Tables!$E$17:$E$38)-1))+1)-INDEX(Tables!$E$17:$E$38,MAX(1,MIN(IFERROR(MATCH(AF2,Tables!$E$17:$E$38,1),1),ROWS(Tables!$E$17:$E$38)-1))))),(INDEX(Tables!$H$17:$H$38,MAX(1,MIN(IFERROR(MATCH(AF2,Tables!$G$17:$G$38,1),1),ROWS(Tables!$G$17:$G$38)-1)))+(AF2-INDEX(Tables!$G$17:$G$38,MAX(1,MIN(IFERROR(MATCH(AF2,Tables!$G$17:$G$38,1),1),ROWS(Tables!$G$17:$G$38)-1))))*(INDEX(Tables!$H$17:$H$38,MAX(1,MIN(IFERROR(MATCH(AF2,Tables!$G$17:$G$38,1),1),ROWS(Tables!$G$17:$G$38)-1))+1)-INDEX(Tables!$H$17:$H$38,MAX(1,MIN(IFERROR(MATCH(AF2,Tables!$G$17:$G$38,1),1),ROWS(Tables!$G$17:$G$38)-1))))/(INDEX(Tables!$G$17:$G$38,MAX(1,MIN(IFERROR(MATCH(AF2,Tables!$G$17:$G$38,1),1),ROWS(Tables!$G$17:$G$38)-1))+1)-INDEX(Tables!$G$17:$G$38,MAX(1,MIN(IFERROR(MATCH(AF2,Tables!$G$17:$G$38,1),1),ROWS(Tables!$G$17:$G$38)-1))))))))</f>
        <v>2944.7999999999997</v>
      </c>
      <c r="AL2" s="181">
        <f>IF(AC2&lt;1000,(INDEX(Tables!$B$43:$B$76,MAX(1,MIN(IFERROR(MATCH(AG2,Tables!$A$43:$A$76,1),1),ROWS(Tables!$A$43:$A$76)-1)))+(AG2-INDEX(Tables!$A$43:$A$76,MAX(1,MIN(IFERROR(MATCH(AG2,Tables!$A$43:$A$76,1),1),ROWS(Tables!$A$43:$A$76)-1))))*(INDEX(Tables!$B$43:$B$76,MAX(1,MIN(IFERROR(MATCH(AG2,Tables!$A$43:$A$76,1),1),ROWS(Tables!$A$43:$A$76)-1))+1)-INDEX(Tables!$B$43:$B$76,MAX(1,MIN(IFERROR(MATCH(AG2,Tables!$A$43:$A$76,1),1),ROWS(Tables!$A$43:$A$76)-1))))/(INDEX(Tables!$A$43:$A$76,MAX(1,MIN(IFERROR(MATCH(AG2,Tables!$A$43:$A$76,1),1),ROWS(Tables!$A$43:$A$76)-1))+1)-INDEX(Tables!$A$43:$A$76,MAX(1,MIN(IFERROR(MATCH(AG2,Tables!$A$43:$A$76,1),1),ROWS(Tables!$A$43:$A$76)-1))))),(INDEX(Tables!$D$43:$D$76,MAX(1,MIN(IFERROR(MATCH(AG2,Tables!$C$43:$C$76,1),1),ROWS(Tables!$C$43:$C$76)-1)))+(AG2-INDEX(Tables!$C$43:$C$76,MAX(1,MIN(IFERROR(MATCH(AG2,Tables!$C$43:$C$76,1),1),ROWS(Tables!$C$43:$C$76)-1))))*(INDEX(Tables!$D$43:$D$76,MAX(1,MIN(IFERROR(MATCH(AG2,Tables!$C$43:$C$76,1),1),ROWS(Tables!$C$43:$C$76)-1))+1)-INDEX(Tables!$D$43:$D$76,MAX(1,MIN(IFERROR(MATCH(AG2,Tables!$C$43:$C$76,1),1),ROWS(Tables!$C$43:$C$76)-1))))/(INDEX(Tables!$C$43:$C$76,MAX(1,MIN(IFERROR(MATCH(AG2,Tables!$C$43:$C$76,1),1),ROWS(Tables!$C$43:$C$76)-1))+1)-INDEX(Tables!$C$43:$C$76,MAX(1,MIN(IFERROR(MATCH(AG2,Tables!$C$43:$C$76,1),1),ROWS(Tables!$C$43:$C$76)-1))))))</f>
        <v>0.44739130434782609</v>
      </c>
      <c r="AM2" s="181">
        <f>(INDEX(Tables!$B$80:$B$87,MAX(1,MIN(IFERROR(MATCH(AH2,Tables!$A$80:$A$87,1),1),ROWS(Tables!$A$80:$A$87)-1)))+(AH2-INDEX(Tables!$A$80:$A$87,MAX(1,MIN(IFERROR(MATCH(AH2,Tables!$A$80:$A$87,1),1),ROWS(Tables!$A$80:$A$87)-1))))*(INDEX(Tables!$B$80:$B$87,MAX(1,MIN(IFERROR(MATCH(AH2,Tables!$A$80:$A$87,1),1),ROWS(Tables!$A$80:$A$87)-1))+1)-INDEX(Tables!$B$80:$B$87,MAX(1,MIN(IFERROR(MATCH(AH2,Tables!$A$80:$A$87,1),1),ROWS(Tables!$A$80:$A$87)-1))))/(INDEX(Tables!$A$80:$A$87,MAX(1,MIN(IFERROR(MATCH(AH2,Tables!$A$80:$A$87,1),1),ROWS(Tables!$A$80:$A$87)-1))+1)-INDEX(Tables!$A$80:$A$87,MAX(1,MIN(IFERROR(MATCH(AH2,Tables!$A$80:$A$87,1),1),ROWS(Tables!$A$80:$A$87)-1)))))</f>
        <v>1.403996226415094</v>
      </c>
      <c r="AN2" s="181">
        <f t="shared" ref="AN2:AN33" si="7">AK2*AL2*AM2*(O2/(12^3))*U2</f>
        <v>851.00610216847804</v>
      </c>
      <c r="AO2" s="181">
        <f>(INDEX(Tables!$B$91:$B$94,MAX(1,MIN(IFERROR(MATCH(P2,Tables!$A$91:$A$94,1),1),ROWS(Tables!$A$91:$A$94)-1)))+(P2-INDEX(Tables!$A$91:$A$94,MAX(1,MIN(IFERROR(MATCH(P2,Tables!$A$91:$A$94,1),1),ROWS(Tables!$A$91:$A$94)-1))))*(INDEX(Tables!$B$91:$B$94,MAX(1,MIN(IFERROR(MATCH(P2,Tables!$A$91:$A$94,1),1),ROWS(Tables!$A$91:$A$94)-1))+1)-INDEX(Tables!$B$91:$B$94,MAX(1,MIN(IFERROR(MATCH(P2,Tables!$A$91:$A$94,1),1),ROWS(Tables!$A$91:$A$94)-1))))/(INDEX(Tables!$A$91:$A$94,MAX(1,MIN(IFERROR(MATCH(P2,Tables!$A$91:$A$94,1),1),ROWS(Tables!$A$91:$A$94)-1))+1)-INDEX(Tables!$A$91:$A$94,MAX(1,MIN(IFERROR(MATCH(P2,Tables!$A$91:$A$94,1),1),ROWS(Tables!$A$91:$A$94)-1)))))</f>
        <v>1.5</v>
      </c>
      <c r="AP2" s="181">
        <f>IF(AD2=5000,(INDEX(Tables!$B$99:$B$118,MAX(1,MIN(IFERROR(MATCH(AF2,Tables!$A$99:$A$118,1),1),ROWS(Tables!$A$99:$A$118)-1)))+(AF2-INDEX(Tables!$A$99:$A$118,MAX(1,MIN(IFERROR(MATCH(AF2,Tables!$A$99:$A$118,1),1),ROWS(Tables!$A$99:$A$118)-1))))*(INDEX(Tables!$B$99:$B$118,MAX(1,MIN(IFERROR(MATCH(AF2,Tables!$A$99:$A$118,1),1),ROWS(Tables!$A$99:$A$118)-1))+1)-INDEX(Tables!$B$99:$B$118,MAX(1,MIN(IFERROR(MATCH(AF2,Tables!$A$99:$A$118,1),1),ROWS(Tables!$A$99:$A$118)-1))))/(INDEX(Tables!$A$99:$A$118,MAX(1,MIN(IFERROR(MATCH(AF2,Tables!$A$99:$A$118,1),1),ROWS(Tables!$A$99:$A$118)-1))+1)-INDEX(Tables!$A$99:$A$118,MAX(1,MIN(IFERROR(MATCH(AF2,Tables!$A$99:$A$118,1),1),ROWS(Tables!$A$99:$A$118)-1))))),IF(AD2=10000,(INDEX(Tables!$D$99:$D$118,MAX(1,MIN(IFERROR(MATCH(AF2,Tables!$C$99:$C$118,1),1),ROWS(Tables!$C$99:$C$118)-1)))+(AF2-INDEX(Tables!$C$99:$C$118,MAX(1,MIN(IFERROR(MATCH(AF2,Tables!$C$99:$C$118,1),1),ROWS(Tables!$C$99:$C$118)-1))))*(INDEX(Tables!$D$99:$D$118,MAX(1,MIN(IFERROR(MATCH(AF2,Tables!$C$99:$C$118,1),1),ROWS(Tables!$C$99:$C$118)-1))+1)-INDEX(Tables!$D$99:$D$118,MAX(1,MIN(IFERROR(MATCH(AF2,Tables!$C$99:$C$118,1),1),ROWS(Tables!$C$99:$C$118)-1))))/(INDEX(Tables!$C$99:$C$118,MAX(1,MIN(IFERROR(MATCH(AF2,Tables!$C$99:$C$118,1),1),ROWS(Tables!$C$99:$C$118)-1))+1)-INDEX(Tables!$C$99:$C$118,MAX(1,MIN(IFERROR(MATCH(AF2,Tables!$C$99:$C$118,1),1),ROWS(Tables!$C$99:$C$118)-1))))),(INDEX(Tables!$F$99:$F$118,MAX(1,MIN(IFERROR(MATCH(AF2,Tables!$E$99:$E$118,1),1),ROWS(Tables!$E$99:$E$118)-1)))+(AF2-INDEX(Tables!$E$99:$E$118,MAX(1,MIN(IFERROR(MATCH(AF2,Tables!$E$99:$E$118,1),1),ROWS(Tables!$E$99:$E$118)-1))))*(INDEX(Tables!$F$99:$F$118,MAX(1,MIN(IFERROR(MATCH(AF2,Tables!$E$99:$E$118,1),1),ROWS(Tables!$E$99:$E$118)-1))+1)-INDEX(Tables!$F$99:$F$118,MAX(1,MIN(IFERROR(MATCH(AF2,Tables!$E$99:$E$118,1),1),ROWS(Tables!$E$99:$E$118)-1))))/(INDEX(Tables!$E$99:$E$118,MAX(1,MIN(IFERROR(MATCH(AF2,Tables!$E$99:$E$118,1),1),ROWS(Tables!$E$99:$E$118)-1))+1)-INDEX(Tables!$E$99:$E$118,MAX(1,MIN(IFERROR(MATCH(AF2,Tables!$E$99:$E$118,1),1),ROWS(Tables!$E$99:$E$118)-1)))))))</f>
        <v>19.362617820221594</v>
      </c>
      <c r="AQ2" s="181">
        <f>IF(P2&lt;6,(INDEX(Tables!$B$123:$B$138,MAX(1,MIN(IFERROR(MATCH(U2,Tables!$A$123:$A$138,1),1),ROWS(Tables!$A$123:$A$138)-1)))+(U2-INDEX(Tables!$A$123:$A$138,MAX(1,MIN(IFERROR(MATCH(U2,Tables!$A$123:$A$138,1),1),ROWS(Tables!$A$123:$A$138)-1))))*(INDEX(Tables!$B$123:$B$138,MAX(1,MIN(IFERROR(MATCH(U2,Tables!$A$123:$A$138,1),1),ROWS(Tables!$A$123:$A$138)-1))+1)-INDEX(Tables!$B$123:$B$138,MAX(1,MIN(IFERROR(MATCH(U2,Tables!$A$123:$A$138,1),1),ROWS(Tables!$A$123:$A$138)-1))))/(INDEX(Tables!$A$123:$A$138,MAX(1,MIN(IFERROR(MATCH(U2,Tables!$A$123:$A$138,1),1),ROWS(Tables!$A$123:$A$138)-1))+1)-INDEX(Tables!$A$123:$A$138,MAX(1,MIN(IFERROR(MATCH(U2,Tables!$A$123:$A$138,1),1),ROWS(Tables!$A$123:$A$138)-1))))),IF(P2&lt;8,(INDEX(Tables!$D$123:$D$138,MAX(1,MIN(IFERROR(MATCH(U2,Tables!$C$123:$C$138,1),1),ROWS(Tables!$C$123:$C$138)-1)))+(U2-INDEX(Tables!$C$123:$C$138,MAX(1,MIN(IFERROR(MATCH(U2,Tables!$C$123:$C$138,1),1),ROWS(Tables!$C$123:$C$138)-1))))*(INDEX(Tables!$D$123:$D$138,MAX(1,MIN(IFERROR(MATCH(U2,Tables!$C$123:$C$138,1),1),ROWS(Tables!$C$123:$C$138)-1))+1)-INDEX(Tables!$D$123:$D$138,MAX(1,MIN(IFERROR(MATCH(U2,Tables!$C$123:$C$138,1),1),ROWS(Tables!$C$123:$C$138)-1))))/(INDEX(Tables!$C$123:$C$138,MAX(1,MIN(IFERROR(MATCH(U2,Tables!$C$123:$C$138,1),1),ROWS(Tables!$C$123:$C$138)-1))+1)-INDEX(Tables!$C$123:$C$138,MAX(1,MIN(IFERROR(MATCH(U2,Tables!$C$123:$C$138,1),1),ROWS(Tables!$C$123:$C$138)-1))))),IF(P2&lt;10,(INDEX(Tables!$F$123:$F$138,MAX(1,MIN(IFERROR(MATCH(U2,Tables!$E$123:$E$138,1),1),ROWS(Tables!$E$123:$E$138)-1)))+(U2-INDEX(Tables!$E$123:$E$138,MAX(1,MIN(IFERROR(MATCH(U2,Tables!$E$123:$E$138,1),1),ROWS(Tables!$E$123:$E$138)-1))))*(INDEX(Tables!$F$123:$F$138,MAX(1,MIN(IFERROR(MATCH(U2,Tables!$E$123:$E$138,1),1),ROWS(Tables!$E$123:$E$138)-1))+1)-INDEX(Tables!$F$123:$F$138,MAX(1,MIN(IFERROR(MATCH(U2,Tables!$E$123:$E$138,1),1),ROWS(Tables!$E$123:$E$138)-1))))/(INDEX(Tables!$E$123:$E$138,MAX(1,MIN(IFERROR(MATCH(U2,Tables!$E$123:$E$138,1),1),ROWS(Tables!$E$123:$E$138)-1))+1)-INDEX(Tables!$E$123:$E$138,MAX(1,MIN(IFERROR(MATCH(U2,Tables!$E$123:$E$138,1),1),ROWS(Tables!$E$123:$E$138)-1))))),(INDEX(Tables!$H$123:$H$138,MAX(1,MIN(IFERROR(MATCH(U2,Tables!$G$123:$G$138,1),1),ROWS(Tables!$G$123:$G$138)-1)))+(U2-INDEX(Tables!$G$123:$G$138,MAX(1,MIN(IFERROR(MATCH(U2,Tables!$G$123:$G$138,1),1),ROWS(Tables!$G$123:$G$138)-1))))*(INDEX(Tables!$H$123:$H$138,MAX(1,MIN(IFERROR(MATCH(U2,Tables!$G$123:$G$138,1),1),ROWS(Tables!$G$123:$G$138)-1))+1)-INDEX(Tables!$H$123:$H$138,MAX(1,MIN(IFERROR(MATCH(U2,Tables!$G$123:$G$138,1),1),ROWS(Tables!$G$123:$G$138)-1))))/(INDEX(Tables!$G$123:$G$138,MAX(1,MIN(IFERROR(MATCH(U2,Tables!$G$123:$G$138,1),1),ROWS(Tables!$G$123:$G$138)-1))+1)-INDEX(Tables!$G$123:$G$138,MAX(1,MIN(IFERROR(MATCH(U2,Tables!$G$123:$G$138,1),1),ROWS(Tables!$G$123:$G$138)-1))))))))</f>
        <v>1.4501250000000001</v>
      </c>
      <c r="AR2" s="181">
        <f>IF(OR(P2&gt;=4,U2&gt;12),VLOOKUP(R2&amp;" "&amp;S2,Tables!$D$143:$F$148,2,FALSE),VLOOKUP(R2&amp;" "&amp;S2,Tables!$A$143:$C$148,2,FALSE))</f>
        <v>1</v>
      </c>
      <c r="AS2" s="181">
        <f>IF(OR(P2&gt;=4,U2&gt;12),VLOOKUP(R2&amp;" "&amp;S2,Tables!$D$143:$F$148,3,FALSE),VLOOKUP(R2&amp;" "&amp;S2,Tables!$A$143:$C$148,3,FALSE))</f>
        <v>0.75</v>
      </c>
      <c r="AT2" s="181">
        <f t="shared" ref="AT2:AT33" si="8">AP2*AQ2*AR2*AS2*AO2*AE2/(12^2)</f>
        <v>2632.3327656139536</v>
      </c>
      <c r="AU2" s="181">
        <f>IF(AD2=5000,(INDEX(Tables!$B$244:$B$263,MAX(1,MIN(IFERROR(MATCH(AF2,Tables!$A$244:$A$263,1),1),ROWS(Tables!$A$244:$A$263)-1)))+(AF2-INDEX(Tables!$A$244:$A$263,MAX(1,MIN(IFERROR(MATCH(AF2,Tables!$A$244:$A$263,1),1),ROWS(Tables!$A$244:$A$263)-1))))*(INDEX(Tables!$B$244:$B$263,MAX(1,MIN(IFERROR(MATCH(AF2,Tables!$A$244:$A$263,1),1),ROWS(Tables!$A$244:$A$263)-1))+1)-INDEX(Tables!$B$244:$B$263,MAX(1,MIN(IFERROR(MATCH(AF2,Tables!$A$244:$A$263,1),1),ROWS(Tables!$A$244:$A$263)-1))))/(INDEX(Tables!$A$244:$A$263,MAX(1,MIN(IFERROR(MATCH(AF2,Tables!$A$244:$A$263,1),1),ROWS(Tables!$A$244:$A$263)-1))+1)-INDEX(Tables!$A$244:$A$263,MAX(1,MIN(IFERROR(MATCH(AF2,Tables!$A$244:$A$263,1),1),ROWS(Tables!$A$244:$A$263)-1))))),IF(AD2=10000,(INDEX(Tables!$D$244:$D$263,MAX(1,MIN(IFERROR(MATCH(AF2,Tables!$C$244:$C$263,1),1),ROWS(Tables!$C$244:$C$263)-1)))+(AF2-INDEX(Tables!$C$244:$C$263,MAX(1,MIN(IFERROR(MATCH(AF2,Tables!$C$244:$C$263,1),1),ROWS(Tables!$C$244:$C$263)-1))))*(INDEX(Tables!$D$244:$D$263,MAX(1,MIN(IFERROR(MATCH(AF2,Tables!$C$244:$C$263,1),1),ROWS(Tables!$C$244:$C$263)-1))+1)-INDEX(Tables!$D$244:$D$263,MAX(1,MIN(IFERROR(MATCH(AF2,Tables!$C$244:$C$263,1),1),ROWS(Tables!$C$244:$C$263)-1))))/(INDEX(Tables!$C$244:$C$263,MAX(1,MIN(IFERROR(MATCH(AF2,Tables!$C$244:$C$263,1),1),ROWS(Tables!$C$244:$C$263)-1))+1)-INDEX(Tables!$C$244:$C$263,MAX(1,MIN(IFERROR(MATCH(AF2,Tables!$C$244:$C$263,1),1),ROWS(Tables!$C$244:$C$263)-1))))),(INDEX(Tables!$F$244:$F$263,MAX(1,MIN(IFERROR(MATCH(AF2,Tables!$E$244:$E$263,1),1),ROWS(Tables!$E$244:$E$263)-1)))+(AF2-INDEX(Tables!$E$244:$E$263,MAX(1,MIN(IFERROR(MATCH(AF2,Tables!$E$244:$E$263,1),1),ROWS(Tables!$E$244:$E$263)-1))))*(INDEX(Tables!$F$244:$F$263,MAX(1,MIN(IFERROR(MATCH(AF2,Tables!$E$244:$E$263,1),1),ROWS(Tables!$E$244:$E$263)-1))+1)-INDEX(Tables!$F$244:$F$263,MAX(1,MIN(IFERROR(MATCH(AF2,Tables!$E$244:$E$263,1),1),ROWS(Tables!$E$244:$E$263)-1))))/(INDEX(Tables!$E$244:$E$263,MAX(1,MIN(IFERROR(MATCH(AF2,Tables!$E$244:$E$263,1),1),ROWS(Tables!$E$244:$E$263)-1))+1)-INDEX(Tables!$E$244:$E$263,MAX(1,MIN(IFERROR(MATCH(AF2,Tables!$E$244:$E$263,1),1),ROWS(Tables!$E$244:$E$263)-1)))))))</f>
        <v>14.334871698113208</v>
      </c>
      <c r="AV2" s="181">
        <f>IF(P2&lt;6,(INDEX(Tables!$B$260:$B$274,MAX(1,MIN(IFERROR(MATCH(U2,Tables!$A$260:$A$274,1),1),ROWS(Tables!$A$260:$A$274)-1)))+(U2-INDEX(Tables!$A$260:$A$274,MAX(1,MIN(IFERROR(MATCH(U2,Tables!$A$260:$A$274,1),1),ROWS(Tables!$A$260:$A$274)-1))))*(INDEX(Tables!$B$260:$B$274,MAX(1,MIN(IFERROR(MATCH(U2,Tables!$A$260:$A$274,1),1),ROWS(Tables!$A$260:$A$274)-1))+1)-INDEX(Tables!$B$260:$B$274,MAX(1,MIN(IFERROR(MATCH(U2,Tables!$A$260:$A$274,1),1),ROWS(Tables!$A$260:$A$274)-1))))/(INDEX(Tables!$A$260:$A$274,MAX(1,MIN(IFERROR(MATCH(U2,Tables!$A$260:$A$274,1),1),ROWS(Tables!$A$260:$A$274)-1))+1)-INDEX(Tables!$A$260:$A$274,MAX(1,MIN(IFERROR(MATCH(U2,Tables!$A$260:$A$274,1),1),ROWS(Tables!$A$260:$A$274)-1))))),IF(P2&lt;8,(INDEX(Tables!$D$260:$D$274,MAX(1,MIN(IFERROR(MATCH(U2,Tables!$C$260:$C$274,1),1),ROWS(Tables!$C$260:$C$274)-1)))+(U2-INDEX(Tables!$C$260:$C$274,MAX(1,MIN(IFERROR(MATCH(U2,Tables!$C$260:$C$274,1),1),ROWS(Tables!$C$260:$C$274)-1))))*(INDEX(Tables!$D$260:$D$274,MAX(1,MIN(IFERROR(MATCH(U2,Tables!$C$260:$C$274,1),1),ROWS(Tables!$C$260:$C$274)-1))+1)-INDEX(Tables!$D$260:$D$274,MAX(1,MIN(IFERROR(MATCH(U2,Tables!$C$260:$C$274,1),1),ROWS(Tables!$C$260:$C$274)-1))))/(INDEX(Tables!$C$260:$C$274,MAX(1,MIN(IFERROR(MATCH(U2,Tables!$C$260:$C$274,1),1),ROWS(Tables!$C$260:$C$274)-1))+1)-INDEX(Tables!$C$260:$C$274,MAX(1,MIN(IFERROR(MATCH(U2,Tables!$C$260:$C$274,1),1),ROWS(Tables!$C$260:$C$274)-1))))),IF(P2&lt;10,(INDEX(Tables!$F$260:$F$274,MAX(1,MIN(IFERROR(MATCH(U2,Tables!$E$260:$E$274,1),1),ROWS(Tables!$E$260:$E$274)-1)))+(U2-INDEX(Tables!$E$260:$E$274,MAX(1,MIN(IFERROR(MATCH(U2,Tables!$E$260:$E$274,1),1),ROWS(Tables!$E$260:$E$274)-1))))*(INDEX(Tables!$F$260:$F$274,MAX(1,MIN(IFERROR(MATCH(U2,Tables!$E$260:$E$274,1),1),ROWS(Tables!$E$260:$E$274)-1))+1)-INDEX(Tables!$F$260:$F$274,MAX(1,MIN(IFERROR(MATCH(U2,Tables!$E$260:$E$274,1),1),ROWS(Tables!$E$260:$E$274)-1))))/(INDEX(Tables!$E$260:$E$274,MAX(1,MIN(IFERROR(MATCH(U2,Tables!$E$260:$E$274,1),1),ROWS(Tables!$E$260:$E$274)-1))+1)-INDEX(Tables!$E$260:$E$274,MAX(1,MIN(IFERROR(MATCH(U2,Tables!$E$260:$E$274,1),1),ROWS(Tables!$E$260:$E$274)-1))))),(INDEX(Tables!$H$260:$H$274,MAX(1,MIN(IFERROR(MATCH(U2,Tables!$G$260:$G$274,1),1),ROWS(Tables!$G$260:$G$274)-1)))+(U2-INDEX(Tables!$G$260:$G$274,MAX(1,MIN(IFERROR(MATCH(U2,Tables!$G$260:$G$274,1),1),ROWS(Tables!$G$260:$G$274)-1))))*(INDEX(Tables!$H$260:$H$274,MAX(1,MIN(IFERROR(MATCH(U2,Tables!$G$260:$G$274,1),1),ROWS(Tables!$G$260:$G$274)-1))+1)-INDEX(Tables!$H$260:$H$274,MAX(1,MIN(IFERROR(MATCH(U2,Tables!$G$260:$G$274,1),1),ROWS(Tables!$G$260:$G$274)-1))))/(INDEX(Tables!$G$260:$G$274,MAX(1,MIN(IFERROR(MATCH(U2,Tables!$G$260:$G$274,1),1),ROWS(Tables!$G$260:$G$274)-1))+1)-INDEX(Tables!$G$260:$G$274,MAX(1,MIN(IFERROR(MATCH(U2,Tables!$G$260:$G$274,1),1),ROWS(Tables!$G$260:$G$274)-1))))))))</f>
        <v>1.4965000000000002</v>
      </c>
      <c r="AW2" s="181">
        <f t="shared" ref="AW2:AW33" si="9">AU2*AV2*AR2*AS2*AO2*(AE2/(12^2))</f>
        <v>2011.1377027712267</v>
      </c>
      <c r="AX2" s="181">
        <f t="shared" ref="AX2:AX33" si="10">M2*(U2-E2)/(2*E2)</f>
        <v>-356.76279850746266</v>
      </c>
      <c r="AY2" s="181">
        <f t="shared" ref="AY2:AY33" si="11">AN2+AT2+AX2</f>
        <v>3126.5760692749686</v>
      </c>
      <c r="AZ2" s="181">
        <f t="shared" ref="AZ2:AZ33" si="12">AW2-(Y2)*(AA2)*(L2-T2)+(Z2*(AN2+AX2))</f>
        <v>2159.4106938695313</v>
      </c>
      <c r="BA2" s="181">
        <f t="shared" ref="BA2:BA33" si="13">-M2</f>
        <v>14.73</v>
      </c>
      <c r="BB2" s="181">
        <f t="shared" ref="BB2:BB33" si="14">SQRT(0.5*((AY2-AZ2)^2+(AZ2-BA2)^2+(BA2-AY2)^2))</f>
        <v>2758.500507603896</v>
      </c>
      <c r="BC2" s="181">
        <f t="shared" ref="BC2:BC33" si="15">V2*W2</f>
        <v>46800</v>
      </c>
      <c r="BD2" s="181">
        <f>VLOOKUP(V2&amp;" "&amp;J2,Tables!$A$152:$E$239,4,FALSE)</f>
        <v>12000</v>
      </c>
      <c r="BE2" s="181">
        <f>VLOOKUP(V2&amp;" "&amp;J2,Tables!$A$152:$E$239,5,FALSE)</f>
        <v>23000</v>
      </c>
      <c r="BF2" s="181">
        <f t="shared" ref="BF2:BF33" si="16">BD2*W2</f>
        <v>8640</v>
      </c>
      <c r="BG2" s="181">
        <f t="shared" ref="BG2:BG33" si="17">BE2*W2</f>
        <v>16560</v>
      </c>
      <c r="BH2" s="181">
        <f t="shared" ref="BH2:BH33" si="18">AI2</f>
        <v>-364.12779850746267</v>
      </c>
      <c r="BI2" s="181">
        <f t="shared" ref="BI2:BI33" si="19">AJ2</f>
        <v>46800</v>
      </c>
      <c r="BJ2" s="181">
        <f t="shared" ref="BJ2:BJ33" si="20">BB2</f>
        <v>2758.500507603896</v>
      </c>
      <c r="BK2" s="181">
        <f t="shared" ref="BK2:BK33" si="21">BC2</f>
        <v>46800</v>
      </c>
      <c r="BL2" s="181">
        <f t="shared" ref="BL2:BL33" si="22">AW2</f>
        <v>2011.1377027712267</v>
      </c>
      <c r="BM2" s="181">
        <f t="shared" ref="BM2:BM33" si="23">BF2</f>
        <v>8640</v>
      </c>
      <c r="BN2" s="181">
        <f t="shared" ref="BN2:BN33" si="24">AT2</f>
        <v>2632.3327656139536</v>
      </c>
      <c r="BO2" s="181">
        <f t="shared" ref="BO2:BO33" si="25">BG2</f>
        <v>16560</v>
      </c>
      <c r="BP2" t="str">
        <f t="shared" ref="BP2:BP33" si="26">IF(BH2&lt;=BI2,"Pass","Fail")</f>
        <v>Pass</v>
      </c>
      <c r="BQ2" t="str">
        <f t="shared" ref="BQ2:BQ33" si="27">IF(BJ2&lt;=BK2,"Pass","Fail")</f>
        <v>Pass</v>
      </c>
      <c r="BR2" t="str">
        <f t="shared" ref="BR2:BR33" si="28">IF(BL2&lt;=BM2,"Pass","Fail")</f>
        <v>Pass</v>
      </c>
      <c r="BS2" t="str">
        <f t="shared" ref="BS2:BS33" si="29">IF(BN2&lt;=BO2,"Pass","Fail")</f>
        <v>Pass</v>
      </c>
      <c r="BT2" t="str">
        <f t="shared" ref="BT2:BT33" si="30">IF(OR(BP2="Fail",BQ2="Fail",BR2="Fail",BS2="Fail"),"Fail","Pass")</f>
        <v>Pass</v>
      </c>
      <c r="BU2" t="str">
        <f t="shared" ref="BU2:BU33" si="31">IF(MAX(BH2/BI2,BJ2/BK2,BL2/BM2,BN2/BO2)=BH2/BI2,"Barlow Stress",IF(MAX(BH2/BI2,BJ2/BK2,BL2/BM2,BN2/BO2)=BJ2/BK2,"Effective Stress",IF(MAX(BH2/BI2,BJ2/BK2,BL2/BM2,BN2/BO2)=BL2/BM2,"Girth Weld Stress","Longitudinal Weld Stress")))</f>
        <v>Girth Weld Stress</v>
      </c>
    </row>
    <row r="3" spans="1:73">
      <c r="A3" t="s">
        <v>595</v>
      </c>
      <c r="B3" s="181">
        <v>1</v>
      </c>
      <c r="C3" t="s">
        <v>594</v>
      </c>
      <c r="D3" s="181">
        <v>8</v>
      </c>
      <c r="E3" s="181">
        <v>0.14799999999999999</v>
      </c>
      <c r="F3" t="s">
        <v>117</v>
      </c>
      <c r="G3" t="s">
        <v>119</v>
      </c>
      <c r="H3" t="s">
        <v>122</v>
      </c>
      <c r="I3" s="181">
        <v>1</v>
      </c>
      <c r="J3" t="s">
        <v>126</v>
      </c>
      <c r="K3" t="s">
        <v>129</v>
      </c>
      <c r="L3" s="181">
        <v>70</v>
      </c>
      <c r="M3" s="181">
        <v>-14.73</v>
      </c>
      <c r="N3" t="s">
        <v>388</v>
      </c>
      <c r="O3" s="181">
        <v>120</v>
      </c>
      <c r="P3" s="181">
        <v>3</v>
      </c>
      <c r="Q3" s="181">
        <v>10.625</v>
      </c>
      <c r="R3" t="s">
        <v>154</v>
      </c>
      <c r="S3" t="s">
        <v>420</v>
      </c>
      <c r="T3" s="181">
        <v>70</v>
      </c>
      <c r="U3" s="181">
        <f>HLOOKUP(D3,'Highway Loading'!$C$155:$AD$156,2,FALSE)</f>
        <v>8.625</v>
      </c>
      <c r="V3" s="181">
        <f>IF(ISBLANK(G3),"",INDEX('Highway Loading'!$C$216:$AG$216,1,MATCH(G3,'Highway Loading'!$C$215:$AG$215,0)))</f>
        <v>65000</v>
      </c>
      <c r="W3" s="181">
        <f>INDEX('Highway Loading'!$I$245:$L$253,MATCH(H3,'Highway Loading'!$H$245:$H$253,0),MATCH(I3,'Highway Loading'!$I$244:$L$244,0))</f>
        <v>0.72</v>
      </c>
      <c r="X3" s="181">
        <f t="shared" si="0"/>
        <v>1</v>
      </c>
      <c r="Y3" s="181">
        <f>VLOOKUP(K3,'Highway Loading'!$B$283:$E$292,2,FALSE)</f>
        <v>29000000</v>
      </c>
      <c r="Z3" s="181">
        <f>VLOOKUP(K3,'Highway Loading'!$B$283:$E$292,3,FALSE)</f>
        <v>0.3</v>
      </c>
      <c r="AA3" s="181">
        <f>VLOOKUP(K3,'Highway Loading'!$B$283:$E$292,4,FALSE)</f>
        <v>6.4999999999999996E-6</v>
      </c>
      <c r="AB3" s="181">
        <f t="shared" si="1"/>
        <v>1</v>
      </c>
      <c r="AC3" s="181">
        <f>VLOOKUP(N3,'Highway Loading'!$B$256:$D$261,2,FALSE)</f>
        <v>200</v>
      </c>
      <c r="AD3" s="181">
        <f>VLOOKUP(N3,'Highway Loading'!$B$256:$D$261,3,FALSE)</f>
        <v>5000</v>
      </c>
      <c r="AE3" s="181">
        <f>VLOOKUP(S3,'Highway Loading'!$B$340:$C$341,2,FALSE)</f>
        <v>12000</v>
      </c>
      <c r="AF3" s="181">
        <f t="shared" si="2"/>
        <v>1.7159420289855072E-2</v>
      </c>
      <c r="AG3" s="181">
        <f t="shared" si="3"/>
        <v>3.388235294117647</v>
      </c>
      <c r="AH3" s="181">
        <f t="shared" si="4"/>
        <v>1.2318840579710144</v>
      </c>
      <c r="AI3" s="181">
        <f t="shared" si="5"/>
        <v>-429.21030405405406</v>
      </c>
      <c r="AJ3" s="181">
        <f t="shared" si="6"/>
        <v>46800</v>
      </c>
      <c r="AK3" s="181">
        <f>IF(AC3=200,(INDEX(Tables!$B$17:$B$38,MAX(1,MIN(IFERROR(MATCH(AF3,Tables!$A$17:$A$38,1),1),ROWS(Tables!$A$17:$A$38)-1)))+(AF3-INDEX(Tables!$A$17:$A$38,MAX(1,MIN(IFERROR(MATCH(AF3,Tables!$A$17:$A$38,1),1),ROWS(Tables!$A$17:$A$38)-1))))*(INDEX(Tables!$B$17:$B$38,MAX(1,MIN(IFERROR(MATCH(AF3,Tables!$A$17:$A$38,1),1),ROWS(Tables!$A$17:$A$38)-1))+1)-INDEX(Tables!$B$17:$B$38,MAX(1,MIN(IFERROR(MATCH(AF3,Tables!$A$17:$A$38,1),1),ROWS(Tables!$A$17:$A$38)-1))))/(INDEX(Tables!$A$17:$A$38,MAX(1,MIN(IFERROR(MATCH(AF3,Tables!$A$17:$A$38,1),1),ROWS(Tables!$A$17:$A$38)-1))+1)-INDEX(Tables!$A$17:$A$38,MAX(1,MIN(IFERROR(MATCH(AF3,Tables!$A$17:$A$38,1),1),ROWS(Tables!$A$17:$A$38)-1))))),IF(AC3=500,(INDEX(Tables!$D$17:$D$38,MAX(1,MIN(IFERROR(MATCH(AF3,Tables!$C$17:$C$38,1),1),ROWS(Tables!$C$17:$C$38)-1)))+(AF3-INDEX(Tables!$C$17:$C$38,MAX(1,MIN(IFERROR(MATCH(AF3,Tables!$C$17:$C$38,1),1),ROWS(Tables!$C$17:$C$38)-1))))*(INDEX(Tables!$D$17:$D$38,MAX(1,MIN(IFERROR(MATCH(AF3,Tables!$C$17:$C$38,1),1),ROWS(Tables!$C$17:$C$38)-1))+1)-INDEX(Tables!$D$17:$D$38,MAX(1,MIN(IFERROR(MATCH(AF3,Tables!$C$17:$C$38,1),1),ROWS(Tables!$C$17:$C$38)-1))))/(INDEX(Tables!$C$17:$C$38,MAX(1,MIN(IFERROR(MATCH(AF3,Tables!$C$17:$C$38,1),1),ROWS(Tables!$C$17:$C$38)-1))+1)-INDEX(Tables!$C$17:$C$38,MAX(1,MIN(IFERROR(MATCH(AF3,Tables!$C$17:$C$38,1),1),ROWS(Tables!$C$17:$C$38)-1))))),IF(AC3=1000,(INDEX(Tables!$F$17:$F$38,MAX(1,MIN(IFERROR(MATCH(AF3,Tables!$E$17:$E$38,1),1),ROWS(Tables!$E$17:$E$38)-1)))+(AF3-INDEX(Tables!$E$17:$E$38,MAX(1,MIN(IFERROR(MATCH(AF3,Tables!$E$17:$E$38,1),1),ROWS(Tables!$E$17:$E$38)-1))))*(INDEX(Tables!$F$17:$F$38,MAX(1,MIN(IFERROR(MATCH(AF3,Tables!$E$17:$E$38,1),1),ROWS(Tables!$E$17:$E$38)-1))+1)-INDEX(Tables!$F$17:$F$38,MAX(1,MIN(IFERROR(MATCH(AF3,Tables!$E$17:$E$38,1),1),ROWS(Tables!$E$17:$E$38)-1))))/(INDEX(Tables!$E$17:$E$38,MAX(1,MIN(IFERROR(MATCH(AF3,Tables!$E$17:$E$38,1),1),ROWS(Tables!$E$17:$E$38)-1))+1)-INDEX(Tables!$E$17:$E$38,MAX(1,MIN(IFERROR(MATCH(AF3,Tables!$E$17:$E$38,1),1),ROWS(Tables!$E$17:$E$38)-1))))),(INDEX(Tables!$H$17:$H$38,MAX(1,MIN(IFERROR(MATCH(AF3,Tables!$G$17:$G$38,1),1),ROWS(Tables!$G$17:$G$38)-1)))+(AF3-INDEX(Tables!$G$17:$G$38,MAX(1,MIN(IFERROR(MATCH(AF3,Tables!$G$17:$G$38,1),1),ROWS(Tables!$G$17:$G$38)-1))))*(INDEX(Tables!$H$17:$H$38,MAX(1,MIN(IFERROR(MATCH(AF3,Tables!$G$17:$G$38,1),1),ROWS(Tables!$G$17:$G$38)-1))+1)-INDEX(Tables!$H$17:$H$38,MAX(1,MIN(IFERROR(MATCH(AF3,Tables!$G$17:$G$38,1),1),ROWS(Tables!$G$17:$G$38)-1))))/(INDEX(Tables!$G$17:$G$38,MAX(1,MIN(IFERROR(MATCH(AF3,Tables!$G$17:$G$38,1),1),ROWS(Tables!$G$17:$G$38)-1))+1)-INDEX(Tables!$G$17:$G$38,MAX(1,MIN(IFERROR(MATCH(AF3,Tables!$G$17:$G$38,1),1),ROWS(Tables!$G$17:$G$38)-1))))))))</f>
        <v>4032.5536231884066</v>
      </c>
      <c r="AL3" s="181">
        <f>IF(AC3&lt;1000,(INDEX(Tables!$B$43:$B$76,MAX(1,MIN(IFERROR(MATCH(AG3,Tables!$A$43:$A$76,1),1),ROWS(Tables!$A$43:$A$76)-1)))+(AG3-INDEX(Tables!$A$43:$A$76,MAX(1,MIN(IFERROR(MATCH(AG3,Tables!$A$43:$A$76,1),1),ROWS(Tables!$A$43:$A$76)-1))))*(INDEX(Tables!$B$43:$B$76,MAX(1,MIN(IFERROR(MATCH(AG3,Tables!$A$43:$A$76,1),1),ROWS(Tables!$A$43:$A$76)-1))+1)-INDEX(Tables!$B$43:$B$76,MAX(1,MIN(IFERROR(MATCH(AG3,Tables!$A$43:$A$76,1),1),ROWS(Tables!$A$43:$A$76)-1))))/(INDEX(Tables!$A$43:$A$76,MAX(1,MIN(IFERROR(MATCH(AG3,Tables!$A$43:$A$76,1),1),ROWS(Tables!$A$43:$A$76)-1))+1)-INDEX(Tables!$A$43:$A$76,MAX(1,MIN(IFERROR(MATCH(AG3,Tables!$A$43:$A$76,1),1),ROWS(Tables!$A$43:$A$76)-1))))),(INDEX(Tables!$D$43:$D$76,MAX(1,MIN(IFERROR(MATCH(AG3,Tables!$C$43:$C$76,1),1),ROWS(Tables!$C$43:$C$76)-1)))+(AG3-INDEX(Tables!$C$43:$C$76,MAX(1,MIN(IFERROR(MATCH(AG3,Tables!$C$43:$C$76,1),1),ROWS(Tables!$C$43:$C$76)-1))))*(INDEX(Tables!$D$43:$D$76,MAX(1,MIN(IFERROR(MATCH(AG3,Tables!$C$43:$C$76,1),1),ROWS(Tables!$C$43:$C$76)-1))+1)-INDEX(Tables!$D$43:$D$76,MAX(1,MIN(IFERROR(MATCH(AG3,Tables!$C$43:$C$76,1),1),ROWS(Tables!$C$43:$C$76)-1))))/(INDEX(Tables!$C$43:$C$76,MAX(1,MIN(IFERROR(MATCH(AG3,Tables!$C$43:$C$76,1),1),ROWS(Tables!$C$43:$C$76)-1))+1)-INDEX(Tables!$C$43:$C$76,MAX(1,MIN(IFERROR(MATCH(AG3,Tables!$C$43:$C$76,1),1),ROWS(Tables!$C$43:$C$76)-1))))))</f>
        <v>0.89796470588235289</v>
      </c>
      <c r="AM3" s="181">
        <f>(INDEX(Tables!$B$80:$B$87,MAX(1,MIN(IFERROR(MATCH(AH3,Tables!$A$80:$A$87,1),1),ROWS(Tables!$A$80:$A$87)-1)))+(AH3-INDEX(Tables!$A$80:$A$87,MAX(1,MIN(IFERROR(MATCH(AH3,Tables!$A$80:$A$87,1),1),ROWS(Tables!$A$80:$A$87)-1))))*(INDEX(Tables!$B$80:$B$87,MAX(1,MIN(IFERROR(MATCH(AH3,Tables!$A$80:$A$87,1),1),ROWS(Tables!$A$80:$A$87)-1))+1)-INDEX(Tables!$B$80:$B$87,MAX(1,MIN(IFERROR(MATCH(AH3,Tables!$A$80:$A$87,1),1),ROWS(Tables!$A$80:$A$87)-1))))/(INDEX(Tables!$A$80:$A$87,MAX(1,MIN(IFERROR(MATCH(AH3,Tables!$A$80:$A$87,1),1),ROWS(Tables!$A$80:$A$87)-1))+1)-INDEX(Tables!$A$80:$A$87,MAX(1,MIN(IFERROR(MATCH(AH3,Tables!$A$80:$A$87,1),1),ROWS(Tables!$A$80:$A$87)-1)))))</f>
        <v>1.2567086956521738</v>
      </c>
      <c r="AN3" s="181">
        <f t="shared" si="7"/>
        <v>2725.6535319160362</v>
      </c>
      <c r="AO3" s="181">
        <f>(INDEX(Tables!$B$91:$B$94,MAX(1,MIN(IFERROR(MATCH(P3,Tables!$A$91:$A$94,1),1),ROWS(Tables!$A$91:$A$94)-1)))+(P3-INDEX(Tables!$A$91:$A$94,MAX(1,MIN(IFERROR(MATCH(P3,Tables!$A$91:$A$94,1),1),ROWS(Tables!$A$91:$A$94)-1))))*(INDEX(Tables!$B$91:$B$94,MAX(1,MIN(IFERROR(MATCH(P3,Tables!$A$91:$A$94,1),1),ROWS(Tables!$A$91:$A$94)-1))+1)-INDEX(Tables!$B$91:$B$94,MAX(1,MIN(IFERROR(MATCH(P3,Tables!$A$91:$A$94,1),1),ROWS(Tables!$A$91:$A$94)-1))))/(INDEX(Tables!$A$91:$A$94,MAX(1,MIN(IFERROR(MATCH(P3,Tables!$A$91:$A$94,1),1),ROWS(Tables!$A$91:$A$94)-1))+1)-INDEX(Tables!$A$91:$A$94,MAX(1,MIN(IFERROR(MATCH(P3,Tables!$A$91:$A$94,1),1),ROWS(Tables!$A$91:$A$94)-1)))))</f>
        <v>1.5</v>
      </c>
      <c r="AP3" s="181">
        <f>IF(AD3=5000,(INDEX(Tables!$B$99:$B$118,MAX(1,MIN(IFERROR(MATCH(AF3,Tables!$A$99:$A$118,1),1),ROWS(Tables!$A$99:$A$118)-1)))+(AF3-INDEX(Tables!$A$99:$A$118,MAX(1,MIN(IFERROR(MATCH(AF3,Tables!$A$99:$A$118,1),1),ROWS(Tables!$A$99:$A$118)-1))))*(INDEX(Tables!$B$99:$B$118,MAX(1,MIN(IFERROR(MATCH(AF3,Tables!$A$99:$A$118,1),1),ROWS(Tables!$A$99:$A$118)-1))+1)-INDEX(Tables!$B$99:$B$118,MAX(1,MIN(IFERROR(MATCH(AF3,Tables!$A$99:$A$118,1),1),ROWS(Tables!$A$99:$A$118)-1))))/(INDEX(Tables!$A$99:$A$118,MAX(1,MIN(IFERROR(MATCH(AF3,Tables!$A$99:$A$118,1),1),ROWS(Tables!$A$99:$A$118)-1))+1)-INDEX(Tables!$A$99:$A$118,MAX(1,MIN(IFERROR(MATCH(AF3,Tables!$A$99:$A$118,1),1),ROWS(Tables!$A$99:$A$118)-1))))),IF(AD3=10000,(INDEX(Tables!$D$99:$D$118,MAX(1,MIN(IFERROR(MATCH(AF3,Tables!$C$99:$C$118,1),1),ROWS(Tables!$C$99:$C$118)-1)))+(AF3-INDEX(Tables!$C$99:$C$118,MAX(1,MIN(IFERROR(MATCH(AF3,Tables!$C$99:$C$118,1),1),ROWS(Tables!$C$99:$C$118)-1))))*(INDEX(Tables!$D$99:$D$118,MAX(1,MIN(IFERROR(MATCH(AF3,Tables!$C$99:$C$118,1),1),ROWS(Tables!$C$99:$C$118)-1))+1)-INDEX(Tables!$D$99:$D$118,MAX(1,MIN(IFERROR(MATCH(AF3,Tables!$C$99:$C$118,1),1),ROWS(Tables!$C$99:$C$118)-1))))/(INDEX(Tables!$C$99:$C$118,MAX(1,MIN(IFERROR(MATCH(AF3,Tables!$C$99:$C$118,1),1),ROWS(Tables!$C$99:$C$118)-1))+1)-INDEX(Tables!$C$99:$C$118,MAX(1,MIN(IFERROR(MATCH(AF3,Tables!$C$99:$C$118,1),1),ROWS(Tables!$C$99:$C$118)-1))))),(INDEX(Tables!$F$99:$F$118,MAX(1,MIN(IFERROR(MATCH(AF3,Tables!$E$99:$E$118,1),1),ROWS(Tables!$E$99:$E$118)-1)))+(AF3-INDEX(Tables!$E$99:$E$118,MAX(1,MIN(IFERROR(MATCH(AF3,Tables!$E$99:$E$118,1),1),ROWS(Tables!$E$99:$E$118)-1))))*(INDEX(Tables!$F$99:$F$118,MAX(1,MIN(IFERROR(MATCH(AF3,Tables!$E$99:$E$118,1),1),ROWS(Tables!$E$99:$E$118)-1))+1)-INDEX(Tables!$F$99:$F$118,MAX(1,MIN(IFERROR(MATCH(AF3,Tables!$E$99:$E$118,1),1),ROWS(Tables!$E$99:$E$118)-1))))/(INDEX(Tables!$E$99:$E$118,MAX(1,MIN(IFERROR(MATCH(AF3,Tables!$E$99:$E$118,1),1),ROWS(Tables!$E$99:$E$118)-1))+1)-INDEX(Tables!$E$99:$E$118,MAX(1,MIN(IFERROR(MATCH(AF3,Tables!$E$99:$E$118,1),1),ROWS(Tables!$E$99:$E$118)-1)))))))</f>
        <v>20.359350986740672</v>
      </c>
      <c r="AQ3" s="181">
        <f>IF(P3&lt;6,(INDEX(Tables!$B$123:$B$138,MAX(1,MIN(IFERROR(MATCH(U3,Tables!$A$123:$A$138,1),1),ROWS(Tables!$A$123:$A$138)-1)))+(U3-INDEX(Tables!$A$123:$A$138,MAX(1,MIN(IFERROR(MATCH(U3,Tables!$A$123:$A$138,1),1),ROWS(Tables!$A$123:$A$138)-1))))*(INDEX(Tables!$B$123:$B$138,MAX(1,MIN(IFERROR(MATCH(U3,Tables!$A$123:$A$138,1),1),ROWS(Tables!$A$123:$A$138)-1))+1)-INDEX(Tables!$B$123:$B$138,MAX(1,MIN(IFERROR(MATCH(U3,Tables!$A$123:$A$138,1),1),ROWS(Tables!$A$123:$A$138)-1))))/(INDEX(Tables!$A$123:$A$138,MAX(1,MIN(IFERROR(MATCH(U3,Tables!$A$123:$A$138,1),1),ROWS(Tables!$A$123:$A$138)-1))+1)-INDEX(Tables!$A$123:$A$138,MAX(1,MIN(IFERROR(MATCH(U3,Tables!$A$123:$A$138,1),1),ROWS(Tables!$A$123:$A$138)-1))))),IF(P3&lt;8,(INDEX(Tables!$D$123:$D$138,MAX(1,MIN(IFERROR(MATCH(U3,Tables!$C$123:$C$138,1),1),ROWS(Tables!$C$123:$C$138)-1)))+(U3-INDEX(Tables!$C$123:$C$138,MAX(1,MIN(IFERROR(MATCH(U3,Tables!$C$123:$C$138,1),1),ROWS(Tables!$C$123:$C$138)-1))))*(INDEX(Tables!$D$123:$D$138,MAX(1,MIN(IFERROR(MATCH(U3,Tables!$C$123:$C$138,1),1),ROWS(Tables!$C$123:$C$138)-1))+1)-INDEX(Tables!$D$123:$D$138,MAX(1,MIN(IFERROR(MATCH(U3,Tables!$C$123:$C$138,1),1),ROWS(Tables!$C$123:$C$138)-1))))/(INDEX(Tables!$C$123:$C$138,MAX(1,MIN(IFERROR(MATCH(U3,Tables!$C$123:$C$138,1),1),ROWS(Tables!$C$123:$C$138)-1))+1)-INDEX(Tables!$C$123:$C$138,MAX(1,MIN(IFERROR(MATCH(U3,Tables!$C$123:$C$138,1),1),ROWS(Tables!$C$123:$C$138)-1))))),IF(P3&lt;10,(INDEX(Tables!$F$123:$F$138,MAX(1,MIN(IFERROR(MATCH(U3,Tables!$E$123:$E$138,1),1),ROWS(Tables!$E$123:$E$138)-1)))+(U3-INDEX(Tables!$E$123:$E$138,MAX(1,MIN(IFERROR(MATCH(U3,Tables!$E$123:$E$138,1),1),ROWS(Tables!$E$123:$E$138)-1))))*(INDEX(Tables!$F$123:$F$138,MAX(1,MIN(IFERROR(MATCH(U3,Tables!$E$123:$E$138,1),1),ROWS(Tables!$E$123:$E$138)-1))+1)-INDEX(Tables!$F$123:$F$138,MAX(1,MIN(IFERROR(MATCH(U3,Tables!$E$123:$E$138,1),1),ROWS(Tables!$E$123:$E$138)-1))))/(INDEX(Tables!$E$123:$E$138,MAX(1,MIN(IFERROR(MATCH(U3,Tables!$E$123:$E$138,1),1),ROWS(Tables!$E$123:$E$138)-1))+1)-INDEX(Tables!$E$123:$E$138,MAX(1,MIN(IFERROR(MATCH(U3,Tables!$E$123:$E$138,1),1),ROWS(Tables!$E$123:$E$138)-1))))),(INDEX(Tables!$H$123:$H$138,MAX(1,MIN(IFERROR(MATCH(U3,Tables!$G$123:$G$138,1),1),ROWS(Tables!$G$123:$G$138)-1)))+(U3-INDEX(Tables!$G$123:$G$138,MAX(1,MIN(IFERROR(MATCH(U3,Tables!$G$123:$G$138,1),1),ROWS(Tables!$G$123:$G$138)-1))))*(INDEX(Tables!$H$123:$H$138,MAX(1,MIN(IFERROR(MATCH(U3,Tables!$G$123:$G$138,1),1),ROWS(Tables!$G$123:$G$138)-1))+1)-INDEX(Tables!$H$123:$H$138,MAX(1,MIN(IFERROR(MATCH(U3,Tables!$G$123:$G$138,1),1),ROWS(Tables!$G$123:$G$138)-1))))/(INDEX(Tables!$G$123:$G$138,MAX(1,MIN(IFERROR(MATCH(U3,Tables!$G$123:$G$138,1),1),ROWS(Tables!$G$123:$G$138)-1))+1)-INDEX(Tables!$G$123:$G$138,MAX(1,MIN(IFERROR(MATCH(U3,Tables!$G$123:$G$138,1),1),ROWS(Tables!$G$123:$G$138)-1))))))))</f>
        <v>1.389875</v>
      </c>
      <c r="AR3" s="181">
        <f>IF(OR(P3&gt;=4,U3&gt;12),VLOOKUP(R3&amp;" "&amp;S3,Tables!$D$143:$F$148,2,FALSE),VLOOKUP(R3&amp;" "&amp;S3,Tables!$A$143:$C$148,2,FALSE))</f>
        <v>1</v>
      </c>
      <c r="AS3" s="181">
        <f>IF(OR(P3&gt;=4,U3&gt;12),VLOOKUP(R3&amp;" "&amp;S3,Tables!$D$143:$F$148,3,FALSE),VLOOKUP(R3&amp;" "&amp;S3,Tables!$A$143:$C$148,3,FALSE))</f>
        <v>0.75</v>
      </c>
      <c r="AT3" s="181">
        <f t="shared" si="8"/>
        <v>2652.8393393152683</v>
      </c>
      <c r="AU3" s="181">
        <f>IF(AD3=5000,(INDEX(Tables!$B$244:$B$263,MAX(1,MIN(IFERROR(MATCH(AF3,Tables!$A$244:$A$263,1),1),ROWS(Tables!$A$244:$A$263)-1)))+(AF3-INDEX(Tables!$A$244:$A$263,MAX(1,MIN(IFERROR(MATCH(AF3,Tables!$A$244:$A$263,1),1),ROWS(Tables!$A$244:$A$263)-1))))*(INDEX(Tables!$B$244:$B$263,MAX(1,MIN(IFERROR(MATCH(AF3,Tables!$A$244:$A$263,1),1),ROWS(Tables!$A$244:$A$263)-1))+1)-INDEX(Tables!$B$244:$B$263,MAX(1,MIN(IFERROR(MATCH(AF3,Tables!$A$244:$A$263,1),1),ROWS(Tables!$A$244:$A$263)-1))))/(INDEX(Tables!$A$244:$A$263,MAX(1,MIN(IFERROR(MATCH(AF3,Tables!$A$244:$A$263,1),1),ROWS(Tables!$A$244:$A$263)-1))+1)-INDEX(Tables!$A$244:$A$263,MAX(1,MIN(IFERROR(MATCH(AF3,Tables!$A$244:$A$263,1),1),ROWS(Tables!$A$244:$A$263)-1))))),IF(AD3=10000,(INDEX(Tables!$D$244:$D$263,MAX(1,MIN(IFERROR(MATCH(AF3,Tables!$C$244:$C$263,1),1),ROWS(Tables!$C$244:$C$263)-1)))+(AF3-INDEX(Tables!$C$244:$C$263,MAX(1,MIN(IFERROR(MATCH(AF3,Tables!$C$244:$C$263,1),1),ROWS(Tables!$C$244:$C$263)-1))))*(INDEX(Tables!$D$244:$D$263,MAX(1,MIN(IFERROR(MATCH(AF3,Tables!$C$244:$C$263,1),1),ROWS(Tables!$C$244:$C$263)-1))+1)-INDEX(Tables!$D$244:$D$263,MAX(1,MIN(IFERROR(MATCH(AF3,Tables!$C$244:$C$263,1),1),ROWS(Tables!$C$244:$C$263)-1))))/(INDEX(Tables!$C$244:$C$263,MAX(1,MIN(IFERROR(MATCH(AF3,Tables!$C$244:$C$263,1),1),ROWS(Tables!$C$244:$C$263)-1))+1)-INDEX(Tables!$C$244:$C$263,MAX(1,MIN(IFERROR(MATCH(AF3,Tables!$C$244:$C$263,1),1),ROWS(Tables!$C$244:$C$263)-1))))),(INDEX(Tables!$F$244:$F$263,MAX(1,MIN(IFERROR(MATCH(AF3,Tables!$E$244:$E$263,1),1),ROWS(Tables!$E$244:$E$263)-1)))+(AF3-INDEX(Tables!$E$244:$E$263,MAX(1,MIN(IFERROR(MATCH(AF3,Tables!$E$244:$E$263,1),1),ROWS(Tables!$E$244:$E$263)-1))))*(INDEX(Tables!$F$244:$F$263,MAX(1,MIN(IFERROR(MATCH(AF3,Tables!$E$244:$E$263,1),1),ROWS(Tables!$E$244:$E$263)-1))+1)-INDEX(Tables!$F$244:$F$263,MAX(1,MIN(IFERROR(MATCH(AF3,Tables!$E$244:$E$263,1),1),ROWS(Tables!$E$244:$E$263)-1))))/(INDEX(Tables!$E$244:$E$263,MAX(1,MIN(IFERROR(MATCH(AF3,Tables!$E$244:$E$263,1),1),ROWS(Tables!$E$244:$E$263)-1))+1)-INDEX(Tables!$E$244:$E$263,MAX(1,MIN(IFERROR(MATCH(AF3,Tables!$E$244:$E$263,1),1),ROWS(Tables!$E$244:$E$263)-1)))))))</f>
        <v>14.734391304347826</v>
      </c>
      <c r="AV3" s="181">
        <f>IF(P3&lt;6,(INDEX(Tables!$B$260:$B$274,MAX(1,MIN(IFERROR(MATCH(U3,Tables!$A$260:$A$274,1),1),ROWS(Tables!$A$260:$A$274)-1)))+(U3-INDEX(Tables!$A$260:$A$274,MAX(1,MIN(IFERROR(MATCH(U3,Tables!$A$260:$A$274,1),1),ROWS(Tables!$A$260:$A$274)-1))))*(INDEX(Tables!$B$260:$B$274,MAX(1,MIN(IFERROR(MATCH(U3,Tables!$A$260:$A$274,1),1),ROWS(Tables!$A$260:$A$274)-1))+1)-INDEX(Tables!$B$260:$B$274,MAX(1,MIN(IFERROR(MATCH(U3,Tables!$A$260:$A$274,1),1),ROWS(Tables!$A$260:$A$274)-1))))/(INDEX(Tables!$A$260:$A$274,MAX(1,MIN(IFERROR(MATCH(U3,Tables!$A$260:$A$274,1),1),ROWS(Tables!$A$260:$A$274)-1))+1)-INDEX(Tables!$A$260:$A$274,MAX(1,MIN(IFERROR(MATCH(U3,Tables!$A$260:$A$274,1),1),ROWS(Tables!$A$260:$A$274)-1))))),IF(P3&lt;8,(INDEX(Tables!$D$260:$D$274,MAX(1,MIN(IFERROR(MATCH(U3,Tables!$C$260:$C$274,1),1),ROWS(Tables!$C$260:$C$274)-1)))+(U3-INDEX(Tables!$C$260:$C$274,MAX(1,MIN(IFERROR(MATCH(U3,Tables!$C$260:$C$274,1),1),ROWS(Tables!$C$260:$C$274)-1))))*(INDEX(Tables!$D$260:$D$274,MAX(1,MIN(IFERROR(MATCH(U3,Tables!$C$260:$C$274,1),1),ROWS(Tables!$C$260:$C$274)-1))+1)-INDEX(Tables!$D$260:$D$274,MAX(1,MIN(IFERROR(MATCH(U3,Tables!$C$260:$C$274,1),1),ROWS(Tables!$C$260:$C$274)-1))))/(INDEX(Tables!$C$260:$C$274,MAX(1,MIN(IFERROR(MATCH(U3,Tables!$C$260:$C$274,1),1),ROWS(Tables!$C$260:$C$274)-1))+1)-INDEX(Tables!$C$260:$C$274,MAX(1,MIN(IFERROR(MATCH(U3,Tables!$C$260:$C$274,1),1),ROWS(Tables!$C$260:$C$274)-1))))),IF(P3&lt;10,(INDEX(Tables!$F$260:$F$274,MAX(1,MIN(IFERROR(MATCH(U3,Tables!$E$260:$E$274,1),1),ROWS(Tables!$E$260:$E$274)-1)))+(U3-INDEX(Tables!$E$260:$E$274,MAX(1,MIN(IFERROR(MATCH(U3,Tables!$E$260:$E$274,1),1),ROWS(Tables!$E$260:$E$274)-1))))*(INDEX(Tables!$F$260:$F$274,MAX(1,MIN(IFERROR(MATCH(U3,Tables!$E$260:$E$274,1),1),ROWS(Tables!$E$260:$E$274)-1))+1)-INDEX(Tables!$F$260:$F$274,MAX(1,MIN(IFERROR(MATCH(U3,Tables!$E$260:$E$274,1),1),ROWS(Tables!$E$260:$E$274)-1))))/(INDEX(Tables!$E$260:$E$274,MAX(1,MIN(IFERROR(MATCH(U3,Tables!$E$260:$E$274,1),1),ROWS(Tables!$E$260:$E$274)-1))+1)-INDEX(Tables!$E$260:$E$274,MAX(1,MIN(IFERROR(MATCH(U3,Tables!$E$260:$E$274,1),1),ROWS(Tables!$E$260:$E$274)-1))))),(INDEX(Tables!$H$260:$H$274,MAX(1,MIN(IFERROR(MATCH(U3,Tables!$G$260:$G$274,1),1),ROWS(Tables!$G$260:$G$274)-1)))+(U3-INDEX(Tables!$G$260:$G$274,MAX(1,MIN(IFERROR(MATCH(U3,Tables!$G$260:$G$274,1),1),ROWS(Tables!$G$260:$G$274)-1))))*(INDEX(Tables!$H$260:$H$274,MAX(1,MIN(IFERROR(MATCH(U3,Tables!$G$260:$G$274,1),1),ROWS(Tables!$G$260:$G$274)-1))+1)-INDEX(Tables!$H$260:$H$274,MAX(1,MIN(IFERROR(MATCH(U3,Tables!$G$260:$G$274,1),1),ROWS(Tables!$G$260:$G$274)-1))))/(INDEX(Tables!$G$260:$G$274,MAX(1,MIN(IFERROR(MATCH(U3,Tables!$G$260:$G$274,1),1),ROWS(Tables!$G$260:$G$274)-1))+1)-INDEX(Tables!$G$260:$G$274,MAX(1,MIN(IFERROR(MATCH(U3,Tables!$G$260:$G$274,1),1),ROWS(Tables!$G$260:$G$274)-1))))))))</f>
        <v>1.3123750000000001</v>
      </c>
      <c r="AW3" s="181">
        <f t="shared" si="9"/>
        <v>1812.8481363790763</v>
      </c>
      <c r="AX3" s="181">
        <f t="shared" si="10"/>
        <v>-421.84530405405411</v>
      </c>
      <c r="AY3" s="181">
        <f t="shared" si="11"/>
        <v>4956.6475671772505</v>
      </c>
      <c r="AZ3" s="181">
        <f t="shared" si="12"/>
        <v>2503.9906047376708</v>
      </c>
      <c r="BA3" s="181">
        <f t="shared" si="13"/>
        <v>14.73</v>
      </c>
      <c r="BB3" s="181">
        <f t="shared" si="14"/>
        <v>4279.8652884452695</v>
      </c>
      <c r="BC3" s="181">
        <f t="shared" si="15"/>
        <v>46800</v>
      </c>
      <c r="BD3" s="181">
        <f>VLOOKUP(V3&amp;" "&amp;J3,Tables!$A$152:$E$239,4,FALSE)</f>
        <v>12000</v>
      </c>
      <c r="BE3" s="181">
        <f>VLOOKUP(V3&amp;" "&amp;J3,Tables!$A$152:$E$239,5,FALSE)</f>
        <v>23000</v>
      </c>
      <c r="BF3" s="181">
        <f t="shared" si="16"/>
        <v>8640</v>
      </c>
      <c r="BG3" s="181">
        <f t="shared" si="17"/>
        <v>16560</v>
      </c>
      <c r="BH3" s="181">
        <f t="shared" si="18"/>
        <v>-429.21030405405406</v>
      </c>
      <c r="BI3" s="181">
        <f t="shared" si="19"/>
        <v>46800</v>
      </c>
      <c r="BJ3" s="181">
        <f t="shared" si="20"/>
        <v>4279.8652884452695</v>
      </c>
      <c r="BK3" s="181">
        <f t="shared" si="21"/>
        <v>46800</v>
      </c>
      <c r="BL3" s="181">
        <f t="shared" si="22"/>
        <v>1812.8481363790763</v>
      </c>
      <c r="BM3" s="181">
        <f t="shared" si="23"/>
        <v>8640</v>
      </c>
      <c r="BN3" s="181">
        <f t="shared" si="24"/>
        <v>2652.8393393152683</v>
      </c>
      <c r="BO3" s="181">
        <f t="shared" si="25"/>
        <v>16560</v>
      </c>
      <c r="BP3" t="str">
        <f t="shared" si="26"/>
        <v>Pass</v>
      </c>
      <c r="BQ3" t="str">
        <f t="shared" si="27"/>
        <v>Pass</v>
      </c>
      <c r="BR3" t="str">
        <f t="shared" si="28"/>
        <v>Pass</v>
      </c>
      <c r="BS3" t="str">
        <f t="shared" si="29"/>
        <v>Pass</v>
      </c>
      <c r="BT3" t="str">
        <f t="shared" si="30"/>
        <v>Pass</v>
      </c>
      <c r="BU3" t="str">
        <f t="shared" si="31"/>
        <v>Girth Weld Stress</v>
      </c>
    </row>
    <row r="4" spans="1:73">
      <c r="A4" t="s">
        <v>596</v>
      </c>
      <c r="B4" s="181">
        <v>2</v>
      </c>
      <c r="C4" t="s">
        <v>594</v>
      </c>
      <c r="D4" s="181">
        <v>12</v>
      </c>
      <c r="E4" s="181">
        <v>0.18</v>
      </c>
      <c r="F4" t="s">
        <v>117</v>
      </c>
      <c r="G4" t="s">
        <v>119</v>
      </c>
      <c r="H4" t="s">
        <v>122</v>
      </c>
      <c r="I4" s="181">
        <v>1</v>
      </c>
      <c r="J4" t="s">
        <v>126</v>
      </c>
      <c r="K4" t="s">
        <v>129</v>
      </c>
      <c r="L4" s="181">
        <v>70</v>
      </c>
      <c r="M4" s="181">
        <v>-14.73</v>
      </c>
      <c r="N4" t="s">
        <v>388</v>
      </c>
      <c r="O4" s="181">
        <v>120</v>
      </c>
      <c r="P4" s="181">
        <v>6</v>
      </c>
      <c r="Q4" s="181">
        <v>14.75</v>
      </c>
      <c r="R4" t="s">
        <v>154</v>
      </c>
      <c r="S4" t="s">
        <v>420</v>
      </c>
      <c r="T4" s="181">
        <v>70</v>
      </c>
      <c r="U4" s="181">
        <f>HLOOKUP(D4,'Highway Loading'!$C$155:$AD$156,2,FALSE)</f>
        <v>12.75</v>
      </c>
      <c r="V4" s="181">
        <f>IF(ISBLANK(G4),"",INDEX('Highway Loading'!$C$216:$AG$216,1,MATCH(G4,'Highway Loading'!$C$215:$AG$215,0)))</f>
        <v>65000</v>
      </c>
      <c r="W4" s="181">
        <f>INDEX('Highway Loading'!$I$245:$L$253,MATCH(H4,'Highway Loading'!$H$245:$H$253,0),MATCH(I4,'Highway Loading'!$I$244:$L$244,0))</f>
        <v>0.72</v>
      </c>
      <c r="X4" s="181">
        <f t="shared" si="0"/>
        <v>1</v>
      </c>
      <c r="Y4" s="181">
        <f>VLOOKUP(K4,'Highway Loading'!$B$283:$E$292,2,FALSE)</f>
        <v>29000000</v>
      </c>
      <c r="Z4" s="181">
        <f>VLOOKUP(K4,'Highway Loading'!$B$283:$E$292,3,FALSE)</f>
        <v>0.3</v>
      </c>
      <c r="AA4" s="181">
        <f>VLOOKUP(K4,'Highway Loading'!$B$283:$E$292,4,FALSE)</f>
        <v>6.4999999999999996E-6</v>
      </c>
      <c r="AB4" s="181">
        <f t="shared" si="1"/>
        <v>1</v>
      </c>
      <c r="AC4" s="181">
        <f>VLOOKUP(N4,'Highway Loading'!$B$256:$D$261,2,FALSE)</f>
        <v>200</v>
      </c>
      <c r="AD4" s="181">
        <f>VLOOKUP(N4,'Highway Loading'!$B$256:$D$261,3,FALSE)</f>
        <v>5000</v>
      </c>
      <c r="AE4" s="181">
        <f>VLOOKUP(S4,'Highway Loading'!$B$340:$C$341,2,FALSE)</f>
        <v>12000</v>
      </c>
      <c r="AF4" s="181">
        <f t="shared" si="2"/>
        <v>1.4117647058823528E-2</v>
      </c>
      <c r="AG4" s="181">
        <f t="shared" si="3"/>
        <v>4.8813559322033901</v>
      </c>
      <c r="AH4" s="181">
        <f t="shared" si="4"/>
        <v>1.1568627450980393</v>
      </c>
      <c r="AI4" s="181">
        <f t="shared" si="5"/>
        <v>-521.6875</v>
      </c>
      <c r="AJ4" s="181">
        <f t="shared" si="6"/>
        <v>46800</v>
      </c>
      <c r="AK4" s="181">
        <f>IF(AC4=200,(INDEX(Tables!$B$17:$B$38,MAX(1,MIN(IFERROR(MATCH(AF4,Tables!$A$17:$A$38,1),1),ROWS(Tables!$A$17:$A$38)-1)))+(AF4-INDEX(Tables!$A$17:$A$38,MAX(1,MIN(IFERROR(MATCH(AF4,Tables!$A$17:$A$38,1),1),ROWS(Tables!$A$17:$A$38)-1))))*(INDEX(Tables!$B$17:$B$38,MAX(1,MIN(IFERROR(MATCH(AF4,Tables!$A$17:$A$38,1),1),ROWS(Tables!$A$17:$A$38)-1))+1)-INDEX(Tables!$B$17:$B$38,MAX(1,MIN(IFERROR(MATCH(AF4,Tables!$A$17:$A$38,1),1),ROWS(Tables!$A$17:$A$38)-1))))/(INDEX(Tables!$A$17:$A$38,MAX(1,MIN(IFERROR(MATCH(AF4,Tables!$A$17:$A$38,1),1),ROWS(Tables!$A$17:$A$38)-1))+1)-INDEX(Tables!$A$17:$A$38,MAX(1,MIN(IFERROR(MATCH(AF4,Tables!$A$17:$A$38,1),1),ROWS(Tables!$A$17:$A$38)-1))))),IF(AC4=500,(INDEX(Tables!$D$17:$D$38,MAX(1,MIN(IFERROR(MATCH(AF4,Tables!$C$17:$C$38,1),1),ROWS(Tables!$C$17:$C$38)-1)))+(AF4-INDEX(Tables!$C$17:$C$38,MAX(1,MIN(IFERROR(MATCH(AF4,Tables!$C$17:$C$38,1),1),ROWS(Tables!$C$17:$C$38)-1))))*(INDEX(Tables!$D$17:$D$38,MAX(1,MIN(IFERROR(MATCH(AF4,Tables!$C$17:$C$38,1),1),ROWS(Tables!$C$17:$C$38)-1))+1)-INDEX(Tables!$D$17:$D$38,MAX(1,MIN(IFERROR(MATCH(AF4,Tables!$C$17:$C$38,1),1),ROWS(Tables!$C$17:$C$38)-1))))/(INDEX(Tables!$C$17:$C$38,MAX(1,MIN(IFERROR(MATCH(AF4,Tables!$C$17:$C$38,1),1),ROWS(Tables!$C$17:$C$38)-1))+1)-INDEX(Tables!$C$17:$C$38,MAX(1,MIN(IFERROR(MATCH(AF4,Tables!$C$17:$C$38,1),1),ROWS(Tables!$C$17:$C$38)-1))))),IF(AC4=1000,(INDEX(Tables!$F$17:$F$38,MAX(1,MIN(IFERROR(MATCH(AF4,Tables!$E$17:$E$38,1),1),ROWS(Tables!$E$17:$E$38)-1)))+(AF4-INDEX(Tables!$E$17:$E$38,MAX(1,MIN(IFERROR(MATCH(AF4,Tables!$E$17:$E$38,1),1),ROWS(Tables!$E$17:$E$38)-1))))*(INDEX(Tables!$F$17:$F$38,MAX(1,MIN(IFERROR(MATCH(AF4,Tables!$E$17:$E$38,1),1),ROWS(Tables!$E$17:$E$38)-1))+1)-INDEX(Tables!$F$17:$F$38,MAX(1,MIN(IFERROR(MATCH(AF4,Tables!$E$17:$E$38,1),1),ROWS(Tables!$E$17:$E$38)-1))))/(INDEX(Tables!$E$17:$E$38,MAX(1,MIN(IFERROR(MATCH(AF4,Tables!$E$17:$E$38,1),1),ROWS(Tables!$E$17:$E$38)-1))+1)-INDEX(Tables!$E$17:$E$38,MAX(1,MIN(IFERROR(MATCH(AF4,Tables!$E$17:$E$38,1),1),ROWS(Tables!$E$17:$E$38)-1))))),(INDEX(Tables!$H$17:$H$38,MAX(1,MIN(IFERROR(MATCH(AF4,Tables!$G$17:$G$38,1),1),ROWS(Tables!$G$17:$G$38)-1)))+(AF4-INDEX(Tables!$G$17:$G$38,MAX(1,MIN(IFERROR(MATCH(AF4,Tables!$G$17:$G$38,1),1),ROWS(Tables!$G$17:$G$38)-1))))*(INDEX(Tables!$H$17:$H$38,MAX(1,MIN(IFERROR(MATCH(AF4,Tables!$G$17:$G$38,1),1),ROWS(Tables!$G$17:$G$38)-1))+1)-INDEX(Tables!$H$17:$H$38,MAX(1,MIN(IFERROR(MATCH(AF4,Tables!$G$17:$G$38,1),1),ROWS(Tables!$G$17:$G$38)-1))))/(INDEX(Tables!$G$17:$G$38,MAX(1,MIN(IFERROR(MATCH(AF4,Tables!$G$17:$G$38,1),1),ROWS(Tables!$G$17:$G$38)-1))+1)-INDEX(Tables!$G$17:$G$38,MAX(1,MIN(IFERROR(MATCH(AF4,Tables!$G$17:$G$38,1),1),ROWS(Tables!$G$17:$G$38)-1))))))))</f>
        <v>5469.8235294117658</v>
      </c>
      <c r="AL4" s="181">
        <f>IF(AC4&lt;1000,(INDEX(Tables!$B$43:$B$76,MAX(1,MIN(IFERROR(MATCH(AG4,Tables!$A$43:$A$76,1),1),ROWS(Tables!$A$43:$A$76)-1)))+(AG4-INDEX(Tables!$A$43:$A$76,MAX(1,MIN(IFERROR(MATCH(AG4,Tables!$A$43:$A$76,1),1),ROWS(Tables!$A$43:$A$76)-1))))*(INDEX(Tables!$B$43:$B$76,MAX(1,MIN(IFERROR(MATCH(AG4,Tables!$A$43:$A$76,1),1),ROWS(Tables!$A$43:$A$76)-1))+1)-INDEX(Tables!$B$43:$B$76,MAX(1,MIN(IFERROR(MATCH(AG4,Tables!$A$43:$A$76,1),1),ROWS(Tables!$A$43:$A$76)-1))))/(INDEX(Tables!$A$43:$A$76,MAX(1,MIN(IFERROR(MATCH(AG4,Tables!$A$43:$A$76,1),1),ROWS(Tables!$A$43:$A$76)-1))+1)-INDEX(Tables!$A$43:$A$76,MAX(1,MIN(IFERROR(MATCH(AG4,Tables!$A$43:$A$76,1),1),ROWS(Tables!$A$43:$A$76)-1))))),(INDEX(Tables!$D$43:$D$76,MAX(1,MIN(IFERROR(MATCH(AG4,Tables!$C$43:$C$76,1),1),ROWS(Tables!$C$43:$C$76)-1)))+(AG4-INDEX(Tables!$C$43:$C$76,MAX(1,MIN(IFERROR(MATCH(AG4,Tables!$C$43:$C$76,1),1),ROWS(Tables!$C$43:$C$76)-1))))*(INDEX(Tables!$D$43:$D$76,MAX(1,MIN(IFERROR(MATCH(AG4,Tables!$C$43:$C$76,1),1),ROWS(Tables!$C$43:$C$76)-1))+1)-INDEX(Tables!$D$43:$D$76,MAX(1,MIN(IFERROR(MATCH(AG4,Tables!$C$43:$C$76,1),1),ROWS(Tables!$C$43:$C$76)-1))))/(INDEX(Tables!$C$43:$C$76,MAX(1,MIN(IFERROR(MATCH(AG4,Tables!$C$43:$C$76,1),1),ROWS(Tables!$C$43:$C$76)-1))+1)-INDEX(Tables!$C$43:$C$76,MAX(1,MIN(IFERROR(MATCH(AG4,Tables!$C$43:$C$76,1),1),ROWS(Tables!$C$43:$C$76)-1))))))</f>
        <v>1.0658474576271186</v>
      </c>
      <c r="AM4" s="181">
        <f>(INDEX(Tables!$B$80:$B$87,MAX(1,MIN(IFERROR(MATCH(AH4,Tables!$A$80:$A$87,1),1),ROWS(Tables!$A$80:$A$87)-1)))+(AH4-INDEX(Tables!$A$80:$A$87,MAX(1,MIN(IFERROR(MATCH(AH4,Tables!$A$80:$A$87,1),1),ROWS(Tables!$A$80:$A$87)-1))))*(INDEX(Tables!$B$80:$B$87,MAX(1,MIN(IFERROR(MATCH(AH4,Tables!$A$80:$A$87,1),1),ROWS(Tables!$A$80:$A$87)-1))+1)-INDEX(Tables!$B$80:$B$87,MAX(1,MIN(IFERROR(MATCH(AH4,Tables!$A$80:$A$87,1),1),ROWS(Tables!$A$80:$A$87)-1))))/(INDEX(Tables!$A$80:$A$87,MAX(1,MIN(IFERROR(MATCH(AH4,Tables!$A$80:$A$87,1),1),ROWS(Tables!$A$80:$A$87)-1))+1)-INDEX(Tables!$A$80:$A$87,MAX(1,MIN(IFERROR(MATCH(AH4,Tables!$A$80:$A$87,1),1),ROWS(Tables!$A$80:$A$87)-1)))))</f>
        <v>1.1041078431372553</v>
      </c>
      <c r="AN4" s="181">
        <f t="shared" si="7"/>
        <v>5699.3792424757448</v>
      </c>
      <c r="AO4" s="181">
        <f>(INDEX(Tables!$B$91:$B$94,MAX(1,MIN(IFERROR(MATCH(P4,Tables!$A$91:$A$94,1),1),ROWS(Tables!$A$91:$A$94)-1)))+(P4-INDEX(Tables!$A$91:$A$94,MAX(1,MIN(IFERROR(MATCH(P4,Tables!$A$91:$A$94,1),1),ROWS(Tables!$A$91:$A$94)-1))))*(INDEX(Tables!$B$91:$B$94,MAX(1,MIN(IFERROR(MATCH(P4,Tables!$A$91:$A$94,1),1),ROWS(Tables!$A$91:$A$94)-1))+1)-INDEX(Tables!$B$91:$B$94,MAX(1,MIN(IFERROR(MATCH(P4,Tables!$A$91:$A$94,1),1),ROWS(Tables!$A$91:$A$94)-1))))/(INDEX(Tables!$A$91:$A$94,MAX(1,MIN(IFERROR(MATCH(P4,Tables!$A$91:$A$94,1),1),ROWS(Tables!$A$91:$A$94)-1))+1)-INDEX(Tables!$A$91:$A$94,MAX(1,MIN(IFERROR(MATCH(P4,Tables!$A$91:$A$94,1),1),ROWS(Tables!$A$91:$A$94)-1)))))</f>
        <v>1.476219512195122</v>
      </c>
      <c r="AP4" s="181">
        <f>IF(AD4=5000,(INDEX(Tables!$B$99:$B$118,MAX(1,MIN(IFERROR(MATCH(AF4,Tables!$A$99:$A$118,1),1),ROWS(Tables!$A$99:$A$118)-1)))+(AF4-INDEX(Tables!$A$99:$A$118,MAX(1,MIN(IFERROR(MATCH(AF4,Tables!$A$99:$A$118,1),1),ROWS(Tables!$A$99:$A$118)-1))))*(INDEX(Tables!$B$99:$B$118,MAX(1,MIN(IFERROR(MATCH(AF4,Tables!$A$99:$A$118,1),1),ROWS(Tables!$A$99:$A$118)-1))+1)-INDEX(Tables!$B$99:$B$118,MAX(1,MIN(IFERROR(MATCH(AF4,Tables!$A$99:$A$118,1),1),ROWS(Tables!$A$99:$A$118)-1))))/(INDEX(Tables!$A$99:$A$118,MAX(1,MIN(IFERROR(MATCH(AF4,Tables!$A$99:$A$118,1),1),ROWS(Tables!$A$99:$A$118)-1))+1)-INDEX(Tables!$A$99:$A$118,MAX(1,MIN(IFERROR(MATCH(AF4,Tables!$A$99:$A$118,1),1),ROWS(Tables!$A$99:$A$118)-1))))),IF(AD4=10000,(INDEX(Tables!$D$99:$D$118,MAX(1,MIN(IFERROR(MATCH(AF4,Tables!$C$99:$C$118,1),1),ROWS(Tables!$C$99:$C$118)-1)))+(AF4-INDEX(Tables!$C$99:$C$118,MAX(1,MIN(IFERROR(MATCH(AF4,Tables!$C$99:$C$118,1),1),ROWS(Tables!$C$99:$C$118)-1))))*(INDEX(Tables!$D$99:$D$118,MAX(1,MIN(IFERROR(MATCH(AF4,Tables!$C$99:$C$118,1),1),ROWS(Tables!$C$99:$C$118)-1))+1)-INDEX(Tables!$D$99:$D$118,MAX(1,MIN(IFERROR(MATCH(AF4,Tables!$C$99:$C$118,1),1),ROWS(Tables!$C$99:$C$118)-1))))/(INDEX(Tables!$C$99:$C$118,MAX(1,MIN(IFERROR(MATCH(AF4,Tables!$C$99:$C$118,1),1),ROWS(Tables!$C$99:$C$118)-1))+1)-INDEX(Tables!$C$99:$C$118,MAX(1,MIN(IFERROR(MATCH(AF4,Tables!$C$99:$C$118,1),1),ROWS(Tables!$C$99:$C$118)-1))))),(INDEX(Tables!$F$99:$F$118,MAX(1,MIN(IFERROR(MATCH(AF4,Tables!$E$99:$E$118,1),1),ROWS(Tables!$E$99:$E$118)-1)))+(AF4-INDEX(Tables!$E$99:$E$118,MAX(1,MIN(IFERROR(MATCH(AF4,Tables!$E$99:$E$118,1),1),ROWS(Tables!$E$99:$E$118)-1))))*(INDEX(Tables!$F$99:$F$118,MAX(1,MIN(IFERROR(MATCH(AF4,Tables!$E$99:$E$118,1),1),ROWS(Tables!$E$99:$E$118)-1))+1)-INDEX(Tables!$F$99:$F$118,MAX(1,MIN(IFERROR(MATCH(AF4,Tables!$E$99:$E$118,1),1),ROWS(Tables!$E$99:$E$118)-1))))/(INDEX(Tables!$E$99:$E$118,MAX(1,MIN(IFERROR(MATCH(AF4,Tables!$E$99:$E$118,1),1),ROWS(Tables!$E$99:$E$118)-1))+1)-INDEX(Tables!$E$99:$E$118,MAX(1,MIN(IFERROR(MATCH(AF4,Tables!$E$99:$E$118,1),1),ROWS(Tables!$E$99:$E$118)-1)))))))</f>
        <v>20.670682673069226</v>
      </c>
      <c r="AQ4" s="181">
        <f>IF(P4&lt;6,(INDEX(Tables!$B$123:$B$138,MAX(1,MIN(IFERROR(MATCH(U4,Tables!$A$123:$A$138,1),1),ROWS(Tables!$A$123:$A$138)-1)))+(U4-INDEX(Tables!$A$123:$A$138,MAX(1,MIN(IFERROR(MATCH(U4,Tables!$A$123:$A$138,1),1),ROWS(Tables!$A$123:$A$138)-1))))*(INDEX(Tables!$B$123:$B$138,MAX(1,MIN(IFERROR(MATCH(U4,Tables!$A$123:$A$138,1),1),ROWS(Tables!$A$123:$A$138)-1))+1)-INDEX(Tables!$B$123:$B$138,MAX(1,MIN(IFERROR(MATCH(U4,Tables!$A$123:$A$138,1),1),ROWS(Tables!$A$123:$A$138)-1))))/(INDEX(Tables!$A$123:$A$138,MAX(1,MIN(IFERROR(MATCH(U4,Tables!$A$123:$A$138,1),1),ROWS(Tables!$A$123:$A$138)-1))+1)-INDEX(Tables!$A$123:$A$138,MAX(1,MIN(IFERROR(MATCH(U4,Tables!$A$123:$A$138,1),1),ROWS(Tables!$A$123:$A$138)-1))))),IF(P4&lt;8,(INDEX(Tables!$D$123:$D$138,MAX(1,MIN(IFERROR(MATCH(U4,Tables!$C$123:$C$138,1),1),ROWS(Tables!$C$123:$C$138)-1)))+(U4-INDEX(Tables!$C$123:$C$138,MAX(1,MIN(IFERROR(MATCH(U4,Tables!$C$123:$C$138,1),1),ROWS(Tables!$C$123:$C$138)-1))))*(INDEX(Tables!$D$123:$D$138,MAX(1,MIN(IFERROR(MATCH(U4,Tables!$C$123:$C$138,1),1),ROWS(Tables!$C$123:$C$138)-1))+1)-INDEX(Tables!$D$123:$D$138,MAX(1,MIN(IFERROR(MATCH(U4,Tables!$C$123:$C$138,1),1),ROWS(Tables!$C$123:$C$138)-1))))/(INDEX(Tables!$C$123:$C$138,MAX(1,MIN(IFERROR(MATCH(U4,Tables!$C$123:$C$138,1),1),ROWS(Tables!$C$123:$C$138)-1))+1)-INDEX(Tables!$C$123:$C$138,MAX(1,MIN(IFERROR(MATCH(U4,Tables!$C$123:$C$138,1),1),ROWS(Tables!$C$123:$C$138)-1))))),IF(P4&lt;10,(INDEX(Tables!$F$123:$F$138,MAX(1,MIN(IFERROR(MATCH(U4,Tables!$E$123:$E$138,1),1),ROWS(Tables!$E$123:$E$138)-1)))+(U4-INDEX(Tables!$E$123:$E$138,MAX(1,MIN(IFERROR(MATCH(U4,Tables!$E$123:$E$138,1),1),ROWS(Tables!$E$123:$E$138)-1))))*(INDEX(Tables!$F$123:$F$138,MAX(1,MIN(IFERROR(MATCH(U4,Tables!$E$123:$E$138,1),1),ROWS(Tables!$E$123:$E$138)-1))+1)-INDEX(Tables!$F$123:$F$138,MAX(1,MIN(IFERROR(MATCH(U4,Tables!$E$123:$E$138,1),1),ROWS(Tables!$E$123:$E$138)-1))))/(INDEX(Tables!$E$123:$E$138,MAX(1,MIN(IFERROR(MATCH(U4,Tables!$E$123:$E$138,1),1),ROWS(Tables!$E$123:$E$138)-1))+1)-INDEX(Tables!$E$123:$E$138,MAX(1,MIN(IFERROR(MATCH(U4,Tables!$E$123:$E$138,1),1),ROWS(Tables!$E$123:$E$138)-1))))),(INDEX(Tables!$H$123:$H$138,MAX(1,MIN(IFERROR(MATCH(U4,Tables!$G$123:$G$138,1),1),ROWS(Tables!$G$123:$G$138)-1)))+(U4-INDEX(Tables!$G$123:$G$138,MAX(1,MIN(IFERROR(MATCH(U4,Tables!$G$123:$G$138,1),1),ROWS(Tables!$G$123:$G$138)-1))))*(INDEX(Tables!$H$123:$H$138,MAX(1,MIN(IFERROR(MATCH(U4,Tables!$G$123:$G$138,1),1),ROWS(Tables!$G$123:$G$138)-1))+1)-INDEX(Tables!$H$123:$H$138,MAX(1,MIN(IFERROR(MATCH(U4,Tables!$G$123:$G$138,1),1),ROWS(Tables!$G$123:$G$138)-1))))/(INDEX(Tables!$G$123:$G$138,MAX(1,MIN(IFERROR(MATCH(U4,Tables!$G$123:$G$138,1),1),ROWS(Tables!$G$123:$G$138)-1))+1)-INDEX(Tables!$G$123:$G$138,MAX(1,MIN(IFERROR(MATCH(U4,Tables!$G$123:$G$138,1),1),ROWS(Tables!$G$123:$G$138)-1))))))))</f>
        <v>1.01675</v>
      </c>
      <c r="AR4" s="181">
        <f>IF(OR(P4&gt;=4,U4&gt;12),VLOOKUP(R4&amp;" "&amp;S4,Tables!$D$143:$F$148,2,FALSE),VLOOKUP(R4&amp;" "&amp;S4,Tables!$A$143:$C$148,2,FALSE))</f>
        <v>1</v>
      </c>
      <c r="AS4" s="181">
        <f>IF(OR(P4&gt;=4,U4&gt;12),VLOOKUP(R4&amp;" "&amp;S4,Tables!$D$143:$F$148,3,FALSE),VLOOKUP(R4&amp;" "&amp;S4,Tables!$A$143:$C$148,3,FALSE))</f>
        <v>0.65</v>
      </c>
      <c r="AT4" s="181">
        <f t="shared" si="8"/>
        <v>1680.5523790616035</v>
      </c>
      <c r="AU4" s="181">
        <f>IF(AD4=5000,(INDEX(Tables!$B$244:$B$263,MAX(1,MIN(IFERROR(MATCH(AF4,Tables!$A$244:$A$263,1),1),ROWS(Tables!$A$244:$A$263)-1)))+(AF4-INDEX(Tables!$A$244:$A$263,MAX(1,MIN(IFERROR(MATCH(AF4,Tables!$A$244:$A$263,1),1),ROWS(Tables!$A$244:$A$263)-1))))*(INDEX(Tables!$B$244:$B$263,MAX(1,MIN(IFERROR(MATCH(AF4,Tables!$A$244:$A$263,1),1),ROWS(Tables!$A$244:$A$263)-1))+1)-INDEX(Tables!$B$244:$B$263,MAX(1,MIN(IFERROR(MATCH(AF4,Tables!$A$244:$A$263,1),1),ROWS(Tables!$A$244:$A$263)-1))))/(INDEX(Tables!$A$244:$A$263,MAX(1,MIN(IFERROR(MATCH(AF4,Tables!$A$244:$A$263,1),1),ROWS(Tables!$A$244:$A$263)-1))+1)-INDEX(Tables!$A$244:$A$263,MAX(1,MIN(IFERROR(MATCH(AF4,Tables!$A$244:$A$263,1),1),ROWS(Tables!$A$244:$A$263)-1))))),IF(AD4=10000,(INDEX(Tables!$D$244:$D$263,MAX(1,MIN(IFERROR(MATCH(AF4,Tables!$C$244:$C$263,1),1),ROWS(Tables!$C$244:$C$263)-1)))+(AF4-INDEX(Tables!$C$244:$C$263,MAX(1,MIN(IFERROR(MATCH(AF4,Tables!$C$244:$C$263,1),1),ROWS(Tables!$C$244:$C$263)-1))))*(INDEX(Tables!$D$244:$D$263,MAX(1,MIN(IFERROR(MATCH(AF4,Tables!$C$244:$C$263,1),1),ROWS(Tables!$C$244:$C$263)-1))+1)-INDEX(Tables!$D$244:$D$263,MAX(1,MIN(IFERROR(MATCH(AF4,Tables!$C$244:$C$263,1),1),ROWS(Tables!$C$244:$C$263)-1))))/(INDEX(Tables!$C$244:$C$263,MAX(1,MIN(IFERROR(MATCH(AF4,Tables!$C$244:$C$263,1),1),ROWS(Tables!$C$244:$C$263)-1))+1)-INDEX(Tables!$C$244:$C$263,MAX(1,MIN(IFERROR(MATCH(AF4,Tables!$C$244:$C$263,1),1),ROWS(Tables!$C$244:$C$263)-1))))),(INDEX(Tables!$F$244:$F$263,MAX(1,MIN(IFERROR(MATCH(AF4,Tables!$E$244:$E$263,1),1),ROWS(Tables!$E$244:$E$263)-1)))+(AF4-INDEX(Tables!$E$244:$E$263,MAX(1,MIN(IFERROR(MATCH(AF4,Tables!$E$244:$E$263,1),1),ROWS(Tables!$E$244:$E$263)-1))))*(INDEX(Tables!$F$244:$F$263,MAX(1,MIN(IFERROR(MATCH(AF4,Tables!$E$244:$E$263,1),1),ROWS(Tables!$E$244:$E$263)-1))+1)-INDEX(Tables!$F$244:$F$263,MAX(1,MIN(IFERROR(MATCH(AF4,Tables!$E$244:$E$263,1),1),ROWS(Tables!$E$244:$E$263)-1))))/(INDEX(Tables!$E$244:$E$263,MAX(1,MIN(IFERROR(MATCH(AF4,Tables!$E$244:$E$263,1),1),ROWS(Tables!$E$244:$E$263)-1))+1)-INDEX(Tables!$E$244:$E$263,MAX(1,MIN(IFERROR(MATCH(AF4,Tables!$E$244:$E$263,1),1),ROWS(Tables!$E$244:$E$263)-1)))))))</f>
        <v>14.933137254901961</v>
      </c>
      <c r="AV4" s="181">
        <f>IF(P4&lt;6,(INDEX(Tables!$B$260:$B$274,MAX(1,MIN(IFERROR(MATCH(U4,Tables!$A$260:$A$274,1),1),ROWS(Tables!$A$260:$A$274)-1)))+(U4-INDEX(Tables!$A$260:$A$274,MAX(1,MIN(IFERROR(MATCH(U4,Tables!$A$260:$A$274,1),1),ROWS(Tables!$A$260:$A$274)-1))))*(INDEX(Tables!$B$260:$B$274,MAX(1,MIN(IFERROR(MATCH(U4,Tables!$A$260:$A$274,1),1),ROWS(Tables!$A$260:$A$274)-1))+1)-INDEX(Tables!$B$260:$B$274,MAX(1,MIN(IFERROR(MATCH(U4,Tables!$A$260:$A$274,1),1),ROWS(Tables!$A$260:$A$274)-1))))/(INDEX(Tables!$A$260:$A$274,MAX(1,MIN(IFERROR(MATCH(U4,Tables!$A$260:$A$274,1),1),ROWS(Tables!$A$260:$A$274)-1))+1)-INDEX(Tables!$A$260:$A$274,MAX(1,MIN(IFERROR(MATCH(U4,Tables!$A$260:$A$274,1),1),ROWS(Tables!$A$260:$A$274)-1))))),IF(P4&lt;8,(INDEX(Tables!$D$260:$D$274,MAX(1,MIN(IFERROR(MATCH(U4,Tables!$C$260:$C$274,1),1),ROWS(Tables!$C$260:$C$274)-1)))+(U4-INDEX(Tables!$C$260:$C$274,MAX(1,MIN(IFERROR(MATCH(U4,Tables!$C$260:$C$274,1),1),ROWS(Tables!$C$260:$C$274)-1))))*(INDEX(Tables!$D$260:$D$274,MAX(1,MIN(IFERROR(MATCH(U4,Tables!$C$260:$C$274,1),1),ROWS(Tables!$C$260:$C$274)-1))+1)-INDEX(Tables!$D$260:$D$274,MAX(1,MIN(IFERROR(MATCH(U4,Tables!$C$260:$C$274,1),1),ROWS(Tables!$C$260:$C$274)-1))))/(INDEX(Tables!$C$260:$C$274,MAX(1,MIN(IFERROR(MATCH(U4,Tables!$C$260:$C$274,1),1),ROWS(Tables!$C$260:$C$274)-1))+1)-INDEX(Tables!$C$260:$C$274,MAX(1,MIN(IFERROR(MATCH(U4,Tables!$C$260:$C$274,1),1),ROWS(Tables!$C$260:$C$274)-1))))),IF(P4&lt;10,(INDEX(Tables!$F$260:$F$274,MAX(1,MIN(IFERROR(MATCH(U4,Tables!$E$260:$E$274,1),1),ROWS(Tables!$E$260:$E$274)-1)))+(U4-INDEX(Tables!$E$260:$E$274,MAX(1,MIN(IFERROR(MATCH(U4,Tables!$E$260:$E$274,1),1),ROWS(Tables!$E$260:$E$274)-1))))*(INDEX(Tables!$F$260:$F$274,MAX(1,MIN(IFERROR(MATCH(U4,Tables!$E$260:$E$274,1),1),ROWS(Tables!$E$260:$E$274)-1))+1)-INDEX(Tables!$F$260:$F$274,MAX(1,MIN(IFERROR(MATCH(U4,Tables!$E$260:$E$274,1),1),ROWS(Tables!$E$260:$E$274)-1))))/(INDEX(Tables!$E$260:$E$274,MAX(1,MIN(IFERROR(MATCH(U4,Tables!$E$260:$E$274,1),1),ROWS(Tables!$E$260:$E$274)-1))+1)-INDEX(Tables!$E$260:$E$274,MAX(1,MIN(IFERROR(MATCH(U4,Tables!$E$260:$E$274,1),1),ROWS(Tables!$E$260:$E$274)-1))))),(INDEX(Tables!$H$260:$H$274,MAX(1,MIN(IFERROR(MATCH(U4,Tables!$G$260:$G$274,1),1),ROWS(Tables!$G$260:$G$274)-1)))+(U4-INDEX(Tables!$G$260:$G$274,MAX(1,MIN(IFERROR(MATCH(U4,Tables!$G$260:$G$274,1),1),ROWS(Tables!$G$260:$G$274)-1))))*(INDEX(Tables!$H$260:$H$274,MAX(1,MIN(IFERROR(MATCH(U4,Tables!$G$260:$G$274,1),1),ROWS(Tables!$G$260:$G$274)-1))+1)-INDEX(Tables!$H$260:$H$274,MAX(1,MIN(IFERROR(MATCH(U4,Tables!$G$260:$G$274,1),1),ROWS(Tables!$G$260:$G$274)-1))))/(INDEX(Tables!$G$260:$G$274,MAX(1,MIN(IFERROR(MATCH(U4,Tables!$G$260:$G$274,1),1),ROWS(Tables!$G$260:$G$274)-1))+1)-INDEX(Tables!$G$260:$G$274,MAX(1,MIN(IFERROR(MATCH(U4,Tables!$G$260:$G$274,1),1),ROWS(Tables!$G$260:$G$274)-1))))))))</f>
        <v>1.0024999999999999</v>
      </c>
      <c r="AW4" s="181">
        <f t="shared" si="9"/>
        <v>1197.0670868790351</v>
      </c>
      <c r="AX4" s="181">
        <f t="shared" si="10"/>
        <v>-514.32249999999999</v>
      </c>
      <c r="AY4" s="181">
        <f t="shared" si="11"/>
        <v>6865.6091215373481</v>
      </c>
      <c r="AZ4" s="181">
        <f t="shared" si="12"/>
        <v>2752.5841096217582</v>
      </c>
      <c r="BA4" s="181">
        <f t="shared" si="13"/>
        <v>14.73</v>
      </c>
      <c r="BB4" s="181">
        <f t="shared" si="14"/>
        <v>5972.7449557189511</v>
      </c>
      <c r="BC4" s="181">
        <f t="shared" si="15"/>
        <v>46800</v>
      </c>
      <c r="BD4" s="181">
        <f>VLOOKUP(V4&amp;" "&amp;J4,Tables!$A$152:$E$239,4,FALSE)</f>
        <v>12000</v>
      </c>
      <c r="BE4" s="181">
        <f>VLOOKUP(V4&amp;" "&amp;J4,Tables!$A$152:$E$239,5,FALSE)</f>
        <v>23000</v>
      </c>
      <c r="BF4" s="181">
        <f t="shared" si="16"/>
        <v>8640</v>
      </c>
      <c r="BG4" s="181">
        <f t="shared" si="17"/>
        <v>16560</v>
      </c>
      <c r="BH4" s="181">
        <f t="shared" si="18"/>
        <v>-521.6875</v>
      </c>
      <c r="BI4" s="181">
        <f t="shared" si="19"/>
        <v>46800</v>
      </c>
      <c r="BJ4" s="181">
        <f t="shared" si="20"/>
        <v>5972.7449557189511</v>
      </c>
      <c r="BK4" s="181">
        <f t="shared" si="21"/>
        <v>46800</v>
      </c>
      <c r="BL4" s="181">
        <f t="shared" si="22"/>
        <v>1197.0670868790351</v>
      </c>
      <c r="BM4" s="181">
        <f t="shared" si="23"/>
        <v>8640</v>
      </c>
      <c r="BN4" s="181">
        <f t="shared" si="24"/>
        <v>1680.5523790616035</v>
      </c>
      <c r="BO4" s="181">
        <f t="shared" si="25"/>
        <v>16560</v>
      </c>
      <c r="BP4" t="str">
        <f t="shared" si="26"/>
        <v>Pass</v>
      </c>
      <c r="BQ4" t="str">
        <f t="shared" si="27"/>
        <v>Pass</v>
      </c>
      <c r="BR4" t="str">
        <f t="shared" si="28"/>
        <v>Pass</v>
      </c>
      <c r="BS4" t="str">
        <f t="shared" si="29"/>
        <v>Pass</v>
      </c>
      <c r="BT4" t="str">
        <f t="shared" si="30"/>
        <v>Pass</v>
      </c>
      <c r="BU4" t="str">
        <f t="shared" si="31"/>
        <v>Girth Weld Stress</v>
      </c>
    </row>
    <row r="5" spans="1:73">
      <c r="A5" t="s">
        <v>597</v>
      </c>
      <c r="B5" s="181">
        <v>3</v>
      </c>
      <c r="C5" t="s">
        <v>594</v>
      </c>
      <c r="D5" s="181">
        <v>16</v>
      </c>
      <c r="E5" s="181">
        <v>0.188</v>
      </c>
      <c r="F5" t="s">
        <v>117</v>
      </c>
      <c r="G5" t="s">
        <v>119</v>
      </c>
      <c r="H5" t="s">
        <v>122</v>
      </c>
      <c r="I5" s="181">
        <v>1</v>
      </c>
      <c r="J5" t="s">
        <v>126</v>
      </c>
      <c r="K5" t="s">
        <v>129</v>
      </c>
      <c r="L5" s="181">
        <v>70</v>
      </c>
      <c r="M5" s="181">
        <v>0</v>
      </c>
      <c r="N5" t="s">
        <v>388</v>
      </c>
      <c r="O5" s="181">
        <v>120</v>
      </c>
      <c r="P5" s="181">
        <v>8</v>
      </c>
      <c r="Q5" s="181">
        <v>18</v>
      </c>
      <c r="R5" t="s">
        <v>154</v>
      </c>
      <c r="S5" t="s">
        <v>420</v>
      </c>
      <c r="T5" s="181">
        <v>70</v>
      </c>
      <c r="U5" s="181">
        <f>HLOOKUP(D5,'Highway Loading'!$C$155:$AD$156,2,FALSE)</f>
        <v>16</v>
      </c>
      <c r="V5" s="181">
        <f>IF(ISBLANK(G5),"",INDEX('Highway Loading'!$C$216:$AG$216,1,MATCH(G5,'Highway Loading'!$C$215:$AG$215,0)))</f>
        <v>65000</v>
      </c>
      <c r="W5" s="181">
        <f>INDEX('Highway Loading'!$I$245:$L$253,MATCH(H5,'Highway Loading'!$H$245:$H$253,0),MATCH(I5,'Highway Loading'!$I$244:$L$244,0))</f>
        <v>0.72</v>
      </c>
      <c r="X5" s="181">
        <f t="shared" si="0"/>
        <v>1</v>
      </c>
      <c r="Y5" s="181">
        <f>VLOOKUP(K5,'Highway Loading'!$B$283:$E$292,2,FALSE)</f>
        <v>29000000</v>
      </c>
      <c r="Z5" s="181">
        <f>VLOOKUP(K5,'Highway Loading'!$B$283:$E$292,3,FALSE)</f>
        <v>0.3</v>
      </c>
      <c r="AA5" s="181">
        <f>VLOOKUP(K5,'Highway Loading'!$B$283:$E$292,4,FALSE)</f>
        <v>6.4999999999999996E-6</v>
      </c>
      <c r="AB5" s="181">
        <f t="shared" si="1"/>
        <v>1</v>
      </c>
      <c r="AC5" s="181">
        <f>VLOOKUP(N5,'Highway Loading'!$B$256:$D$261,2,FALSE)</f>
        <v>200</v>
      </c>
      <c r="AD5" s="181">
        <f>VLOOKUP(N5,'Highway Loading'!$B$256:$D$261,3,FALSE)</f>
        <v>5000</v>
      </c>
      <c r="AE5" s="181">
        <f>VLOOKUP(S5,'Highway Loading'!$B$340:$C$341,2,FALSE)</f>
        <v>12000</v>
      </c>
      <c r="AF5" s="181">
        <f t="shared" si="2"/>
        <v>1.175E-2</v>
      </c>
      <c r="AG5" s="181">
        <f t="shared" si="3"/>
        <v>5.333333333333333</v>
      </c>
      <c r="AH5" s="181">
        <f t="shared" si="4"/>
        <v>1.125</v>
      </c>
      <c r="AI5" s="181">
        <f t="shared" si="5"/>
        <v>0</v>
      </c>
      <c r="AJ5" s="181">
        <f t="shared" si="6"/>
        <v>46800</v>
      </c>
      <c r="AK5" s="181">
        <f>IF(AC5=200,(INDEX(Tables!$B$17:$B$38,MAX(1,MIN(IFERROR(MATCH(AF5,Tables!$A$17:$A$38,1),1),ROWS(Tables!$A$17:$A$38)-1)))+(AF5-INDEX(Tables!$A$17:$A$38,MAX(1,MIN(IFERROR(MATCH(AF5,Tables!$A$17:$A$38,1),1),ROWS(Tables!$A$17:$A$38)-1))))*(INDEX(Tables!$B$17:$B$38,MAX(1,MIN(IFERROR(MATCH(AF5,Tables!$A$17:$A$38,1),1),ROWS(Tables!$A$17:$A$38)-1))+1)-INDEX(Tables!$B$17:$B$38,MAX(1,MIN(IFERROR(MATCH(AF5,Tables!$A$17:$A$38,1),1),ROWS(Tables!$A$17:$A$38)-1))))/(INDEX(Tables!$A$17:$A$38,MAX(1,MIN(IFERROR(MATCH(AF5,Tables!$A$17:$A$38,1),1),ROWS(Tables!$A$17:$A$38)-1))+1)-INDEX(Tables!$A$17:$A$38,MAX(1,MIN(IFERROR(MATCH(AF5,Tables!$A$17:$A$38,1),1),ROWS(Tables!$A$17:$A$38)-1))))),IF(AC5=500,(INDEX(Tables!$D$17:$D$38,MAX(1,MIN(IFERROR(MATCH(AF5,Tables!$C$17:$C$38,1),1),ROWS(Tables!$C$17:$C$38)-1)))+(AF5-INDEX(Tables!$C$17:$C$38,MAX(1,MIN(IFERROR(MATCH(AF5,Tables!$C$17:$C$38,1),1),ROWS(Tables!$C$17:$C$38)-1))))*(INDEX(Tables!$D$17:$D$38,MAX(1,MIN(IFERROR(MATCH(AF5,Tables!$C$17:$C$38,1),1),ROWS(Tables!$C$17:$C$38)-1))+1)-INDEX(Tables!$D$17:$D$38,MAX(1,MIN(IFERROR(MATCH(AF5,Tables!$C$17:$C$38,1),1),ROWS(Tables!$C$17:$C$38)-1))))/(INDEX(Tables!$C$17:$C$38,MAX(1,MIN(IFERROR(MATCH(AF5,Tables!$C$17:$C$38,1),1),ROWS(Tables!$C$17:$C$38)-1))+1)-INDEX(Tables!$C$17:$C$38,MAX(1,MIN(IFERROR(MATCH(AF5,Tables!$C$17:$C$38,1),1),ROWS(Tables!$C$17:$C$38)-1))))),IF(AC5=1000,(INDEX(Tables!$F$17:$F$38,MAX(1,MIN(IFERROR(MATCH(AF5,Tables!$E$17:$E$38,1),1),ROWS(Tables!$E$17:$E$38)-1)))+(AF5-INDEX(Tables!$E$17:$E$38,MAX(1,MIN(IFERROR(MATCH(AF5,Tables!$E$17:$E$38,1),1),ROWS(Tables!$E$17:$E$38)-1))))*(INDEX(Tables!$F$17:$F$38,MAX(1,MIN(IFERROR(MATCH(AF5,Tables!$E$17:$E$38,1),1),ROWS(Tables!$E$17:$E$38)-1))+1)-INDEX(Tables!$F$17:$F$38,MAX(1,MIN(IFERROR(MATCH(AF5,Tables!$E$17:$E$38,1),1),ROWS(Tables!$E$17:$E$38)-1))))/(INDEX(Tables!$E$17:$E$38,MAX(1,MIN(IFERROR(MATCH(AF5,Tables!$E$17:$E$38,1),1),ROWS(Tables!$E$17:$E$38)-1))+1)-INDEX(Tables!$E$17:$E$38,MAX(1,MIN(IFERROR(MATCH(AF5,Tables!$E$17:$E$38,1),1),ROWS(Tables!$E$17:$E$38)-1))))),(INDEX(Tables!$H$17:$H$38,MAX(1,MIN(IFERROR(MATCH(AF5,Tables!$G$17:$G$38,1),1),ROWS(Tables!$G$17:$G$38)-1)))+(AF5-INDEX(Tables!$G$17:$G$38,MAX(1,MIN(IFERROR(MATCH(AF5,Tables!$G$17:$G$38,1),1),ROWS(Tables!$G$17:$G$38)-1))))*(INDEX(Tables!$H$17:$H$38,MAX(1,MIN(IFERROR(MATCH(AF5,Tables!$G$17:$G$38,1),1),ROWS(Tables!$G$17:$G$38)-1))+1)-INDEX(Tables!$H$17:$H$38,MAX(1,MIN(IFERROR(MATCH(AF5,Tables!$G$17:$G$38,1),1),ROWS(Tables!$G$17:$G$38)-1))))/(INDEX(Tables!$G$17:$G$38,MAX(1,MIN(IFERROR(MATCH(AF5,Tables!$G$17:$G$38,1),1),ROWS(Tables!$G$17:$G$38)-1))+1)-INDEX(Tables!$G$17:$G$38,MAX(1,MIN(IFERROR(MATCH(AF5,Tables!$G$17:$G$38,1),1),ROWS(Tables!$G$17:$G$38)-1))))))))</f>
        <v>7160.4000000000005</v>
      </c>
      <c r="AL5" s="181">
        <f>IF(AC5&lt;1000,(INDEX(Tables!$B$43:$B$76,MAX(1,MIN(IFERROR(MATCH(AG5,Tables!$A$43:$A$76,1),1),ROWS(Tables!$A$43:$A$76)-1)))+(AG5-INDEX(Tables!$A$43:$A$76,MAX(1,MIN(IFERROR(MATCH(AG5,Tables!$A$43:$A$76,1),1),ROWS(Tables!$A$43:$A$76)-1))))*(INDEX(Tables!$B$43:$B$76,MAX(1,MIN(IFERROR(MATCH(AG5,Tables!$A$43:$A$76,1),1),ROWS(Tables!$A$43:$A$76)-1))+1)-INDEX(Tables!$B$43:$B$76,MAX(1,MIN(IFERROR(MATCH(AG5,Tables!$A$43:$A$76,1),1),ROWS(Tables!$A$43:$A$76)-1))))/(INDEX(Tables!$A$43:$A$76,MAX(1,MIN(IFERROR(MATCH(AG5,Tables!$A$43:$A$76,1),1),ROWS(Tables!$A$43:$A$76)-1))+1)-INDEX(Tables!$A$43:$A$76,MAX(1,MIN(IFERROR(MATCH(AG5,Tables!$A$43:$A$76,1),1),ROWS(Tables!$A$43:$A$76)-1))))),(INDEX(Tables!$D$43:$D$76,MAX(1,MIN(IFERROR(MATCH(AG5,Tables!$C$43:$C$76,1),1),ROWS(Tables!$C$43:$C$76)-1)))+(AG5-INDEX(Tables!$C$43:$C$76,MAX(1,MIN(IFERROR(MATCH(AG5,Tables!$C$43:$C$76,1),1),ROWS(Tables!$C$43:$C$76)-1))))*(INDEX(Tables!$D$43:$D$76,MAX(1,MIN(IFERROR(MATCH(AG5,Tables!$C$43:$C$76,1),1),ROWS(Tables!$C$43:$C$76)-1))+1)-INDEX(Tables!$D$43:$D$76,MAX(1,MIN(IFERROR(MATCH(AG5,Tables!$C$43:$C$76,1),1),ROWS(Tables!$C$43:$C$76)-1))))/(INDEX(Tables!$C$43:$C$76,MAX(1,MIN(IFERROR(MATCH(AG5,Tables!$C$43:$C$76,1),1),ROWS(Tables!$C$43:$C$76)-1))+1)-INDEX(Tables!$C$43:$C$76,MAX(1,MIN(IFERROR(MATCH(AG5,Tables!$C$43:$C$76,1),1),ROWS(Tables!$C$43:$C$76)-1))))))</f>
        <v>1.1053333333333333</v>
      </c>
      <c r="AM5" s="181">
        <f>(INDEX(Tables!$B$80:$B$87,MAX(1,MIN(IFERROR(MATCH(AH5,Tables!$A$80:$A$87,1),1),ROWS(Tables!$A$80:$A$87)-1)))+(AH5-INDEX(Tables!$A$80:$A$87,MAX(1,MIN(IFERROR(MATCH(AH5,Tables!$A$80:$A$87,1),1),ROWS(Tables!$A$80:$A$87)-1))))*(INDEX(Tables!$B$80:$B$87,MAX(1,MIN(IFERROR(MATCH(AH5,Tables!$A$80:$A$87,1),1),ROWS(Tables!$A$80:$A$87)-1))+1)-INDEX(Tables!$B$80:$B$87,MAX(1,MIN(IFERROR(MATCH(AH5,Tables!$A$80:$A$87,1),1),ROWS(Tables!$A$80:$A$87)-1))))/(INDEX(Tables!$A$80:$A$87,MAX(1,MIN(IFERROR(MATCH(AH5,Tables!$A$80:$A$87,1),1),ROWS(Tables!$A$80:$A$87)-1))+1)-INDEX(Tables!$A$80:$A$87,MAX(1,MIN(IFERROR(MATCH(AH5,Tables!$A$80:$A$87,1),1),ROWS(Tables!$A$80:$A$87)-1)))))</f>
        <v>1.04345</v>
      </c>
      <c r="AN5" s="181">
        <f t="shared" si="7"/>
        <v>9176.1326904000016</v>
      </c>
      <c r="AO5" s="181">
        <f>(INDEX(Tables!$B$91:$B$94,MAX(1,MIN(IFERROR(MATCH(P5,Tables!$A$91:$A$94,1),1),ROWS(Tables!$A$91:$A$94)-1)))+(P5-INDEX(Tables!$A$91:$A$94,MAX(1,MIN(IFERROR(MATCH(P5,Tables!$A$91:$A$94,1),1),ROWS(Tables!$A$91:$A$94)-1))))*(INDEX(Tables!$B$91:$B$94,MAX(1,MIN(IFERROR(MATCH(P5,Tables!$A$91:$A$94,1),1),ROWS(Tables!$A$91:$A$94)-1))+1)-INDEX(Tables!$B$91:$B$94,MAX(1,MIN(IFERROR(MATCH(P5,Tables!$A$91:$A$94,1),1),ROWS(Tables!$A$91:$A$94)-1))))/(INDEX(Tables!$A$91:$A$94,MAX(1,MIN(IFERROR(MATCH(P5,Tables!$A$91:$A$94,1),1),ROWS(Tables!$A$91:$A$94)-1))+1)-INDEX(Tables!$A$91:$A$94,MAX(1,MIN(IFERROR(MATCH(P5,Tables!$A$91:$A$94,1),1),ROWS(Tables!$A$91:$A$94)-1)))))</f>
        <v>1.4152439024390244</v>
      </c>
      <c r="AP5" s="181">
        <f>IF(AD5=5000,(INDEX(Tables!$B$99:$B$118,MAX(1,MIN(IFERROR(MATCH(AF5,Tables!$A$99:$A$118,1),1),ROWS(Tables!$A$99:$A$118)-1)))+(AF5-INDEX(Tables!$A$99:$A$118,MAX(1,MIN(IFERROR(MATCH(AF5,Tables!$A$99:$A$118,1),1),ROWS(Tables!$A$99:$A$118)-1))))*(INDEX(Tables!$B$99:$B$118,MAX(1,MIN(IFERROR(MATCH(AF5,Tables!$A$99:$A$118,1),1),ROWS(Tables!$A$99:$A$118)-1))+1)-INDEX(Tables!$B$99:$B$118,MAX(1,MIN(IFERROR(MATCH(AF5,Tables!$A$99:$A$118,1),1),ROWS(Tables!$A$99:$A$118)-1))))/(INDEX(Tables!$A$99:$A$118,MAX(1,MIN(IFERROR(MATCH(AF5,Tables!$A$99:$A$118,1),1),ROWS(Tables!$A$99:$A$118)-1))+1)-INDEX(Tables!$A$99:$A$118,MAX(1,MIN(IFERROR(MATCH(AF5,Tables!$A$99:$A$118,1),1),ROWS(Tables!$A$99:$A$118)-1))))),IF(AD5=10000,(INDEX(Tables!$D$99:$D$118,MAX(1,MIN(IFERROR(MATCH(AF5,Tables!$C$99:$C$118,1),1),ROWS(Tables!$C$99:$C$118)-1)))+(AF5-INDEX(Tables!$C$99:$C$118,MAX(1,MIN(IFERROR(MATCH(AF5,Tables!$C$99:$C$118,1),1),ROWS(Tables!$C$99:$C$118)-1))))*(INDEX(Tables!$D$99:$D$118,MAX(1,MIN(IFERROR(MATCH(AF5,Tables!$C$99:$C$118,1),1),ROWS(Tables!$C$99:$C$118)-1))+1)-INDEX(Tables!$D$99:$D$118,MAX(1,MIN(IFERROR(MATCH(AF5,Tables!$C$99:$C$118,1),1),ROWS(Tables!$C$99:$C$118)-1))))/(INDEX(Tables!$C$99:$C$118,MAX(1,MIN(IFERROR(MATCH(AF5,Tables!$C$99:$C$118,1),1),ROWS(Tables!$C$99:$C$118)-1))+1)-INDEX(Tables!$C$99:$C$118,MAX(1,MIN(IFERROR(MATCH(AF5,Tables!$C$99:$C$118,1),1),ROWS(Tables!$C$99:$C$118)-1))))),(INDEX(Tables!$F$99:$F$118,MAX(1,MIN(IFERROR(MATCH(AF5,Tables!$E$99:$E$118,1),1),ROWS(Tables!$E$99:$E$118)-1)))+(AF5-INDEX(Tables!$E$99:$E$118,MAX(1,MIN(IFERROR(MATCH(AF5,Tables!$E$99:$E$118,1),1),ROWS(Tables!$E$99:$E$118)-1))))*(INDEX(Tables!$F$99:$F$118,MAX(1,MIN(IFERROR(MATCH(AF5,Tables!$E$99:$E$118,1),1),ROWS(Tables!$E$99:$E$118)-1))+1)-INDEX(Tables!$F$99:$F$118,MAX(1,MIN(IFERROR(MATCH(AF5,Tables!$E$99:$E$118,1),1),ROWS(Tables!$E$99:$E$118)-1))))/(INDEX(Tables!$E$99:$E$118,MAX(1,MIN(IFERROR(MATCH(AF5,Tables!$E$99:$E$118,1),1),ROWS(Tables!$E$99:$E$118)-1))+1)-INDEX(Tables!$E$99:$E$118,MAX(1,MIN(IFERROR(MATCH(AF5,Tables!$E$99:$E$118,1),1),ROWS(Tables!$E$99:$E$118)-1)))))))</f>
        <v>20.242319999999999</v>
      </c>
      <c r="AQ5" s="181">
        <f>IF(P5&lt;6,(INDEX(Tables!$B$123:$B$138,MAX(1,MIN(IFERROR(MATCH(U5,Tables!$A$123:$A$138,1),1),ROWS(Tables!$A$123:$A$138)-1)))+(U5-INDEX(Tables!$A$123:$A$138,MAX(1,MIN(IFERROR(MATCH(U5,Tables!$A$123:$A$138,1),1),ROWS(Tables!$A$123:$A$138)-1))))*(INDEX(Tables!$B$123:$B$138,MAX(1,MIN(IFERROR(MATCH(U5,Tables!$A$123:$A$138,1),1),ROWS(Tables!$A$123:$A$138)-1))+1)-INDEX(Tables!$B$123:$B$138,MAX(1,MIN(IFERROR(MATCH(U5,Tables!$A$123:$A$138,1),1),ROWS(Tables!$A$123:$A$138)-1))))/(INDEX(Tables!$A$123:$A$138,MAX(1,MIN(IFERROR(MATCH(U5,Tables!$A$123:$A$138,1),1),ROWS(Tables!$A$123:$A$138)-1))+1)-INDEX(Tables!$A$123:$A$138,MAX(1,MIN(IFERROR(MATCH(U5,Tables!$A$123:$A$138,1),1),ROWS(Tables!$A$123:$A$138)-1))))),IF(P5&lt;8,(INDEX(Tables!$D$123:$D$138,MAX(1,MIN(IFERROR(MATCH(U5,Tables!$C$123:$C$138,1),1),ROWS(Tables!$C$123:$C$138)-1)))+(U5-INDEX(Tables!$C$123:$C$138,MAX(1,MIN(IFERROR(MATCH(U5,Tables!$C$123:$C$138,1),1),ROWS(Tables!$C$123:$C$138)-1))))*(INDEX(Tables!$D$123:$D$138,MAX(1,MIN(IFERROR(MATCH(U5,Tables!$C$123:$C$138,1),1),ROWS(Tables!$C$123:$C$138)-1))+1)-INDEX(Tables!$D$123:$D$138,MAX(1,MIN(IFERROR(MATCH(U5,Tables!$C$123:$C$138,1),1),ROWS(Tables!$C$123:$C$138)-1))))/(INDEX(Tables!$C$123:$C$138,MAX(1,MIN(IFERROR(MATCH(U5,Tables!$C$123:$C$138,1),1),ROWS(Tables!$C$123:$C$138)-1))+1)-INDEX(Tables!$C$123:$C$138,MAX(1,MIN(IFERROR(MATCH(U5,Tables!$C$123:$C$138,1),1),ROWS(Tables!$C$123:$C$138)-1))))),IF(P5&lt;10,(INDEX(Tables!$F$123:$F$138,MAX(1,MIN(IFERROR(MATCH(U5,Tables!$E$123:$E$138,1),1),ROWS(Tables!$E$123:$E$138)-1)))+(U5-INDEX(Tables!$E$123:$E$138,MAX(1,MIN(IFERROR(MATCH(U5,Tables!$E$123:$E$138,1),1),ROWS(Tables!$E$123:$E$138)-1))))*(INDEX(Tables!$F$123:$F$138,MAX(1,MIN(IFERROR(MATCH(U5,Tables!$E$123:$E$138,1),1),ROWS(Tables!$E$123:$E$138)-1))+1)-INDEX(Tables!$F$123:$F$138,MAX(1,MIN(IFERROR(MATCH(U5,Tables!$E$123:$E$138,1),1),ROWS(Tables!$E$123:$E$138)-1))))/(INDEX(Tables!$E$123:$E$138,MAX(1,MIN(IFERROR(MATCH(U5,Tables!$E$123:$E$138,1),1),ROWS(Tables!$E$123:$E$138)-1))+1)-INDEX(Tables!$E$123:$E$138,MAX(1,MIN(IFERROR(MATCH(U5,Tables!$E$123:$E$138,1),1),ROWS(Tables!$E$123:$E$138)-1))))),(INDEX(Tables!$H$123:$H$138,MAX(1,MIN(IFERROR(MATCH(U5,Tables!$G$123:$G$138,1),1),ROWS(Tables!$G$123:$G$138)-1)))+(U5-INDEX(Tables!$G$123:$G$138,MAX(1,MIN(IFERROR(MATCH(U5,Tables!$G$123:$G$138,1),1),ROWS(Tables!$G$123:$G$138)-1))))*(INDEX(Tables!$H$123:$H$138,MAX(1,MIN(IFERROR(MATCH(U5,Tables!$G$123:$G$138,1),1),ROWS(Tables!$G$123:$G$138)-1))+1)-INDEX(Tables!$H$123:$H$138,MAX(1,MIN(IFERROR(MATCH(U5,Tables!$G$123:$G$138,1),1),ROWS(Tables!$G$123:$G$138)-1))))/(INDEX(Tables!$G$123:$G$138,MAX(1,MIN(IFERROR(MATCH(U5,Tables!$G$123:$G$138,1),1),ROWS(Tables!$G$123:$G$138)-1))+1)-INDEX(Tables!$G$123:$G$138,MAX(1,MIN(IFERROR(MATCH(U5,Tables!$G$123:$G$138,1),1),ROWS(Tables!$G$123:$G$138)-1))))))))</f>
        <v>0.79200000000000004</v>
      </c>
      <c r="AR5" s="181">
        <f>IF(OR(P5&gt;=4,U5&gt;12),VLOOKUP(R5&amp;" "&amp;S5,Tables!$D$143:$F$148,2,FALSE),VLOOKUP(R5&amp;" "&amp;S5,Tables!$A$143:$C$148,2,FALSE))</f>
        <v>1</v>
      </c>
      <c r="AS5" s="181">
        <f>IF(OR(P5&gt;=4,U5&gt;12),VLOOKUP(R5&amp;" "&amp;S5,Tables!$D$143:$F$148,3,FALSE),VLOOKUP(R5&amp;" "&amp;S5,Tables!$A$143:$C$148,3,FALSE))</f>
        <v>0.65</v>
      </c>
      <c r="AT5" s="181">
        <f t="shared" si="8"/>
        <v>1228.9914759073172</v>
      </c>
      <c r="AU5" s="181">
        <f>IF(AD5=5000,(INDEX(Tables!$B$244:$B$263,MAX(1,MIN(IFERROR(MATCH(AF5,Tables!$A$244:$A$263,1),1),ROWS(Tables!$A$244:$A$263)-1)))+(AF5-INDEX(Tables!$A$244:$A$263,MAX(1,MIN(IFERROR(MATCH(AF5,Tables!$A$244:$A$263,1),1),ROWS(Tables!$A$244:$A$263)-1))))*(INDEX(Tables!$B$244:$B$263,MAX(1,MIN(IFERROR(MATCH(AF5,Tables!$A$244:$A$263,1),1),ROWS(Tables!$A$244:$A$263)-1))+1)-INDEX(Tables!$B$244:$B$263,MAX(1,MIN(IFERROR(MATCH(AF5,Tables!$A$244:$A$263,1),1),ROWS(Tables!$A$244:$A$263)-1))))/(INDEX(Tables!$A$244:$A$263,MAX(1,MIN(IFERROR(MATCH(AF5,Tables!$A$244:$A$263,1),1),ROWS(Tables!$A$244:$A$263)-1))+1)-INDEX(Tables!$A$244:$A$263,MAX(1,MIN(IFERROR(MATCH(AF5,Tables!$A$244:$A$263,1),1),ROWS(Tables!$A$244:$A$263)-1))))),IF(AD5=10000,(INDEX(Tables!$D$244:$D$263,MAX(1,MIN(IFERROR(MATCH(AF5,Tables!$C$244:$C$263,1),1),ROWS(Tables!$C$244:$C$263)-1)))+(AF5-INDEX(Tables!$C$244:$C$263,MAX(1,MIN(IFERROR(MATCH(AF5,Tables!$C$244:$C$263,1),1),ROWS(Tables!$C$244:$C$263)-1))))*(INDEX(Tables!$D$244:$D$263,MAX(1,MIN(IFERROR(MATCH(AF5,Tables!$C$244:$C$263,1),1),ROWS(Tables!$C$244:$C$263)-1))+1)-INDEX(Tables!$D$244:$D$263,MAX(1,MIN(IFERROR(MATCH(AF5,Tables!$C$244:$C$263,1),1),ROWS(Tables!$C$244:$C$263)-1))))/(INDEX(Tables!$C$244:$C$263,MAX(1,MIN(IFERROR(MATCH(AF5,Tables!$C$244:$C$263,1),1),ROWS(Tables!$C$244:$C$263)-1))+1)-INDEX(Tables!$C$244:$C$263,MAX(1,MIN(IFERROR(MATCH(AF5,Tables!$C$244:$C$263,1),1),ROWS(Tables!$C$244:$C$263)-1))))),(INDEX(Tables!$F$244:$F$263,MAX(1,MIN(IFERROR(MATCH(AF5,Tables!$E$244:$E$263,1),1),ROWS(Tables!$E$244:$E$263)-1)))+(AF5-INDEX(Tables!$E$244:$E$263,MAX(1,MIN(IFERROR(MATCH(AF5,Tables!$E$244:$E$263,1),1),ROWS(Tables!$E$244:$E$263)-1))))*(INDEX(Tables!$F$244:$F$263,MAX(1,MIN(IFERROR(MATCH(AF5,Tables!$E$244:$E$263,1),1),ROWS(Tables!$E$244:$E$263)-1))+1)-INDEX(Tables!$F$244:$F$263,MAX(1,MIN(IFERROR(MATCH(AF5,Tables!$E$244:$E$263,1),1),ROWS(Tables!$E$244:$E$263)-1))))/(INDEX(Tables!$E$244:$E$263,MAX(1,MIN(IFERROR(MATCH(AF5,Tables!$E$244:$E$263,1),1),ROWS(Tables!$E$244:$E$263)-1))+1)-INDEX(Tables!$E$244:$E$263,MAX(1,MIN(IFERROR(MATCH(AF5,Tables!$E$244:$E$263,1),1),ROWS(Tables!$E$244:$E$263)-1)))))))</f>
        <v>14.753722222222223</v>
      </c>
      <c r="AV5" s="181">
        <f>IF(P5&lt;6,(INDEX(Tables!$B$260:$B$274,MAX(1,MIN(IFERROR(MATCH(U5,Tables!$A$260:$A$274,1),1),ROWS(Tables!$A$260:$A$274)-1)))+(U5-INDEX(Tables!$A$260:$A$274,MAX(1,MIN(IFERROR(MATCH(U5,Tables!$A$260:$A$274,1),1),ROWS(Tables!$A$260:$A$274)-1))))*(INDEX(Tables!$B$260:$B$274,MAX(1,MIN(IFERROR(MATCH(U5,Tables!$A$260:$A$274,1),1),ROWS(Tables!$A$260:$A$274)-1))+1)-INDEX(Tables!$B$260:$B$274,MAX(1,MIN(IFERROR(MATCH(U5,Tables!$A$260:$A$274,1),1),ROWS(Tables!$A$260:$A$274)-1))))/(INDEX(Tables!$A$260:$A$274,MAX(1,MIN(IFERROR(MATCH(U5,Tables!$A$260:$A$274,1),1),ROWS(Tables!$A$260:$A$274)-1))+1)-INDEX(Tables!$A$260:$A$274,MAX(1,MIN(IFERROR(MATCH(U5,Tables!$A$260:$A$274,1),1),ROWS(Tables!$A$260:$A$274)-1))))),IF(P5&lt;8,(INDEX(Tables!$D$260:$D$274,MAX(1,MIN(IFERROR(MATCH(U5,Tables!$C$260:$C$274,1),1),ROWS(Tables!$C$260:$C$274)-1)))+(U5-INDEX(Tables!$C$260:$C$274,MAX(1,MIN(IFERROR(MATCH(U5,Tables!$C$260:$C$274,1),1),ROWS(Tables!$C$260:$C$274)-1))))*(INDEX(Tables!$D$260:$D$274,MAX(1,MIN(IFERROR(MATCH(U5,Tables!$C$260:$C$274,1),1),ROWS(Tables!$C$260:$C$274)-1))+1)-INDEX(Tables!$D$260:$D$274,MAX(1,MIN(IFERROR(MATCH(U5,Tables!$C$260:$C$274,1),1),ROWS(Tables!$C$260:$C$274)-1))))/(INDEX(Tables!$C$260:$C$274,MAX(1,MIN(IFERROR(MATCH(U5,Tables!$C$260:$C$274,1),1),ROWS(Tables!$C$260:$C$274)-1))+1)-INDEX(Tables!$C$260:$C$274,MAX(1,MIN(IFERROR(MATCH(U5,Tables!$C$260:$C$274,1),1),ROWS(Tables!$C$260:$C$274)-1))))),IF(P5&lt;10,(INDEX(Tables!$F$260:$F$274,MAX(1,MIN(IFERROR(MATCH(U5,Tables!$E$260:$E$274,1),1),ROWS(Tables!$E$260:$E$274)-1)))+(U5-INDEX(Tables!$E$260:$E$274,MAX(1,MIN(IFERROR(MATCH(U5,Tables!$E$260:$E$274,1),1),ROWS(Tables!$E$260:$E$274)-1))))*(INDEX(Tables!$F$260:$F$274,MAX(1,MIN(IFERROR(MATCH(U5,Tables!$E$260:$E$274,1),1),ROWS(Tables!$E$260:$E$274)-1))+1)-INDEX(Tables!$F$260:$F$274,MAX(1,MIN(IFERROR(MATCH(U5,Tables!$E$260:$E$274,1),1),ROWS(Tables!$E$260:$E$274)-1))))/(INDEX(Tables!$E$260:$E$274,MAX(1,MIN(IFERROR(MATCH(U5,Tables!$E$260:$E$274,1),1),ROWS(Tables!$E$260:$E$274)-1))+1)-INDEX(Tables!$E$260:$E$274,MAX(1,MIN(IFERROR(MATCH(U5,Tables!$E$260:$E$274,1),1),ROWS(Tables!$E$260:$E$274)-1))))),(INDEX(Tables!$H$260:$H$274,MAX(1,MIN(IFERROR(MATCH(U5,Tables!$G$260:$G$274,1),1),ROWS(Tables!$G$260:$G$274)-1)))+(U5-INDEX(Tables!$G$260:$G$274,MAX(1,MIN(IFERROR(MATCH(U5,Tables!$G$260:$G$274,1),1),ROWS(Tables!$G$260:$G$274)-1))))*(INDEX(Tables!$H$260:$H$274,MAX(1,MIN(IFERROR(MATCH(U5,Tables!$G$260:$G$274,1),1),ROWS(Tables!$G$260:$G$274)-1))+1)-INDEX(Tables!$H$260:$H$274,MAX(1,MIN(IFERROR(MATCH(U5,Tables!$G$260:$G$274,1),1),ROWS(Tables!$G$260:$G$274)-1))))/(INDEX(Tables!$G$260:$G$274,MAX(1,MIN(IFERROR(MATCH(U5,Tables!$G$260:$G$274,1),1),ROWS(Tables!$G$260:$G$274)-1))+1)-INDEX(Tables!$G$260:$G$274,MAX(1,MIN(IFERROR(MATCH(U5,Tables!$G$260:$G$274,1),1),ROWS(Tables!$G$260:$G$274)-1))))))))</f>
        <v>0.84099999999999997</v>
      </c>
      <c r="AW5" s="181">
        <f t="shared" si="9"/>
        <v>951.17625755575318</v>
      </c>
      <c r="AX5" s="181">
        <f t="shared" si="10"/>
        <v>0</v>
      </c>
      <c r="AY5" s="181">
        <f t="shared" si="11"/>
        <v>10405.12416630732</v>
      </c>
      <c r="AZ5" s="181">
        <f t="shared" si="12"/>
        <v>3704.0160646757536</v>
      </c>
      <c r="BA5" s="181">
        <f t="shared" si="13"/>
        <v>0</v>
      </c>
      <c r="BB5" s="181">
        <f t="shared" si="14"/>
        <v>9134.856148659399</v>
      </c>
      <c r="BC5" s="181">
        <f t="shared" si="15"/>
        <v>46800</v>
      </c>
      <c r="BD5" s="181">
        <f>VLOOKUP(V5&amp;" "&amp;J5,Tables!$A$152:$E$239,4,FALSE)</f>
        <v>12000</v>
      </c>
      <c r="BE5" s="181">
        <f>VLOOKUP(V5&amp;" "&amp;J5,Tables!$A$152:$E$239,5,FALSE)</f>
        <v>23000</v>
      </c>
      <c r="BF5" s="181">
        <f t="shared" si="16"/>
        <v>8640</v>
      </c>
      <c r="BG5" s="181">
        <f t="shared" si="17"/>
        <v>16560</v>
      </c>
      <c r="BH5" s="181">
        <f t="shared" si="18"/>
        <v>0</v>
      </c>
      <c r="BI5" s="181">
        <f t="shared" si="19"/>
        <v>46800</v>
      </c>
      <c r="BJ5" s="181">
        <f t="shared" si="20"/>
        <v>9134.856148659399</v>
      </c>
      <c r="BK5" s="181">
        <f t="shared" si="21"/>
        <v>46800</v>
      </c>
      <c r="BL5" s="181">
        <f t="shared" si="22"/>
        <v>951.17625755575318</v>
      </c>
      <c r="BM5" s="181">
        <f t="shared" si="23"/>
        <v>8640</v>
      </c>
      <c r="BN5" s="181">
        <f t="shared" si="24"/>
        <v>1228.9914759073172</v>
      </c>
      <c r="BO5" s="181">
        <f t="shared" si="25"/>
        <v>16560</v>
      </c>
      <c r="BP5" t="str">
        <f t="shared" si="26"/>
        <v>Pass</v>
      </c>
      <c r="BQ5" t="str">
        <f t="shared" si="27"/>
        <v>Pass</v>
      </c>
      <c r="BR5" t="str">
        <f t="shared" si="28"/>
        <v>Pass</v>
      </c>
      <c r="BS5" t="str">
        <f t="shared" si="29"/>
        <v>Pass</v>
      </c>
      <c r="BT5" t="str">
        <f t="shared" si="30"/>
        <v>Pass</v>
      </c>
      <c r="BU5" t="str">
        <f t="shared" si="31"/>
        <v>Effective Stress</v>
      </c>
    </row>
    <row r="6" spans="1:73">
      <c r="A6" t="s">
        <v>598</v>
      </c>
      <c r="B6" s="181">
        <v>4</v>
      </c>
      <c r="C6" t="s">
        <v>594</v>
      </c>
      <c r="D6" s="181">
        <v>24</v>
      </c>
      <c r="E6" s="181">
        <v>0.25</v>
      </c>
      <c r="F6" t="s">
        <v>117</v>
      </c>
      <c r="G6" t="s">
        <v>119</v>
      </c>
      <c r="H6" t="s">
        <v>122</v>
      </c>
      <c r="I6" s="181">
        <v>1</v>
      </c>
      <c r="J6" t="s">
        <v>126</v>
      </c>
      <c r="K6" t="s">
        <v>129</v>
      </c>
      <c r="L6" s="181">
        <v>70</v>
      </c>
      <c r="M6" s="181">
        <v>0</v>
      </c>
      <c r="N6" t="s">
        <v>388</v>
      </c>
      <c r="O6" s="181">
        <v>120</v>
      </c>
      <c r="P6" s="181">
        <v>10</v>
      </c>
      <c r="Q6" s="181">
        <v>26</v>
      </c>
      <c r="R6" t="s">
        <v>154</v>
      </c>
      <c r="S6" t="s">
        <v>420</v>
      </c>
      <c r="T6" s="181">
        <v>70</v>
      </c>
      <c r="U6" s="181">
        <f>HLOOKUP(D6,'Highway Loading'!$C$155:$AD$156,2,FALSE)</f>
        <v>24</v>
      </c>
      <c r="V6" s="181">
        <f>IF(ISBLANK(G6),"",INDEX('Highway Loading'!$C$216:$AG$216,1,MATCH(G6,'Highway Loading'!$C$215:$AG$215,0)))</f>
        <v>65000</v>
      </c>
      <c r="W6" s="181">
        <f>INDEX('Highway Loading'!$I$245:$L$253,MATCH(H6,'Highway Loading'!$H$245:$H$253,0),MATCH(I6,'Highway Loading'!$I$244:$L$244,0))</f>
        <v>0.72</v>
      </c>
      <c r="X6" s="181">
        <f t="shared" si="0"/>
        <v>1</v>
      </c>
      <c r="Y6" s="181">
        <f>VLOOKUP(K6,'Highway Loading'!$B$283:$E$292,2,FALSE)</f>
        <v>29000000</v>
      </c>
      <c r="Z6" s="181">
        <f>VLOOKUP(K6,'Highway Loading'!$B$283:$E$292,3,FALSE)</f>
        <v>0.3</v>
      </c>
      <c r="AA6" s="181">
        <f>VLOOKUP(K6,'Highway Loading'!$B$283:$E$292,4,FALSE)</f>
        <v>6.4999999999999996E-6</v>
      </c>
      <c r="AB6" s="181">
        <f t="shared" si="1"/>
        <v>1</v>
      </c>
      <c r="AC6" s="181">
        <f>VLOOKUP(N6,'Highway Loading'!$B$256:$D$261,2,FALSE)</f>
        <v>200</v>
      </c>
      <c r="AD6" s="181">
        <f>VLOOKUP(N6,'Highway Loading'!$B$256:$D$261,3,FALSE)</f>
        <v>5000</v>
      </c>
      <c r="AE6" s="181">
        <f>VLOOKUP(S6,'Highway Loading'!$B$340:$C$341,2,FALSE)</f>
        <v>12000</v>
      </c>
      <c r="AF6" s="181">
        <f t="shared" si="2"/>
        <v>1.0416666666666666E-2</v>
      </c>
      <c r="AG6" s="181">
        <f t="shared" si="3"/>
        <v>4.615384615384615</v>
      </c>
      <c r="AH6" s="181">
        <f t="shared" si="4"/>
        <v>1.0833333333333333</v>
      </c>
      <c r="AI6" s="181">
        <f t="shared" si="5"/>
        <v>0</v>
      </c>
      <c r="AJ6" s="181">
        <f t="shared" si="6"/>
        <v>46800</v>
      </c>
      <c r="AK6" s="181">
        <f>IF(AC6=200,(INDEX(Tables!$B$17:$B$38,MAX(1,MIN(IFERROR(MATCH(AF6,Tables!$A$17:$A$38,1),1),ROWS(Tables!$A$17:$A$38)-1)))+(AF6-INDEX(Tables!$A$17:$A$38,MAX(1,MIN(IFERROR(MATCH(AF6,Tables!$A$17:$A$38,1),1),ROWS(Tables!$A$17:$A$38)-1))))*(INDEX(Tables!$B$17:$B$38,MAX(1,MIN(IFERROR(MATCH(AF6,Tables!$A$17:$A$38,1),1),ROWS(Tables!$A$17:$A$38)-1))+1)-INDEX(Tables!$B$17:$B$38,MAX(1,MIN(IFERROR(MATCH(AF6,Tables!$A$17:$A$38,1),1),ROWS(Tables!$A$17:$A$38)-1))))/(INDEX(Tables!$A$17:$A$38,MAX(1,MIN(IFERROR(MATCH(AF6,Tables!$A$17:$A$38,1),1),ROWS(Tables!$A$17:$A$38)-1))+1)-INDEX(Tables!$A$17:$A$38,MAX(1,MIN(IFERROR(MATCH(AF6,Tables!$A$17:$A$38,1),1),ROWS(Tables!$A$17:$A$38)-1))))),IF(AC6=500,(INDEX(Tables!$D$17:$D$38,MAX(1,MIN(IFERROR(MATCH(AF6,Tables!$C$17:$C$38,1),1),ROWS(Tables!$C$17:$C$38)-1)))+(AF6-INDEX(Tables!$C$17:$C$38,MAX(1,MIN(IFERROR(MATCH(AF6,Tables!$C$17:$C$38,1),1),ROWS(Tables!$C$17:$C$38)-1))))*(INDEX(Tables!$D$17:$D$38,MAX(1,MIN(IFERROR(MATCH(AF6,Tables!$C$17:$C$38,1),1),ROWS(Tables!$C$17:$C$38)-1))+1)-INDEX(Tables!$D$17:$D$38,MAX(1,MIN(IFERROR(MATCH(AF6,Tables!$C$17:$C$38,1),1),ROWS(Tables!$C$17:$C$38)-1))))/(INDEX(Tables!$C$17:$C$38,MAX(1,MIN(IFERROR(MATCH(AF6,Tables!$C$17:$C$38,1),1),ROWS(Tables!$C$17:$C$38)-1))+1)-INDEX(Tables!$C$17:$C$38,MAX(1,MIN(IFERROR(MATCH(AF6,Tables!$C$17:$C$38,1),1),ROWS(Tables!$C$17:$C$38)-1))))),IF(AC6=1000,(INDEX(Tables!$F$17:$F$38,MAX(1,MIN(IFERROR(MATCH(AF6,Tables!$E$17:$E$38,1),1),ROWS(Tables!$E$17:$E$38)-1)))+(AF6-INDEX(Tables!$E$17:$E$38,MAX(1,MIN(IFERROR(MATCH(AF6,Tables!$E$17:$E$38,1),1),ROWS(Tables!$E$17:$E$38)-1))))*(INDEX(Tables!$F$17:$F$38,MAX(1,MIN(IFERROR(MATCH(AF6,Tables!$E$17:$E$38,1),1),ROWS(Tables!$E$17:$E$38)-1))+1)-INDEX(Tables!$F$17:$F$38,MAX(1,MIN(IFERROR(MATCH(AF6,Tables!$E$17:$E$38,1),1),ROWS(Tables!$E$17:$E$38)-1))))/(INDEX(Tables!$E$17:$E$38,MAX(1,MIN(IFERROR(MATCH(AF6,Tables!$E$17:$E$38,1),1),ROWS(Tables!$E$17:$E$38)-1))+1)-INDEX(Tables!$E$17:$E$38,MAX(1,MIN(IFERROR(MATCH(AF6,Tables!$E$17:$E$38,1),1),ROWS(Tables!$E$17:$E$38)-1))))),(INDEX(Tables!$H$17:$H$38,MAX(1,MIN(IFERROR(MATCH(AF6,Tables!$G$17:$G$38,1),1),ROWS(Tables!$G$17:$G$38)-1)))+(AF6-INDEX(Tables!$G$17:$G$38,MAX(1,MIN(IFERROR(MATCH(AF6,Tables!$G$17:$G$38,1),1),ROWS(Tables!$G$17:$G$38)-1))))*(INDEX(Tables!$H$17:$H$38,MAX(1,MIN(IFERROR(MATCH(AF6,Tables!$G$17:$G$38,1),1),ROWS(Tables!$G$17:$G$38)-1))+1)-INDEX(Tables!$H$17:$H$38,MAX(1,MIN(IFERROR(MATCH(AF6,Tables!$G$17:$G$38,1),1),ROWS(Tables!$G$17:$G$38)-1))))/(INDEX(Tables!$G$17:$G$38,MAX(1,MIN(IFERROR(MATCH(AF6,Tables!$G$17:$G$38,1),1),ROWS(Tables!$G$17:$G$38)-1))+1)-INDEX(Tables!$G$17:$G$38,MAX(1,MIN(IFERROR(MATCH(AF6,Tables!$G$17:$G$38,1),1),ROWS(Tables!$G$17:$G$38)-1))))))))</f>
        <v>8220.6666666666679</v>
      </c>
      <c r="AL6" s="181">
        <f>IF(AC6&lt;1000,(INDEX(Tables!$B$43:$B$76,MAX(1,MIN(IFERROR(MATCH(AG6,Tables!$A$43:$A$76,1),1),ROWS(Tables!$A$43:$A$76)-1)))+(AG6-INDEX(Tables!$A$43:$A$76,MAX(1,MIN(IFERROR(MATCH(AG6,Tables!$A$43:$A$76,1),1),ROWS(Tables!$A$43:$A$76)-1))))*(INDEX(Tables!$B$43:$B$76,MAX(1,MIN(IFERROR(MATCH(AG6,Tables!$A$43:$A$76,1),1),ROWS(Tables!$A$43:$A$76)-1))+1)-INDEX(Tables!$B$43:$B$76,MAX(1,MIN(IFERROR(MATCH(AG6,Tables!$A$43:$A$76,1),1),ROWS(Tables!$A$43:$A$76)-1))))/(INDEX(Tables!$A$43:$A$76,MAX(1,MIN(IFERROR(MATCH(AG6,Tables!$A$43:$A$76,1),1),ROWS(Tables!$A$43:$A$76)-1))+1)-INDEX(Tables!$A$43:$A$76,MAX(1,MIN(IFERROR(MATCH(AG6,Tables!$A$43:$A$76,1),1),ROWS(Tables!$A$43:$A$76)-1))))),(INDEX(Tables!$D$43:$D$76,MAX(1,MIN(IFERROR(MATCH(AG6,Tables!$C$43:$C$76,1),1),ROWS(Tables!$C$43:$C$76)-1)))+(AG6-INDEX(Tables!$C$43:$C$76,MAX(1,MIN(IFERROR(MATCH(AG6,Tables!$C$43:$C$76,1),1),ROWS(Tables!$C$43:$C$76)-1))))*(INDEX(Tables!$D$43:$D$76,MAX(1,MIN(IFERROR(MATCH(AG6,Tables!$C$43:$C$76,1),1),ROWS(Tables!$C$43:$C$76)-1))+1)-INDEX(Tables!$D$43:$D$76,MAX(1,MIN(IFERROR(MATCH(AG6,Tables!$C$43:$C$76,1),1),ROWS(Tables!$C$43:$C$76)-1))))/(INDEX(Tables!$C$43:$C$76,MAX(1,MIN(IFERROR(MATCH(AG6,Tables!$C$43:$C$76,1),1),ROWS(Tables!$C$43:$C$76)-1))+1)-INDEX(Tables!$C$43:$C$76,MAX(1,MIN(IFERROR(MATCH(AG6,Tables!$C$43:$C$76,1),1),ROWS(Tables!$C$43:$C$76)-1))))))</f>
        <v>1.0408461538461538</v>
      </c>
      <c r="AM6" s="181">
        <f>(INDEX(Tables!$B$80:$B$87,MAX(1,MIN(IFERROR(MATCH(AH6,Tables!$A$80:$A$87,1),1),ROWS(Tables!$A$80:$A$87)-1)))+(AH6-INDEX(Tables!$A$80:$A$87,MAX(1,MIN(IFERROR(MATCH(AH6,Tables!$A$80:$A$87,1),1),ROWS(Tables!$A$80:$A$87)-1))))*(INDEX(Tables!$B$80:$B$87,MAX(1,MIN(IFERROR(MATCH(AH6,Tables!$A$80:$A$87,1),1),ROWS(Tables!$A$80:$A$87)-1))+1)-INDEX(Tables!$B$80:$B$87,MAX(1,MIN(IFERROR(MATCH(AH6,Tables!$A$80:$A$87,1),1),ROWS(Tables!$A$80:$A$87)-1))))/(INDEX(Tables!$A$80:$A$87,MAX(1,MIN(IFERROR(MATCH(AH6,Tables!$A$80:$A$87,1),1),ROWS(Tables!$A$80:$A$87)-1))+1)-INDEX(Tables!$A$80:$A$87,MAX(1,MIN(IFERROR(MATCH(AH6,Tables!$A$80:$A$87,1),1),ROWS(Tables!$A$80:$A$87)-1)))))</f>
        <v>0.96739999999999982</v>
      </c>
      <c r="AN6" s="181">
        <f t="shared" si="7"/>
        <v>13795.848392427348</v>
      </c>
      <c r="AO6" s="181">
        <f>(INDEX(Tables!$B$91:$B$94,MAX(1,MIN(IFERROR(MATCH(P6,Tables!$A$91:$A$94,1),1),ROWS(Tables!$A$91:$A$94)-1)))+(P6-INDEX(Tables!$A$91:$A$94,MAX(1,MIN(IFERROR(MATCH(P6,Tables!$A$91:$A$94,1),1),ROWS(Tables!$A$91:$A$94)-1))))*(INDEX(Tables!$B$91:$B$94,MAX(1,MIN(IFERROR(MATCH(P6,Tables!$A$91:$A$94,1),1),ROWS(Tables!$A$91:$A$94)-1))+1)-INDEX(Tables!$B$91:$B$94,MAX(1,MIN(IFERROR(MATCH(P6,Tables!$A$91:$A$94,1),1),ROWS(Tables!$A$91:$A$94)-1))))/(INDEX(Tables!$A$91:$A$94,MAX(1,MIN(IFERROR(MATCH(P6,Tables!$A$91:$A$94,1),1),ROWS(Tables!$A$91:$A$94)-1))+1)-INDEX(Tables!$A$91:$A$94,MAX(1,MIN(IFERROR(MATCH(P6,Tables!$A$91:$A$94,1),1),ROWS(Tables!$A$91:$A$94)-1)))))</f>
        <v>1.3542682926829268</v>
      </c>
      <c r="AP6" s="181">
        <f>IF(AD6=5000,(INDEX(Tables!$B$99:$B$118,MAX(1,MIN(IFERROR(MATCH(AF6,Tables!$A$99:$A$118,1),1),ROWS(Tables!$A$99:$A$118)-1)))+(AF6-INDEX(Tables!$A$99:$A$118,MAX(1,MIN(IFERROR(MATCH(AF6,Tables!$A$99:$A$118,1),1),ROWS(Tables!$A$99:$A$118)-1))))*(INDEX(Tables!$B$99:$B$118,MAX(1,MIN(IFERROR(MATCH(AF6,Tables!$A$99:$A$118,1),1),ROWS(Tables!$A$99:$A$118)-1))+1)-INDEX(Tables!$B$99:$B$118,MAX(1,MIN(IFERROR(MATCH(AF6,Tables!$A$99:$A$118,1),1),ROWS(Tables!$A$99:$A$118)-1))))/(INDEX(Tables!$A$99:$A$118,MAX(1,MIN(IFERROR(MATCH(AF6,Tables!$A$99:$A$118,1),1),ROWS(Tables!$A$99:$A$118)-1))+1)-INDEX(Tables!$A$99:$A$118,MAX(1,MIN(IFERROR(MATCH(AF6,Tables!$A$99:$A$118,1),1),ROWS(Tables!$A$99:$A$118)-1))))),IF(AD6=10000,(INDEX(Tables!$D$99:$D$118,MAX(1,MIN(IFERROR(MATCH(AF6,Tables!$C$99:$C$118,1),1),ROWS(Tables!$C$99:$C$118)-1)))+(AF6-INDEX(Tables!$C$99:$C$118,MAX(1,MIN(IFERROR(MATCH(AF6,Tables!$C$99:$C$118,1),1),ROWS(Tables!$C$99:$C$118)-1))))*(INDEX(Tables!$D$99:$D$118,MAX(1,MIN(IFERROR(MATCH(AF6,Tables!$C$99:$C$118,1),1),ROWS(Tables!$C$99:$C$118)-1))+1)-INDEX(Tables!$D$99:$D$118,MAX(1,MIN(IFERROR(MATCH(AF6,Tables!$C$99:$C$118,1),1),ROWS(Tables!$C$99:$C$118)-1))))/(INDEX(Tables!$C$99:$C$118,MAX(1,MIN(IFERROR(MATCH(AF6,Tables!$C$99:$C$118,1),1),ROWS(Tables!$C$99:$C$118)-1))+1)-INDEX(Tables!$C$99:$C$118,MAX(1,MIN(IFERROR(MATCH(AF6,Tables!$C$99:$C$118,1),1),ROWS(Tables!$C$99:$C$118)-1))))),(INDEX(Tables!$F$99:$F$118,MAX(1,MIN(IFERROR(MATCH(AF6,Tables!$E$99:$E$118,1),1),ROWS(Tables!$E$99:$E$118)-1)))+(AF6-INDEX(Tables!$E$99:$E$118,MAX(1,MIN(IFERROR(MATCH(AF6,Tables!$E$99:$E$118,1),1),ROWS(Tables!$E$99:$E$118)-1))))*(INDEX(Tables!$F$99:$F$118,MAX(1,MIN(IFERROR(MATCH(AF6,Tables!$E$99:$E$118,1),1),ROWS(Tables!$E$99:$E$118)-1))+1)-INDEX(Tables!$F$99:$F$118,MAX(1,MIN(IFERROR(MATCH(AF6,Tables!$E$99:$E$118,1),1),ROWS(Tables!$E$99:$E$118)-1))))/(INDEX(Tables!$E$99:$E$118,MAX(1,MIN(IFERROR(MATCH(AF6,Tables!$E$99:$E$118,1),1),ROWS(Tables!$E$99:$E$118)-1))+1)-INDEX(Tables!$E$99:$E$118,MAX(1,MIN(IFERROR(MATCH(AF6,Tables!$E$99:$E$118,1),1),ROWS(Tables!$E$99:$E$118)-1)))))))</f>
        <v>19.818999999999999</v>
      </c>
      <c r="AQ6" s="181">
        <f>IF(P6&lt;6,(INDEX(Tables!$B$123:$B$138,MAX(1,MIN(IFERROR(MATCH(U6,Tables!$A$123:$A$138,1),1),ROWS(Tables!$A$123:$A$138)-1)))+(U6-INDEX(Tables!$A$123:$A$138,MAX(1,MIN(IFERROR(MATCH(U6,Tables!$A$123:$A$138,1),1),ROWS(Tables!$A$123:$A$138)-1))))*(INDEX(Tables!$B$123:$B$138,MAX(1,MIN(IFERROR(MATCH(U6,Tables!$A$123:$A$138,1),1),ROWS(Tables!$A$123:$A$138)-1))+1)-INDEX(Tables!$B$123:$B$138,MAX(1,MIN(IFERROR(MATCH(U6,Tables!$A$123:$A$138,1),1),ROWS(Tables!$A$123:$A$138)-1))))/(INDEX(Tables!$A$123:$A$138,MAX(1,MIN(IFERROR(MATCH(U6,Tables!$A$123:$A$138,1),1),ROWS(Tables!$A$123:$A$138)-1))+1)-INDEX(Tables!$A$123:$A$138,MAX(1,MIN(IFERROR(MATCH(U6,Tables!$A$123:$A$138,1),1),ROWS(Tables!$A$123:$A$138)-1))))),IF(P6&lt;8,(INDEX(Tables!$D$123:$D$138,MAX(1,MIN(IFERROR(MATCH(U6,Tables!$C$123:$C$138,1),1),ROWS(Tables!$C$123:$C$138)-1)))+(U6-INDEX(Tables!$C$123:$C$138,MAX(1,MIN(IFERROR(MATCH(U6,Tables!$C$123:$C$138,1),1),ROWS(Tables!$C$123:$C$138)-1))))*(INDEX(Tables!$D$123:$D$138,MAX(1,MIN(IFERROR(MATCH(U6,Tables!$C$123:$C$138,1),1),ROWS(Tables!$C$123:$C$138)-1))+1)-INDEX(Tables!$D$123:$D$138,MAX(1,MIN(IFERROR(MATCH(U6,Tables!$C$123:$C$138,1),1),ROWS(Tables!$C$123:$C$138)-1))))/(INDEX(Tables!$C$123:$C$138,MAX(1,MIN(IFERROR(MATCH(U6,Tables!$C$123:$C$138,1),1),ROWS(Tables!$C$123:$C$138)-1))+1)-INDEX(Tables!$C$123:$C$138,MAX(1,MIN(IFERROR(MATCH(U6,Tables!$C$123:$C$138,1),1),ROWS(Tables!$C$123:$C$138)-1))))),IF(P6&lt;10,(INDEX(Tables!$F$123:$F$138,MAX(1,MIN(IFERROR(MATCH(U6,Tables!$E$123:$E$138,1),1),ROWS(Tables!$E$123:$E$138)-1)))+(U6-INDEX(Tables!$E$123:$E$138,MAX(1,MIN(IFERROR(MATCH(U6,Tables!$E$123:$E$138,1),1),ROWS(Tables!$E$123:$E$138)-1))))*(INDEX(Tables!$F$123:$F$138,MAX(1,MIN(IFERROR(MATCH(U6,Tables!$E$123:$E$138,1),1),ROWS(Tables!$E$123:$E$138)-1))+1)-INDEX(Tables!$F$123:$F$138,MAX(1,MIN(IFERROR(MATCH(U6,Tables!$E$123:$E$138,1),1),ROWS(Tables!$E$123:$E$138)-1))))/(INDEX(Tables!$E$123:$E$138,MAX(1,MIN(IFERROR(MATCH(U6,Tables!$E$123:$E$138,1),1),ROWS(Tables!$E$123:$E$138)-1))+1)-INDEX(Tables!$E$123:$E$138,MAX(1,MIN(IFERROR(MATCH(U6,Tables!$E$123:$E$138,1),1),ROWS(Tables!$E$123:$E$138)-1))))),(INDEX(Tables!$H$123:$H$138,MAX(1,MIN(IFERROR(MATCH(U6,Tables!$G$123:$G$138,1),1),ROWS(Tables!$G$123:$G$138)-1)))+(U6-INDEX(Tables!$G$123:$G$138,MAX(1,MIN(IFERROR(MATCH(U6,Tables!$G$123:$G$138,1),1),ROWS(Tables!$G$123:$G$138)-1))))*(INDEX(Tables!$H$123:$H$138,MAX(1,MIN(IFERROR(MATCH(U6,Tables!$G$123:$G$138,1),1),ROWS(Tables!$G$123:$G$138)-1))+1)-INDEX(Tables!$H$123:$H$138,MAX(1,MIN(IFERROR(MATCH(U6,Tables!$G$123:$G$138,1),1),ROWS(Tables!$G$123:$G$138)-1))))/(INDEX(Tables!$G$123:$G$138,MAX(1,MIN(IFERROR(MATCH(U6,Tables!$G$123:$G$138,1),1),ROWS(Tables!$G$123:$G$138)-1))+1)-INDEX(Tables!$G$123:$G$138,MAX(1,MIN(IFERROR(MATCH(U6,Tables!$G$123:$G$138,1),1),ROWS(Tables!$G$123:$G$138)-1))))))))</f>
        <v>0.57750000000000001</v>
      </c>
      <c r="AR6" s="181">
        <f>IF(OR(P6&gt;=4,U6&gt;12),VLOOKUP(R6&amp;" "&amp;S6,Tables!$D$143:$F$148,2,FALSE),VLOOKUP(R6&amp;" "&amp;S6,Tables!$A$143:$C$148,2,FALSE))</f>
        <v>1</v>
      </c>
      <c r="AS6" s="181">
        <f>IF(OR(P6&gt;=4,U6&gt;12),VLOOKUP(R6&amp;" "&amp;S6,Tables!$D$143:$F$148,3,FALSE),VLOOKUP(R6&amp;" "&amp;S6,Tables!$A$143:$C$148,3,FALSE))</f>
        <v>0.65</v>
      </c>
      <c r="AT6" s="181">
        <f t="shared" si="8"/>
        <v>839.59636049923779</v>
      </c>
      <c r="AU6" s="181">
        <f>IF(AD6=5000,(INDEX(Tables!$B$244:$B$263,MAX(1,MIN(IFERROR(MATCH(AF6,Tables!$A$244:$A$263,1),1),ROWS(Tables!$A$244:$A$263)-1)))+(AF6-INDEX(Tables!$A$244:$A$263,MAX(1,MIN(IFERROR(MATCH(AF6,Tables!$A$244:$A$263,1),1),ROWS(Tables!$A$244:$A$263)-1))))*(INDEX(Tables!$B$244:$B$263,MAX(1,MIN(IFERROR(MATCH(AF6,Tables!$A$244:$A$263,1),1),ROWS(Tables!$A$244:$A$263)-1))+1)-INDEX(Tables!$B$244:$B$263,MAX(1,MIN(IFERROR(MATCH(AF6,Tables!$A$244:$A$263,1),1),ROWS(Tables!$A$244:$A$263)-1))))/(INDEX(Tables!$A$244:$A$263,MAX(1,MIN(IFERROR(MATCH(AF6,Tables!$A$244:$A$263,1),1),ROWS(Tables!$A$244:$A$263)-1))+1)-INDEX(Tables!$A$244:$A$263,MAX(1,MIN(IFERROR(MATCH(AF6,Tables!$A$244:$A$263,1),1),ROWS(Tables!$A$244:$A$263)-1))))),IF(AD6=10000,(INDEX(Tables!$D$244:$D$263,MAX(1,MIN(IFERROR(MATCH(AF6,Tables!$C$244:$C$263,1),1),ROWS(Tables!$C$244:$C$263)-1)))+(AF6-INDEX(Tables!$C$244:$C$263,MAX(1,MIN(IFERROR(MATCH(AF6,Tables!$C$244:$C$263,1),1),ROWS(Tables!$C$244:$C$263)-1))))*(INDEX(Tables!$D$244:$D$263,MAX(1,MIN(IFERROR(MATCH(AF6,Tables!$C$244:$C$263,1),1),ROWS(Tables!$C$244:$C$263)-1))+1)-INDEX(Tables!$D$244:$D$263,MAX(1,MIN(IFERROR(MATCH(AF6,Tables!$C$244:$C$263,1),1),ROWS(Tables!$C$244:$C$263)-1))))/(INDEX(Tables!$C$244:$C$263,MAX(1,MIN(IFERROR(MATCH(AF6,Tables!$C$244:$C$263,1),1),ROWS(Tables!$C$244:$C$263)-1))+1)-INDEX(Tables!$C$244:$C$263,MAX(1,MIN(IFERROR(MATCH(AF6,Tables!$C$244:$C$263,1),1),ROWS(Tables!$C$244:$C$263)-1))))),(INDEX(Tables!$F$244:$F$263,MAX(1,MIN(IFERROR(MATCH(AF6,Tables!$E$244:$E$263,1),1),ROWS(Tables!$E$244:$E$263)-1)))+(AF6-INDEX(Tables!$E$244:$E$263,MAX(1,MIN(IFERROR(MATCH(AF6,Tables!$E$244:$E$263,1),1),ROWS(Tables!$E$244:$E$263)-1))))*(INDEX(Tables!$F$244:$F$263,MAX(1,MIN(IFERROR(MATCH(AF6,Tables!$E$244:$E$263,1),1),ROWS(Tables!$E$244:$E$263)-1))+1)-INDEX(Tables!$F$244:$F$263,MAX(1,MIN(IFERROR(MATCH(AF6,Tables!$E$244:$E$263,1),1),ROWS(Tables!$E$244:$E$263)-1))))/(INDEX(Tables!$E$244:$E$263,MAX(1,MIN(IFERROR(MATCH(AF6,Tables!$E$244:$E$263,1),1),ROWS(Tables!$E$244:$E$263)-1))+1)-INDEX(Tables!$E$244:$E$263,MAX(1,MIN(IFERROR(MATCH(AF6,Tables!$E$244:$E$263,1),1),ROWS(Tables!$E$244:$E$263)-1)))))))</f>
        <v>14.659000000000001</v>
      </c>
      <c r="AV6" s="181">
        <f>IF(P6&lt;6,(INDEX(Tables!$B$260:$B$274,MAX(1,MIN(IFERROR(MATCH(U6,Tables!$A$260:$A$274,1),1),ROWS(Tables!$A$260:$A$274)-1)))+(U6-INDEX(Tables!$A$260:$A$274,MAX(1,MIN(IFERROR(MATCH(U6,Tables!$A$260:$A$274,1),1),ROWS(Tables!$A$260:$A$274)-1))))*(INDEX(Tables!$B$260:$B$274,MAX(1,MIN(IFERROR(MATCH(U6,Tables!$A$260:$A$274,1),1),ROWS(Tables!$A$260:$A$274)-1))+1)-INDEX(Tables!$B$260:$B$274,MAX(1,MIN(IFERROR(MATCH(U6,Tables!$A$260:$A$274,1),1),ROWS(Tables!$A$260:$A$274)-1))))/(INDEX(Tables!$A$260:$A$274,MAX(1,MIN(IFERROR(MATCH(U6,Tables!$A$260:$A$274,1),1),ROWS(Tables!$A$260:$A$274)-1))+1)-INDEX(Tables!$A$260:$A$274,MAX(1,MIN(IFERROR(MATCH(U6,Tables!$A$260:$A$274,1),1),ROWS(Tables!$A$260:$A$274)-1))))),IF(P6&lt;8,(INDEX(Tables!$D$260:$D$274,MAX(1,MIN(IFERROR(MATCH(U6,Tables!$C$260:$C$274,1),1),ROWS(Tables!$C$260:$C$274)-1)))+(U6-INDEX(Tables!$C$260:$C$274,MAX(1,MIN(IFERROR(MATCH(U6,Tables!$C$260:$C$274,1),1),ROWS(Tables!$C$260:$C$274)-1))))*(INDEX(Tables!$D$260:$D$274,MAX(1,MIN(IFERROR(MATCH(U6,Tables!$C$260:$C$274,1),1),ROWS(Tables!$C$260:$C$274)-1))+1)-INDEX(Tables!$D$260:$D$274,MAX(1,MIN(IFERROR(MATCH(U6,Tables!$C$260:$C$274,1),1),ROWS(Tables!$C$260:$C$274)-1))))/(INDEX(Tables!$C$260:$C$274,MAX(1,MIN(IFERROR(MATCH(U6,Tables!$C$260:$C$274,1),1),ROWS(Tables!$C$260:$C$274)-1))+1)-INDEX(Tables!$C$260:$C$274,MAX(1,MIN(IFERROR(MATCH(U6,Tables!$C$260:$C$274,1),1),ROWS(Tables!$C$260:$C$274)-1))))),IF(P6&lt;10,(INDEX(Tables!$F$260:$F$274,MAX(1,MIN(IFERROR(MATCH(U6,Tables!$E$260:$E$274,1),1),ROWS(Tables!$E$260:$E$274)-1)))+(U6-INDEX(Tables!$E$260:$E$274,MAX(1,MIN(IFERROR(MATCH(U6,Tables!$E$260:$E$274,1),1),ROWS(Tables!$E$260:$E$274)-1))))*(INDEX(Tables!$F$260:$F$274,MAX(1,MIN(IFERROR(MATCH(U6,Tables!$E$260:$E$274,1),1),ROWS(Tables!$E$260:$E$274)-1))+1)-INDEX(Tables!$F$260:$F$274,MAX(1,MIN(IFERROR(MATCH(U6,Tables!$E$260:$E$274,1),1),ROWS(Tables!$E$260:$E$274)-1))))/(INDEX(Tables!$E$260:$E$274,MAX(1,MIN(IFERROR(MATCH(U6,Tables!$E$260:$E$274,1),1),ROWS(Tables!$E$260:$E$274)-1))+1)-INDEX(Tables!$E$260:$E$274,MAX(1,MIN(IFERROR(MATCH(U6,Tables!$E$260:$E$274,1),1),ROWS(Tables!$E$260:$E$274)-1))))),(INDEX(Tables!$H$260:$H$274,MAX(1,MIN(IFERROR(MATCH(U6,Tables!$G$260:$G$274,1),1),ROWS(Tables!$G$260:$G$274)-1)))+(U6-INDEX(Tables!$G$260:$G$274,MAX(1,MIN(IFERROR(MATCH(U6,Tables!$G$260:$G$274,1),1),ROWS(Tables!$G$260:$G$274)-1))))*(INDEX(Tables!$H$260:$H$274,MAX(1,MIN(IFERROR(MATCH(U6,Tables!$G$260:$G$274,1),1),ROWS(Tables!$G$260:$G$274)-1))+1)-INDEX(Tables!$H$260:$H$274,MAX(1,MIN(IFERROR(MATCH(U6,Tables!$G$260:$G$274,1),1),ROWS(Tables!$G$260:$G$274)-1))))/(INDEX(Tables!$G$260:$G$274,MAX(1,MIN(IFERROR(MATCH(U6,Tables!$G$260:$G$274,1),1),ROWS(Tables!$G$260:$G$274)-1))+1)-INDEX(Tables!$G$260:$G$274,MAX(1,MIN(IFERROR(MATCH(U6,Tables!$G$260:$G$274,1),1),ROWS(Tables!$G$260:$G$274)-1))))))))</f>
        <v>0.64533333333333331</v>
      </c>
      <c r="AW6" s="181">
        <f t="shared" si="9"/>
        <v>693.94534074525745</v>
      </c>
      <c r="AX6" s="181">
        <f t="shared" si="10"/>
        <v>0</v>
      </c>
      <c r="AY6" s="181">
        <f t="shared" si="11"/>
        <v>14635.444752926585</v>
      </c>
      <c r="AZ6" s="181">
        <f t="shared" si="12"/>
        <v>4832.699858473462</v>
      </c>
      <c r="BA6" s="181">
        <f t="shared" si="13"/>
        <v>0</v>
      </c>
      <c r="BB6" s="181">
        <f t="shared" si="14"/>
        <v>12915.979221564707</v>
      </c>
      <c r="BC6" s="181">
        <f t="shared" si="15"/>
        <v>46800</v>
      </c>
      <c r="BD6" s="181">
        <f>VLOOKUP(V6&amp;" "&amp;J6,Tables!$A$152:$E$239,4,FALSE)</f>
        <v>12000</v>
      </c>
      <c r="BE6" s="181">
        <f>VLOOKUP(V6&amp;" "&amp;J6,Tables!$A$152:$E$239,5,FALSE)</f>
        <v>23000</v>
      </c>
      <c r="BF6" s="181">
        <f t="shared" si="16"/>
        <v>8640</v>
      </c>
      <c r="BG6" s="181">
        <f t="shared" si="17"/>
        <v>16560</v>
      </c>
      <c r="BH6" s="181">
        <f t="shared" si="18"/>
        <v>0</v>
      </c>
      <c r="BI6" s="181">
        <f t="shared" si="19"/>
        <v>46800</v>
      </c>
      <c r="BJ6" s="181">
        <f t="shared" si="20"/>
        <v>12915.979221564707</v>
      </c>
      <c r="BK6" s="181">
        <f t="shared" si="21"/>
        <v>46800</v>
      </c>
      <c r="BL6" s="181">
        <f t="shared" si="22"/>
        <v>693.94534074525745</v>
      </c>
      <c r="BM6" s="181">
        <f t="shared" si="23"/>
        <v>8640</v>
      </c>
      <c r="BN6" s="181">
        <f t="shared" si="24"/>
        <v>839.59636049923779</v>
      </c>
      <c r="BO6" s="181">
        <f t="shared" si="25"/>
        <v>16560</v>
      </c>
      <c r="BP6" t="str">
        <f t="shared" si="26"/>
        <v>Pass</v>
      </c>
      <c r="BQ6" t="str">
        <f t="shared" si="27"/>
        <v>Pass</v>
      </c>
      <c r="BR6" t="str">
        <f t="shared" si="28"/>
        <v>Pass</v>
      </c>
      <c r="BS6" t="str">
        <f t="shared" si="29"/>
        <v>Pass</v>
      </c>
      <c r="BT6" t="str">
        <f t="shared" si="30"/>
        <v>Pass</v>
      </c>
      <c r="BU6" t="str">
        <f t="shared" si="31"/>
        <v>Effective Stress</v>
      </c>
    </row>
    <row r="7" spans="1:73">
      <c r="A7" t="s">
        <v>599</v>
      </c>
      <c r="B7" s="181">
        <v>5</v>
      </c>
      <c r="C7" t="s">
        <v>594</v>
      </c>
      <c r="D7" s="181">
        <v>36</v>
      </c>
      <c r="E7" s="181">
        <v>0.312</v>
      </c>
      <c r="F7" t="s">
        <v>117</v>
      </c>
      <c r="G7" t="s">
        <v>119</v>
      </c>
      <c r="H7" t="s">
        <v>122</v>
      </c>
      <c r="I7" s="181">
        <v>1</v>
      </c>
      <c r="J7" t="s">
        <v>126</v>
      </c>
      <c r="K7" t="s">
        <v>129</v>
      </c>
      <c r="L7" s="181">
        <v>70</v>
      </c>
      <c r="M7" s="181">
        <v>0</v>
      </c>
      <c r="N7" t="s">
        <v>389</v>
      </c>
      <c r="O7" s="181">
        <v>120</v>
      </c>
      <c r="P7" s="181">
        <v>14</v>
      </c>
      <c r="Q7" s="181">
        <v>38</v>
      </c>
      <c r="R7" t="s">
        <v>154</v>
      </c>
      <c r="S7" t="s">
        <v>420</v>
      </c>
      <c r="T7" s="181">
        <v>70</v>
      </c>
      <c r="U7" s="181">
        <f>HLOOKUP(D7,'Highway Loading'!$C$155:$AD$156,2,FALSE)</f>
        <v>36</v>
      </c>
      <c r="V7" s="181">
        <f>IF(ISBLANK(G7),"",INDEX('Highway Loading'!$C$216:$AG$216,1,MATCH(G7,'Highway Loading'!$C$215:$AG$215,0)))</f>
        <v>65000</v>
      </c>
      <c r="W7" s="181">
        <f>INDEX('Highway Loading'!$I$245:$L$253,MATCH(H7,'Highway Loading'!$H$245:$H$253,0),MATCH(I7,'Highway Loading'!$I$244:$L$244,0))</f>
        <v>0.72</v>
      </c>
      <c r="X7" s="181">
        <f t="shared" si="0"/>
        <v>1</v>
      </c>
      <c r="Y7" s="181">
        <f>VLOOKUP(K7,'Highway Loading'!$B$283:$E$292,2,FALSE)</f>
        <v>29000000</v>
      </c>
      <c r="Z7" s="181">
        <f>VLOOKUP(K7,'Highway Loading'!$B$283:$E$292,3,FALSE)</f>
        <v>0.3</v>
      </c>
      <c r="AA7" s="181">
        <f>VLOOKUP(K7,'Highway Loading'!$B$283:$E$292,4,FALSE)</f>
        <v>6.4999999999999996E-6</v>
      </c>
      <c r="AB7" s="181">
        <f t="shared" si="1"/>
        <v>1</v>
      </c>
      <c r="AC7" s="181">
        <f>VLOOKUP(N7,'Highway Loading'!$B$256:$D$261,2,FALSE)</f>
        <v>500</v>
      </c>
      <c r="AD7" s="181">
        <f>VLOOKUP(N7,'Highway Loading'!$B$256:$D$261,3,FALSE)</f>
        <v>5000</v>
      </c>
      <c r="AE7" s="181">
        <f>VLOOKUP(S7,'Highway Loading'!$B$340:$C$341,2,FALSE)</f>
        <v>12000</v>
      </c>
      <c r="AF7" s="181">
        <f t="shared" si="2"/>
        <v>8.6666666666666663E-3</v>
      </c>
      <c r="AG7" s="181">
        <f t="shared" si="3"/>
        <v>4.4210526315789478</v>
      </c>
      <c r="AH7" s="181">
        <f t="shared" si="4"/>
        <v>1.0555555555555556</v>
      </c>
      <c r="AI7" s="181">
        <f t="shared" si="5"/>
        <v>0</v>
      </c>
      <c r="AJ7" s="181">
        <f t="shared" si="6"/>
        <v>46800</v>
      </c>
      <c r="AK7" s="181">
        <f>IF(AC7=200,(INDEX(Tables!$B$17:$B$38,MAX(1,MIN(IFERROR(MATCH(AF7,Tables!$A$17:$A$38,1),1),ROWS(Tables!$A$17:$A$38)-1)))+(AF7-INDEX(Tables!$A$17:$A$38,MAX(1,MIN(IFERROR(MATCH(AF7,Tables!$A$17:$A$38,1),1),ROWS(Tables!$A$17:$A$38)-1))))*(INDEX(Tables!$B$17:$B$38,MAX(1,MIN(IFERROR(MATCH(AF7,Tables!$A$17:$A$38,1),1),ROWS(Tables!$A$17:$A$38)-1))+1)-INDEX(Tables!$B$17:$B$38,MAX(1,MIN(IFERROR(MATCH(AF7,Tables!$A$17:$A$38,1),1),ROWS(Tables!$A$17:$A$38)-1))))/(INDEX(Tables!$A$17:$A$38,MAX(1,MIN(IFERROR(MATCH(AF7,Tables!$A$17:$A$38,1),1),ROWS(Tables!$A$17:$A$38)-1))+1)-INDEX(Tables!$A$17:$A$38,MAX(1,MIN(IFERROR(MATCH(AF7,Tables!$A$17:$A$38,1),1),ROWS(Tables!$A$17:$A$38)-1))))),IF(AC7=500,(INDEX(Tables!$D$17:$D$38,MAX(1,MIN(IFERROR(MATCH(AF7,Tables!$C$17:$C$38,1),1),ROWS(Tables!$C$17:$C$38)-1)))+(AF7-INDEX(Tables!$C$17:$C$38,MAX(1,MIN(IFERROR(MATCH(AF7,Tables!$C$17:$C$38,1),1),ROWS(Tables!$C$17:$C$38)-1))))*(INDEX(Tables!$D$17:$D$38,MAX(1,MIN(IFERROR(MATCH(AF7,Tables!$C$17:$C$38,1),1),ROWS(Tables!$C$17:$C$38)-1))+1)-INDEX(Tables!$D$17:$D$38,MAX(1,MIN(IFERROR(MATCH(AF7,Tables!$C$17:$C$38,1),1),ROWS(Tables!$C$17:$C$38)-1))))/(INDEX(Tables!$C$17:$C$38,MAX(1,MIN(IFERROR(MATCH(AF7,Tables!$C$17:$C$38,1),1),ROWS(Tables!$C$17:$C$38)-1))+1)-INDEX(Tables!$C$17:$C$38,MAX(1,MIN(IFERROR(MATCH(AF7,Tables!$C$17:$C$38,1),1),ROWS(Tables!$C$17:$C$38)-1))))),IF(AC7=1000,(INDEX(Tables!$F$17:$F$38,MAX(1,MIN(IFERROR(MATCH(AF7,Tables!$E$17:$E$38,1),1),ROWS(Tables!$E$17:$E$38)-1)))+(AF7-INDEX(Tables!$E$17:$E$38,MAX(1,MIN(IFERROR(MATCH(AF7,Tables!$E$17:$E$38,1),1),ROWS(Tables!$E$17:$E$38)-1))))*(INDEX(Tables!$F$17:$F$38,MAX(1,MIN(IFERROR(MATCH(AF7,Tables!$E$17:$E$38,1),1),ROWS(Tables!$E$17:$E$38)-1))+1)-INDEX(Tables!$F$17:$F$38,MAX(1,MIN(IFERROR(MATCH(AF7,Tables!$E$17:$E$38,1),1),ROWS(Tables!$E$17:$E$38)-1))))/(INDEX(Tables!$E$17:$E$38,MAX(1,MIN(IFERROR(MATCH(AF7,Tables!$E$17:$E$38,1),1),ROWS(Tables!$E$17:$E$38)-1))+1)-INDEX(Tables!$E$17:$E$38,MAX(1,MIN(IFERROR(MATCH(AF7,Tables!$E$17:$E$38,1),1),ROWS(Tables!$E$17:$E$38)-1))))),(INDEX(Tables!$H$17:$H$38,MAX(1,MIN(IFERROR(MATCH(AF7,Tables!$G$17:$G$38,1),1),ROWS(Tables!$G$17:$G$38)-1)))+(AF7-INDEX(Tables!$G$17:$G$38,MAX(1,MIN(IFERROR(MATCH(AF7,Tables!$G$17:$G$38,1),1),ROWS(Tables!$G$17:$G$38)-1))))*(INDEX(Tables!$H$17:$H$38,MAX(1,MIN(IFERROR(MATCH(AF7,Tables!$G$17:$G$38,1),1),ROWS(Tables!$G$17:$G$38)-1))+1)-INDEX(Tables!$H$17:$H$38,MAX(1,MIN(IFERROR(MATCH(AF7,Tables!$G$17:$G$38,1),1),ROWS(Tables!$G$17:$G$38)-1))))/(INDEX(Tables!$G$17:$G$38,MAX(1,MIN(IFERROR(MATCH(AF7,Tables!$G$17:$G$38,1),1),ROWS(Tables!$G$17:$G$38)-1))+1)-INDEX(Tables!$G$17:$G$38,MAX(1,MIN(IFERROR(MATCH(AF7,Tables!$G$17:$G$38,1),1),ROWS(Tables!$G$17:$G$38)-1))))))))</f>
        <v>7046.4761904761908</v>
      </c>
      <c r="AL7" s="181">
        <f>IF(AC7&lt;1000,(INDEX(Tables!$B$43:$B$76,MAX(1,MIN(IFERROR(MATCH(AG7,Tables!$A$43:$A$76,1),1),ROWS(Tables!$A$43:$A$76)-1)))+(AG7-INDEX(Tables!$A$43:$A$76,MAX(1,MIN(IFERROR(MATCH(AG7,Tables!$A$43:$A$76,1),1),ROWS(Tables!$A$43:$A$76)-1))))*(INDEX(Tables!$B$43:$B$76,MAX(1,MIN(IFERROR(MATCH(AG7,Tables!$A$43:$A$76,1),1),ROWS(Tables!$A$43:$A$76)-1))+1)-INDEX(Tables!$B$43:$B$76,MAX(1,MIN(IFERROR(MATCH(AG7,Tables!$A$43:$A$76,1),1),ROWS(Tables!$A$43:$A$76)-1))))/(INDEX(Tables!$A$43:$A$76,MAX(1,MIN(IFERROR(MATCH(AG7,Tables!$A$43:$A$76,1),1),ROWS(Tables!$A$43:$A$76)-1))+1)-INDEX(Tables!$A$43:$A$76,MAX(1,MIN(IFERROR(MATCH(AG7,Tables!$A$43:$A$76,1),1),ROWS(Tables!$A$43:$A$76)-1))))),(INDEX(Tables!$D$43:$D$76,MAX(1,MIN(IFERROR(MATCH(AG7,Tables!$C$43:$C$76,1),1),ROWS(Tables!$C$43:$C$76)-1)))+(AG7-INDEX(Tables!$C$43:$C$76,MAX(1,MIN(IFERROR(MATCH(AG7,Tables!$C$43:$C$76,1),1),ROWS(Tables!$C$43:$C$76)-1))))*(INDEX(Tables!$D$43:$D$76,MAX(1,MIN(IFERROR(MATCH(AG7,Tables!$C$43:$C$76,1),1),ROWS(Tables!$C$43:$C$76)-1))+1)-INDEX(Tables!$D$43:$D$76,MAX(1,MIN(IFERROR(MATCH(AG7,Tables!$C$43:$C$76,1),1),ROWS(Tables!$C$43:$C$76)-1))))/(INDEX(Tables!$C$43:$C$76,MAX(1,MIN(IFERROR(MATCH(AG7,Tables!$C$43:$C$76,1),1),ROWS(Tables!$C$43:$C$76)-1))+1)-INDEX(Tables!$C$43:$C$76,MAX(1,MIN(IFERROR(MATCH(AG7,Tables!$C$43:$C$76,1),1),ROWS(Tables!$C$43:$C$76)-1))))))</f>
        <v>1.022578947368421</v>
      </c>
      <c r="AM7" s="181">
        <f>(INDEX(Tables!$B$80:$B$87,MAX(1,MIN(IFERROR(MATCH(AH7,Tables!$A$80:$A$87,1),1),ROWS(Tables!$A$80:$A$87)-1)))+(AH7-INDEX(Tables!$A$80:$A$87,MAX(1,MIN(IFERROR(MATCH(AH7,Tables!$A$80:$A$87,1),1),ROWS(Tables!$A$80:$A$87)-1))))*(INDEX(Tables!$B$80:$B$87,MAX(1,MIN(IFERROR(MATCH(AH7,Tables!$A$80:$A$87,1),1),ROWS(Tables!$A$80:$A$87)-1))+1)-INDEX(Tables!$B$80:$B$87,MAX(1,MIN(IFERROR(MATCH(AH7,Tables!$A$80:$A$87,1),1),ROWS(Tables!$A$80:$A$87)-1))))/(INDEX(Tables!$A$80:$A$87,MAX(1,MIN(IFERROR(MATCH(AH7,Tables!$A$80:$A$87,1),1),ROWS(Tables!$A$80:$A$87)-1))+1)-INDEX(Tables!$A$80:$A$87,MAX(1,MIN(IFERROR(MATCH(AH7,Tables!$A$80:$A$87,1),1),ROWS(Tables!$A$80:$A$87)-1)))))</f>
        <v>0.91873333333333329</v>
      </c>
      <c r="AN7" s="181">
        <f t="shared" si="7"/>
        <v>16550.012208364242</v>
      </c>
      <c r="AO7" s="181">
        <f>(INDEX(Tables!$B$91:$B$94,MAX(1,MIN(IFERROR(MATCH(P7,Tables!$A$91:$A$94,1),1),ROWS(Tables!$A$91:$A$94)-1)))+(P7-INDEX(Tables!$A$91:$A$94,MAX(1,MIN(IFERROR(MATCH(P7,Tables!$A$91:$A$94,1),1),ROWS(Tables!$A$91:$A$94)-1))))*(INDEX(Tables!$B$91:$B$94,MAX(1,MIN(IFERROR(MATCH(P7,Tables!$A$91:$A$94,1),1),ROWS(Tables!$A$91:$A$94)-1))+1)-INDEX(Tables!$B$91:$B$94,MAX(1,MIN(IFERROR(MATCH(P7,Tables!$A$91:$A$94,1),1),ROWS(Tables!$A$91:$A$94)-1))))/(INDEX(Tables!$A$91:$A$94,MAX(1,MIN(IFERROR(MATCH(P7,Tables!$A$91:$A$94,1),1),ROWS(Tables!$A$91:$A$94)-1))+1)-INDEX(Tables!$A$91:$A$94,MAX(1,MIN(IFERROR(MATCH(P7,Tables!$A$91:$A$94,1),1),ROWS(Tables!$A$91:$A$94)-1)))))</f>
        <v>1.2323170731707318</v>
      </c>
      <c r="AP7" s="181">
        <f>IF(AD7=5000,(INDEX(Tables!$B$99:$B$118,MAX(1,MIN(IFERROR(MATCH(AF7,Tables!$A$99:$A$118,1),1),ROWS(Tables!$A$99:$A$118)-1)))+(AF7-INDEX(Tables!$A$99:$A$118,MAX(1,MIN(IFERROR(MATCH(AF7,Tables!$A$99:$A$118,1),1),ROWS(Tables!$A$99:$A$118)-1))))*(INDEX(Tables!$B$99:$B$118,MAX(1,MIN(IFERROR(MATCH(AF7,Tables!$A$99:$A$118,1),1),ROWS(Tables!$A$99:$A$118)-1))+1)-INDEX(Tables!$B$99:$B$118,MAX(1,MIN(IFERROR(MATCH(AF7,Tables!$A$99:$A$118,1),1),ROWS(Tables!$A$99:$A$118)-1))))/(INDEX(Tables!$A$99:$A$118,MAX(1,MIN(IFERROR(MATCH(AF7,Tables!$A$99:$A$118,1),1),ROWS(Tables!$A$99:$A$118)-1))+1)-INDEX(Tables!$A$99:$A$118,MAX(1,MIN(IFERROR(MATCH(AF7,Tables!$A$99:$A$118,1),1),ROWS(Tables!$A$99:$A$118)-1))))),IF(AD7=10000,(INDEX(Tables!$D$99:$D$118,MAX(1,MIN(IFERROR(MATCH(AF7,Tables!$C$99:$C$118,1),1),ROWS(Tables!$C$99:$C$118)-1)))+(AF7-INDEX(Tables!$C$99:$C$118,MAX(1,MIN(IFERROR(MATCH(AF7,Tables!$C$99:$C$118,1),1),ROWS(Tables!$C$99:$C$118)-1))))*(INDEX(Tables!$D$99:$D$118,MAX(1,MIN(IFERROR(MATCH(AF7,Tables!$C$99:$C$118,1),1),ROWS(Tables!$C$99:$C$118)-1))+1)-INDEX(Tables!$D$99:$D$118,MAX(1,MIN(IFERROR(MATCH(AF7,Tables!$C$99:$C$118,1),1),ROWS(Tables!$C$99:$C$118)-1))))/(INDEX(Tables!$C$99:$C$118,MAX(1,MIN(IFERROR(MATCH(AF7,Tables!$C$99:$C$118,1),1),ROWS(Tables!$C$99:$C$118)-1))+1)-INDEX(Tables!$C$99:$C$118,MAX(1,MIN(IFERROR(MATCH(AF7,Tables!$C$99:$C$118,1),1),ROWS(Tables!$C$99:$C$118)-1))))),(INDEX(Tables!$F$99:$F$118,MAX(1,MIN(IFERROR(MATCH(AF7,Tables!$E$99:$E$118,1),1),ROWS(Tables!$E$99:$E$118)-1)))+(AF7-INDEX(Tables!$E$99:$E$118,MAX(1,MIN(IFERROR(MATCH(AF7,Tables!$E$99:$E$118,1),1),ROWS(Tables!$E$99:$E$118)-1))))*(INDEX(Tables!$F$99:$F$118,MAX(1,MIN(IFERROR(MATCH(AF7,Tables!$E$99:$E$118,1),1),ROWS(Tables!$E$99:$E$118)-1))+1)-INDEX(Tables!$F$99:$F$118,MAX(1,MIN(IFERROR(MATCH(AF7,Tables!$E$99:$E$118,1),1),ROWS(Tables!$E$99:$E$118)-1))))/(INDEX(Tables!$E$99:$E$118,MAX(1,MIN(IFERROR(MATCH(AF7,Tables!$E$99:$E$118,1),1),ROWS(Tables!$E$99:$E$118)-1))+1)-INDEX(Tables!$E$99:$E$118,MAX(1,MIN(IFERROR(MATCH(AF7,Tables!$E$99:$E$118,1),1),ROWS(Tables!$E$99:$E$118)-1)))))))</f>
        <v>19.818999999999999</v>
      </c>
      <c r="AQ7" s="181">
        <f>IF(P7&lt;6,(INDEX(Tables!$B$123:$B$138,MAX(1,MIN(IFERROR(MATCH(U7,Tables!$A$123:$A$138,1),1),ROWS(Tables!$A$123:$A$138)-1)))+(U7-INDEX(Tables!$A$123:$A$138,MAX(1,MIN(IFERROR(MATCH(U7,Tables!$A$123:$A$138,1),1),ROWS(Tables!$A$123:$A$138)-1))))*(INDEX(Tables!$B$123:$B$138,MAX(1,MIN(IFERROR(MATCH(U7,Tables!$A$123:$A$138,1),1),ROWS(Tables!$A$123:$A$138)-1))+1)-INDEX(Tables!$B$123:$B$138,MAX(1,MIN(IFERROR(MATCH(U7,Tables!$A$123:$A$138,1),1),ROWS(Tables!$A$123:$A$138)-1))))/(INDEX(Tables!$A$123:$A$138,MAX(1,MIN(IFERROR(MATCH(U7,Tables!$A$123:$A$138,1),1),ROWS(Tables!$A$123:$A$138)-1))+1)-INDEX(Tables!$A$123:$A$138,MAX(1,MIN(IFERROR(MATCH(U7,Tables!$A$123:$A$138,1),1),ROWS(Tables!$A$123:$A$138)-1))))),IF(P7&lt;8,(INDEX(Tables!$D$123:$D$138,MAX(1,MIN(IFERROR(MATCH(U7,Tables!$C$123:$C$138,1),1),ROWS(Tables!$C$123:$C$138)-1)))+(U7-INDEX(Tables!$C$123:$C$138,MAX(1,MIN(IFERROR(MATCH(U7,Tables!$C$123:$C$138,1),1),ROWS(Tables!$C$123:$C$138)-1))))*(INDEX(Tables!$D$123:$D$138,MAX(1,MIN(IFERROR(MATCH(U7,Tables!$C$123:$C$138,1),1),ROWS(Tables!$C$123:$C$138)-1))+1)-INDEX(Tables!$D$123:$D$138,MAX(1,MIN(IFERROR(MATCH(U7,Tables!$C$123:$C$138,1),1),ROWS(Tables!$C$123:$C$138)-1))))/(INDEX(Tables!$C$123:$C$138,MAX(1,MIN(IFERROR(MATCH(U7,Tables!$C$123:$C$138,1),1),ROWS(Tables!$C$123:$C$138)-1))+1)-INDEX(Tables!$C$123:$C$138,MAX(1,MIN(IFERROR(MATCH(U7,Tables!$C$123:$C$138,1),1),ROWS(Tables!$C$123:$C$138)-1))))),IF(P7&lt;10,(INDEX(Tables!$F$123:$F$138,MAX(1,MIN(IFERROR(MATCH(U7,Tables!$E$123:$E$138,1),1),ROWS(Tables!$E$123:$E$138)-1)))+(U7-INDEX(Tables!$E$123:$E$138,MAX(1,MIN(IFERROR(MATCH(U7,Tables!$E$123:$E$138,1),1),ROWS(Tables!$E$123:$E$138)-1))))*(INDEX(Tables!$F$123:$F$138,MAX(1,MIN(IFERROR(MATCH(U7,Tables!$E$123:$E$138,1),1),ROWS(Tables!$E$123:$E$138)-1))+1)-INDEX(Tables!$F$123:$F$138,MAX(1,MIN(IFERROR(MATCH(U7,Tables!$E$123:$E$138,1),1),ROWS(Tables!$E$123:$E$138)-1))))/(INDEX(Tables!$E$123:$E$138,MAX(1,MIN(IFERROR(MATCH(U7,Tables!$E$123:$E$138,1),1),ROWS(Tables!$E$123:$E$138)-1))+1)-INDEX(Tables!$E$123:$E$138,MAX(1,MIN(IFERROR(MATCH(U7,Tables!$E$123:$E$138,1),1),ROWS(Tables!$E$123:$E$138)-1))))),(INDEX(Tables!$H$123:$H$138,MAX(1,MIN(IFERROR(MATCH(U7,Tables!$G$123:$G$138,1),1),ROWS(Tables!$G$123:$G$138)-1)))+(U7-INDEX(Tables!$G$123:$G$138,MAX(1,MIN(IFERROR(MATCH(U7,Tables!$G$123:$G$138,1),1),ROWS(Tables!$G$123:$G$138)-1))))*(INDEX(Tables!$H$123:$H$138,MAX(1,MIN(IFERROR(MATCH(U7,Tables!$G$123:$G$138,1),1),ROWS(Tables!$G$123:$G$138)-1))+1)-INDEX(Tables!$H$123:$H$138,MAX(1,MIN(IFERROR(MATCH(U7,Tables!$G$123:$G$138,1),1),ROWS(Tables!$G$123:$G$138)-1))))/(INDEX(Tables!$G$123:$G$138,MAX(1,MIN(IFERROR(MATCH(U7,Tables!$G$123:$G$138,1),1),ROWS(Tables!$G$123:$G$138)-1))+1)-INDEX(Tables!$G$123:$G$138,MAX(1,MIN(IFERROR(MATCH(U7,Tables!$G$123:$G$138,1),1),ROWS(Tables!$G$123:$G$138)-1))))))))</f>
        <v>0.50060000000000004</v>
      </c>
      <c r="AR7" s="181">
        <f>IF(OR(P7&gt;=4,U7&gt;12),VLOOKUP(R7&amp;" "&amp;S7,Tables!$D$143:$F$148,2,FALSE),VLOOKUP(R7&amp;" "&amp;S7,Tables!$A$143:$C$148,2,FALSE))</f>
        <v>1</v>
      </c>
      <c r="AS7" s="181">
        <f>IF(OR(P7&gt;=4,U7&gt;12),VLOOKUP(R7&amp;" "&amp;S7,Tables!$D$143:$F$148,3,FALSE),VLOOKUP(R7&amp;" "&amp;S7,Tables!$A$143:$C$148,3,FALSE))</f>
        <v>0.65</v>
      </c>
      <c r="AT7" s="181">
        <f t="shared" si="8"/>
        <v>662.25791730741878</v>
      </c>
      <c r="AU7" s="181">
        <f>IF(AD7=5000,(INDEX(Tables!$B$244:$B$263,MAX(1,MIN(IFERROR(MATCH(AF7,Tables!$A$244:$A$263,1),1),ROWS(Tables!$A$244:$A$263)-1)))+(AF7-INDEX(Tables!$A$244:$A$263,MAX(1,MIN(IFERROR(MATCH(AF7,Tables!$A$244:$A$263,1),1),ROWS(Tables!$A$244:$A$263)-1))))*(INDEX(Tables!$B$244:$B$263,MAX(1,MIN(IFERROR(MATCH(AF7,Tables!$A$244:$A$263,1),1),ROWS(Tables!$A$244:$A$263)-1))+1)-INDEX(Tables!$B$244:$B$263,MAX(1,MIN(IFERROR(MATCH(AF7,Tables!$A$244:$A$263,1),1),ROWS(Tables!$A$244:$A$263)-1))))/(INDEX(Tables!$A$244:$A$263,MAX(1,MIN(IFERROR(MATCH(AF7,Tables!$A$244:$A$263,1),1),ROWS(Tables!$A$244:$A$263)-1))+1)-INDEX(Tables!$A$244:$A$263,MAX(1,MIN(IFERROR(MATCH(AF7,Tables!$A$244:$A$263,1),1),ROWS(Tables!$A$244:$A$263)-1))))),IF(AD7=10000,(INDEX(Tables!$D$244:$D$263,MAX(1,MIN(IFERROR(MATCH(AF7,Tables!$C$244:$C$263,1),1),ROWS(Tables!$C$244:$C$263)-1)))+(AF7-INDEX(Tables!$C$244:$C$263,MAX(1,MIN(IFERROR(MATCH(AF7,Tables!$C$244:$C$263,1),1),ROWS(Tables!$C$244:$C$263)-1))))*(INDEX(Tables!$D$244:$D$263,MAX(1,MIN(IFERROR(MATCH(AF7,Tables!$C$244:$C$263,1),1),ROWS(Tables!$C$244:$C$263)-1))+1)-INDEX(Tables!$D$244:$D$263,MAX(1,MIN(IFERROR(MATCH(AF7,Tables!$C$244:$C$263,1),1),ROWS(Tables!$C$244:$C$263)-1))))/(INDEX(Tables!$C$244:$C$263,MAX(1,MIN(IFERROR(MATCH(AF7,Tables!$C$244:$C$263,1),1),ROWS(Tables!$C$244:$C$263)-1))+1)-INDEX(Tables!$C$244:$C$263,MAX(1,MIN(IFERROR(MATCH(AF7,Tables!$C$244:$C$263,1),1),ROWS(Tables!$C$244:$C$263)-1))))),(INDEX(Tables!$F$244:$F$263,MAX(1,MIN(IFERROR(MATCH(AF7,Tables!$E$244:$E$263,1),1),ROWS(Tables!$E$244:$E$263)-1)))+(AF7-INDEX(Tables!$E$244:$E$263,MAX(1,MIN(IFERROR(MATCH(AF7,Tables!$E$244:$E$263,1),1),ROWS(Tables!$E$244:$E$263)-1))))*(INDEX(Tables!$F$244:$F$263,MAX(1,MIN(IFERROR(MATCH(AF7,Tables!$E$244:$E$263,1),1),ROWS(Tables!$E$244:$E$263)-1))+1)-INDEX(Tables!$F$244:$F$263,MAX(1,MIN(IFERROR(MATCH(AF7,Tables!$E$244:$E$263,1),1),ROWS(Tables!$E$244:$E$263)-1))))/(INDEX(Tables!$E$244:$E$263,MAX(1,MIN(IFERROR(MATCH(AF7,Tables!$E$244:$E$263,1),1),ROWS(Tables!$E$244:$E$263)-1))+1)-INDEX(Tables!$E$244:$E$263,MAX(1,MIN(IFERROR(MATCH(AF7,Tables!$E$244:$E$263,1),1),ROWS(Tables!$E$244:$E$263)-1)))))))</f>
        <v>14.659000000000001</v>
      </c>
      <c r="AV7" s="181">
        <f>IF(P7&lt;6,(INDEX(Tables!$B$260:$B$274,MAX(1,MIN(IFERROR(MATCH(U7,Tables!$A$260:$A$274,1),1),ROWS(Tables!$A$260:$A$274)-1)))+(U7-INDEX(Tables!$A$260:$A$274,MAX(1,MIN(IFERROR(MATCH(U7,Tables!$A$260:$A$274,1),1),ROWS(Tables!$A$260:$A$274)-1))))*(INDEX(Tables!$B$260:$B$274,MAX(1,MIN(IFERROR(MATCH(U7,Tables!$A$260:$A$274,1),1),ROWS(Tables!$A$260:$A$274)-1))+1)-INDEX(Tables!$B$260:$B$274,MAX(1,MIN(IFERROR(MATCH(U7,Tables!$A$260:$A$274,1),1),ROWS(Tables!$A$260:$A$274)-1))))/(INDEX(Tables!$A$260:$A$274,MAX(1,MIN(IFERROR(MATCH(U7,Tables!$A$260:$A$274,1),1),ROWS(Tables!$A$260:$A$274)-1))+1)-INDEX(Tables!$A$260:$A$274,MAX(1,MIN(IFERROR(MATCH(U7,Tables!$A$260:$A$274,1),1),ROWS(Tables!$A$260:$A$274)-1))))),IF(P7&lt;8,(INDEX(Tables!$D$260:$D$274,MAX(1,MIN(IFERROR(MATCH(U7,Tables!$C$260:$C$274,1),1),ROWS(Tables!$C$260:$C$274)-1)))+(U7-INDEX(Tables!$C$260:$C$274,MAX(1,MIN(IFERROR(MATCH(U7,Tables!$C$260:$C$274,1),1),ROWS(Tables!$C$260:$C$274)-1))))*(INDEX(Tables!$D$260:$D$274,MAX(1,MIN(IFERROR(MATCH(U7,Tables!$C$260:$C$274,1),1),ROWS(Tables!$C$260:$C$274)-1))+1)-INDEX(Tables!$D$260:$D$274,MAX(1,MIN(IFERROR(MATCH(U7,Tables!$C$260:$C$274,1),1),ROWS(Tables!$C$260:$C$274)-1))))/(INDEX(Tables!$C$260:$C$274,MAX(1,MIN(IFERROR(MATCH(U7,Tables!$C$260:$C$274,1),1),ROWS(Tables!$C$260:$C$274)-1))+1)-INDEX(Tables!$C$260:$C$274,MAX(1,MIN(IFERROR(MATCH(U7,Tables!$C$260:$C$274,1),1),ROWS(Tables!$C$260:$C$274)-1))))),IF(P7&lt;10,(INDEX(Tables!$F$260:$F$274,MAX(1,MIN(IFERROR(MATCH(U7,Tables!$E$260:$E$274,1),1),ROWS(Tables!$E$260:$E$274)-1)))+(U7-INDEX(Tables!$E$260:$E$274,MAX(1,MIN(IFERROR(MATCH(U7,Tables!$E$260:$E$274,1),1),ROWS(Tables!$E$260:$E$274)-1))))*(INDEX(Tables!$F$260:$F$274,MAX(1,MIN(IFERROR(MATCH(U7,Tables!$E$260:$E$274,1),1),ROWS(Tables!$E$260:$E$274)-1))+1)-INDEX(Tables!$F$260:$F$274,MAX(1,MIN(IFERROR(MATCH(U7,Tables!$E$260:$E$274,1),1),ROWS(Tables!$E$260:$E$274)-1))))/(INDEX(Tables!$E$260:$E$274,MAX(1,MIN(IFERROR(MATCH(U7,Tables!$E$260:$E$274,1),1),ROWS(Tables!$E$260:$E$274)-1))+1)-INDEX(Tables!$E$260:$E$274,MAX(1,MIN(IFERROR(MATCH(U7,Tables!$E$260:$E$274,1),1),ROWS(Tables!$E$260:$E$274)-1))))),(INDEX(Tables!$H$260:$H$274,MAX(1,MIN(IFERROR(MATCH(U7,Tables!$G$260:$G$274,1),1),ROWS(Tables!$G$260:$G$274)-1)))+(U7-INDEX(Tables!$G$260:$G$274,MAX(1,MIN(IFERROR(MATCH(U7,Tables!$G$260:$G$274,1),1),ROWS(Tables!$G$260:$G$274)-1))))*(INDEX(Tables!$H$260:$H$274,MAX(1,MIN(IFERROR(MATCH(U7,Tables!$G$260:$G$274,1),1),ROWS(Tables!$G$260:$G$274)-1))+1)-INDEX(Tables!$H$260:$H$274,MAX(1,MIN(IFERROR(MATCH(U7,Tables!$G$260:$G$274,1),1),ROWS(Tables!$G$260:$G$274)-1))))/(INDEX(Tables!$G$260:$G$274,MAX(1,MIN(IFERROR(MATCH(U7,Tables!$G$260:$G$274,1),1),ROWS(Tables!$G$260:$G$274)-1))+1)-INDEX(Tables!$G$260:$G$274,MAX(1,MIN(IFERROR(MATCH(U7,Tables!$G$260:$G$274,1),1),ROWS(Tables!$G$260:$G$274)-1))))))))</f>
        <v>0.51828571428571424</v>
      </c>
      <c r="AW7" s="181">
        <f t="shared" si="9"/>
        <v>507.14034211527292</v>
      </c>
      <c r="AX7" s="181">
        <f t="shared" si="10"/>
        <v>0</v>
      </c>
      <c r="AY7" s="181">
        <f t="shared" si="11"/>
        <v>17212.270125671661</v>
      </c>
      <c r="AZ7" s="181">
        <f t="shared" si="12"/>
        <v>5472.1440046245452</v>
      </c>
      <c r="BA7" s="181">
        <f t="shared" si="13"/>
        <v>0</v>
      </c>
      <c r="BB7" s="181">
        <f t="shared" si="14"/>
        <v>15232.156187233149</v>
      </c>
      <c r="BC7" s="181">
        <f t="shared" si="15"/>
        <v>46800</v>
      </c>
      <c r="BD7" s="181">
        <f>VLOOKUP(V7&amp;" "&amp;J7,Tables!$A$152:$E$239,4,FALSE)</f>
        <v>12000</v>
      </c>
      <c r="BE7" s="181">
        <f>VLOOKUP(V7&amp;" "&amp;J7,Tables!$A$152:$E$239,5,FALSE)</f>
        <v>23000</v>
      </c>
      <c r="BF7" s="181">
        <f t="shared" si="16"/>
        <v>8640</v>
      </c>
      <c r="BG7" s="181">
        <f t="shared" si="17"/>
        <v>16560</v>
      </c>
      <c r="BH7" s="181">
        <f t="shared" si="18"/>
        <v>0</v>
      </c>
      <c r="BI7" s="181">
        <f t="shared" si="19"/>
        <v>46800</v>
      </c>
      <c r="BJ7" s="181">
        <f t="shared" si="20"/>
        <v>15232.156187233149</v>
      </c>
      <c r="BK7" s="181">
        <f t="shared" si="21"/>
        <v>46800</v>
      </c>
      <c r="BL7" s="181">
        <f t="shared" si="22"/>
        <v>507.14034211527292</v>
      </c>
      <c r="BM7" s="181">
        <f t="shared" si="23"/>
        <v>8640</v>
      </c>
      <c r="BN7" s="181">
        <f t="shared" si="24"/>
        <v>662.25791730741878</v>
      </c>
      <c r="BO7" s="181">
        <f t="shared" si="25"/>
        <v>16560</v>
      </c>
      <c r="BP7" t="str">
        <f t="shared" si="26"/>
        <v>Pass</v>
      </c>
      <c r="BQ7" t="str">
        <f t="shared" si="27"/>
        <v>Pass</v>
      </c>
      <c r="BR7" t="str">
        <f t="shared" si="28"/>
        <v>Pass</v>
      </c>
      <c r="BS7" t="str">
        <f t="shared" si="29"/>
        <v>Pass</v>
      </c>
      <c r="BT7" t="str">
        <f t="shared" si="30"/>
        <v>Pass</v>
      </c>
      <c r="BU7" t="str">
        <f t="shared" si="31"/>
        <v>Effective Stress</v>
      </c>
    </row>
    <row r="8" spans="1:73">
      <c r="A8" t="s">
        <v>600</v>
      </c>
      <c r="B8" s="181">
        <v>6</v>
      </c>
      <c r="C8" t="s">
        <v>594</v>
      </c>
      <c r="D8" s="181">
        <v>48</v>
      </c>
      <c r="E8" s="181">
        <v>0.375</v>
      </c>
      <c r="F8" t="s">
        <v>117</v>
      </c>
      <c r="G8" t="s">
        <v>119</v>
      </c>
      <c r="H8" t="s">
        <v>122</v>
      </c>
      <c r="I8" s="181">
        <v>1</v>
      </c>
      <c r="J8" t="s">
        <v>126</v>
      </c>
      <c r="K8" t="s">
        <v>129</v>
      </c>
      <c r="L8" s="181">
        <v>70</v>
      </c>
      <c r="M8" s="181">
        <v>100</v>
      </c>
      <c r="N8" t="s">
        <v>389</v>
      </c>
      <c r="O8" s="181">
        <v>120</v>
      </c>
      <c r="P8" s="181">
        <v>30</v>
      </c>
      <c r="Q8" s="181">
        <v>50</v>
      </c>
      <c r="R8" t="s">
        <v>154</v>
      </c>
      <c r="S8" t="s">
        <v>420</v>
      </c>
      <c r="T8" s="181">
        <v>70</v>
      </c>
      <c r="U8" s="181">
        <f>HLOOKUP(D8,'Highway Loading'!$C$155:$AD$156,2,FALSE)</f>
        <v>48</v>
      </c>
      <c r="V8" s="181">
        <f>IF(ISBLANK(G8),"",INDEX('Highway Loading'!$C$216:$AG$216,1,MATCH(G8,'Highway Loading'!$C$215:$AG$215,0)))</f>
        <v>65000</v>
      </c>
      <c r="W8" s="181">
        <f>INDEX('Highway Loading'!$I$245:$L$253,MATCH(H8,'Highway Loading'!$H$245:$H$253,0),MATCH(I8,'Highway Loading'!$I$244:$L$244,0))</f>
        <v>0.72</v>
      </c>
      <c r="X8" s="181">
        <f t="shared" si="0"/>
        <v>1</v>
      </c>
      <c r="Y8" s="181">
        <f>VLOOKUP(K8,'Highway Loading'!$B$283:$E$292,2,FALSE)</f>
        <v>29000000</v>
      </c>
      <c r="Z8" s="181">
        <f>VLOOKUP(K8,'Highway Loading'!$B$283:$E$292,3,FALSE)</f>
        <v>0.3</v>
      </c>
      <c r="AA8" s="181">
        <f>VLOOKUP(K8,'Highway Loading'!$B$283:$E$292,4,FALSE)</f>
        <v>6.4999999999999996E-6</v>
      </c>
      <c r="AB8" s="181">
        <f t="shared" si="1"/>
        <v>1</v>
      </c>
      <c r="AC8" s="181">
        <f>VLOOKUP(N8,'Highway Loading'!$B$256:$D$261,2,FALSE)</f>
        <v>500</v>
      </c>
      <c r="AD8" s="181">
        <f>VLOOKUP(N8,'Highway Loading'!$B$256:$D$261,3,FALSE)</f>
        <v>5000</v>
      </c>
      <c r="AE8" s="181">
        <f>VLOOKUP(S8,'Highway Loading'!$B$340:$C$341,2,FALSE)</f>
        <v>12000</v>
      </c>
      <c r="AF8" s="181">
        <f t="shared" si="2"/>
        <v>7.8125E-3</v>
      </c>
      <c r="AG8" s="181">
        <f t="shared" si="3"/>
        <v>7.2</v>
      </c>
      <c r="AH8" s="181">
        <f t="shared" si="4"/>
        <v>1.0416666666666667</v>
      </c>
      <c r="AI8" s="181">
        <f t="shared" si="5"/>
        <v>6400</v>
      </c>
      <c r="AJ8" s="181">
        <f t="shared" si="6"/>
        <v>46800</v>
      </c>
      <c r="AK8" s="181">
        <f>IF(AC8=200,(INDEX(Tables!$B$17:$B$38,MAX(1,MIN(IFERROR(MATCH(AF8,Tables!$A$17:$A$38,1),1),ROWS(Tables!$A$17:$A$38)-1)))+(AF8-INDEX(Tables!$A$17:$A$38,MAX(1,MIN(IFERROR(MATCH(AF8,Tables!$A$17:$A$38,1),1),ROWS(Tables!$A$17:$A$38)-1))))*(INDEX(Tables!$B$17:$B$38,MAX(1,MIN(IFERROR(MATCH(AF8,Tables!$A$17:$A$38,1),1),ROWS(Tables!$A$17:$A$38)-1))+1)-INDEX(Tables!$B$17:$B$38,MAX(1,MIN(IFERROR(MATCH(AF8,Tables!$A$17:$A$38,1),1),ROWS(Tables!$A$17:$A$38)-1))))/(INDEX(Tables!$A$17:$A$38,MAX(1,MIN(IFERROR(MATCH(AF8,Tables!$A$17:$A$38,1),1),ROWS(Tables!$A$17:$A$38)-1))+1)-INDEX(Tables!$A$17:$A$38,MAX(1,MIN(IFERROR(MATCH(AF8,Tables!$A$17:$A$38,1),1),ROWS(Tables!$A$17:$A$38)-1))))),IF(AC8=500,(INDEX(Tables!$D$17:$D$38,MAX(1,MIN(IFERROR(MATCH(AF8,Tables!$C$17:$C$38,1),1),ROWS(Tables!$C$17:$C$38)-1)))+(AF8-INDEX(Tables!$C$17:$C$38,MAX(1,MIN(IFERROR(MATCH(AF8,Tables!$C$17:$C$38,1),1),ROWS(Tables!$C$17:$C$38)-1))))*(INDEX(Tables!$D$17:$D$38,MAX(1,MIN(IFERROR(MATCH(AF8,Tables!$C$17:$C$38,1),1),ROWS(Tables!$C$17:$C$38)-1))+1)-INDEX(Tables!$D$17:$D$38,MAX(1,MIN(IFERROR(MATCH(AF8,Tables!$C$17:$C$38,1),1),ROWS(Tables!$C$17:$C$38)-1))))/(INDEX(Tables!$C$17:$C$38,MAX(1,MIN(IFERROR(MATCH(AF8,Tables!$C$17:$C$38,1),1),ROWS(Tables!$C$17:$C$38)-1))+1)-INDEX(Tables!$C$17:$C$38,MAX(1,MIN(IFERROR(MATCH(AF8,Tables!$C$17:$C$38,1),1),ROWS(Tables!$C$17:$C$38)-1))))),IF(AC8=1000,(INDEX(Tables!$F$17:$F$38,MAX(1,MIN(IFERROR(MATCH(AF8,Tables!$E$17:$E$38,1),1),ROWS(Tables!$E$17:$E$38)-1)))+(AF8-INDEX(Tables!$E$17:$E$38,MAX(1,MIN(IFERROR(MATCH(AF8,Tables!$E$17:$E$38,1),1),ROWS(Tables!$E$17:$E$38)-1))))*(INDEX(Tables!$F$17:$F$38,MAX(1,MIN(IFERROR(MATCH(AF8,Tables!$E$17:$E$38,1),1),ROWS(Tables!$E$17:$E$38)-1))+1)-INDEX(Tables!$F$17:$F$38,MAX(1,MIN(IFERROR(MATCH(AF8,Tables!$E$17:$E$38,1),1),ROWS(Tables!$E$17:$E$38)-1))))/(INDEX(Tables!$E$17:$E$38,MAX(1,MIN(IFERROR(MATCH(AF8,Tables!$E$17:$E$38,1),1),ROWS(Tables!$E$17:$E$38)-1))+1)-INDEX(Tables!$E$17:$E$38,MAX(1,MIN(IFERROR(MATCH(AF8,Tables!$E$17:$E$38,1),1),ROWS(Tables!$E$17:$E$38)-1))))),(INDEX(Tables!$H$17:$H$38,MAX(1,MIN(IFERROR(MATCH(AF8,Tables!$G$17:$G$38,1),1),ROWS(Tables!$G$17:$G$38)-1)))+(AF8-INDEX(Tables!$G$17:$G$38,MAX(1,MIN(IFERROR(MATCH(AF8,Tables!$G$17:$G$38,1),1),ROWS(Tables!$G$17:$G$38)-1))))*(INDEX(Tables!$H$17:$H$38,MAX(1,MIN(IFERROR(MATCH(AF8,Tables!$G$17:$G$38,1),1),ROWS(Tables!$G$17:$G$38)-1))+1)-INDEX(Tables!$H$17:$H$38,MAX(1,MIN(IFERROR(MATCH(AF8,Tables!$G$17:$G$38,1),1),ROWS(Tables!$G$17:$G$38)-1))))/(INDEX(Tables!$G$17:$G$38,MAX(1,MIN(IFERROR(MATCH(AF8,Tables!$G$17:$G$38,1),1),ROWS(Tables!$G$17:$G$38)-1))+1)-INDEX(Tables!$G$17:$G$38,MAX(1,MIN(IFERROR(MATCH(AF8,Tables!$G$17:$G$38,1),1),ROWS(Tables!$G$17:$G$38)-1))))))))</f>
        <v>7625</v>
      </c>
      <c r="AL8" s="181">
        <f>IF(AC8&lt;1000,(INDEX(Tables!$B$43:$B$76,MAX(1,MIN(IFERROR(MATCH(AG8,Tables!$A$43:$A$76,1),1),ROWS(Tables!$A$43:$A$76)-1)))+(AG8-INDEX(Tables!$A$43:$A$76,MAX(1,MIN(IFERROR(MATCH(AG8,Tables!$A$43:$A$76,1),1),ROWS(Tables!$A$43:$A$76)-1))))*(INDEX(Tables!$B$43:$B$76,MAX(1,MIN(IFERROR(MATCH(AG8,Tables!$A$43:$A$76,1),1),ROWS(Tables!$A$43:$A$76)-1))+1)-INDEX(Tables!$B$43:$B$76,MAX(1,MIN(IFERROR(MATCH(AG8,Tables!$A$43:$A$76,1),1),ROWS(Tables!$A$43:$A$76)-1))))/(INDEX(Tables!$A$43:$A$76,MAX(1,MIN(IFERROR(MATCH(AG8,Tables!$A$43:$A$76,1),1),ROWS(Tables!$A$43:$A$76)-1))+1)-INDEX(Tables!$A$43:$A$76,MAX(1,MIN(IFERROR(MATCH(AG8,Tables!$A$43:$A$76,1),1),ROWS(Tables!$A$43:$A$76)-1))))),(INDEX(Tables!$D$43:$D$76,MAX(1,MIN(IFERROR(MATCH(AG8,Tables!$C$43:$C$76,1),1),ROWS(Tables!$C$43:$C$76)-1)))+(AG8-INDEX(Tables!$C$43:$C$76,MAX(1,MIN(IFERROR(MATCH(AG8,Tables!$C$43:$C$76,1),1),ROWS(Tables!$C$43:$C$76)-1))))*(INDEX(Tables!$D$43:$D$76,MAX(1,MIN(IFERROR(MATCH(AG8,Tables!$C$43:$C$76,1),1),ROWS(Tables!$C$43:$C$76)-1))+1)-INDEX(Tables!$D$43:$D$76,MAX(1,MIN(IFERROR(MATCH(AG8,Tables!$C$43:$C$76,1),1),ROWS(Tables!$C$43:$C$76)-1))))/(INDEX(Tables!$C$43:$C$76,MAX(1,MIN(IFERROR(MATCH(AG8,Tables!$C$43:$C$76,1),1),ROWS(Tables!$C$43:$C$76)-1))+1)-INDEX(Tables!$C$43:$C$76,MAX(1,MIN(IFERROR(MATCH(AG8,Tables!$C$43:$C$76,1),1),ROWS(Tables!$C$43:$C$76)-1))))))</f>
        <v>1.224</v>
      </c>
      <c r="AM8" s="181">
        <f>(INDEX(Tables!$B$80:$B$87,MAX(1,MIN(IFERROR(MATCH(AH8,Tables!$A$80:$A$87,1),1),ROWS(Tables!$A$80:$A$87)-1)))+(AH8-INDEX(Tables!$A$80:$A$87,MAX(1,MIN(IFERROR(MATCH(AH8,Tables!$A$80:$A$87,1),1),ROWS(Tables!$A$80:$A$87)-1))))*(INDEX(Tables!$B$80:$B$87,MAX(1,MIN(IFERROR(MATCH(AH8,Tables!$A$80:$A$87,1),1),ROWS(Tables!$A$80:$A$87)-1))+1)-INDEX(Tables!$B$80:$B$87,MAX(1,MIN(IFERROR(MATCH(AH8,Tables!$A$80:$A$87,1),1),ROWS(Tables!$A$80:$A$87)-1))))/(INDEX(Tables!$A$80:$A$87,MAX(1,MIN(IFERROR(MATCH(AH8,Tables!$A$80:$A$87,1),1),ROWS(Tables!$A$80:$A$87)-1))+1)-INDEX(Tables!$A$80:$A$87,MAX(1,MIN(IFERROR(MATCH(AH8,Tables!$A$80:$A$87,1),1),ROWS(Tables!$A$80:$A$87)-1)))))</f>
        <v>0.89595000000000002</v>
      </c>
      <c r="AN8" s="181">
        <f t="shared" si="7"/>
        <v>27873.004500000003</v>
      </c>
      <c r="AO8" s="181">
        <f>(INDEX(Tables!$B$91:$B$94,MAX(1,MIN(IFERROR(MATCH(P8,Tables!$A$91:$A$94,1),1),ROWS(Tables!$A$91:$A$94)-1)))+(P8-INDEX(Tables!$A$91:$A$94,MAX(1,MIN(IFERROR(MATCH(P8,Tables!$A$91:$A$94,1),1),ROWS(Tables!$A$91:$A$94)-1))))*(INDEX(Tables!$B$91:$B$94,MAX(1,MIN(IFERROR(MATCH(P8,Tables!$A$91:$A$94,1),1),ROWS(Tables!$A$91:$A$94)-1))+1)-INDEX(Tables!$B$91:$B$94,MAX(1,MIN(IFERROR(MATCH(P8,Tables!$A$91:$A$94,1),1),ROWS(Tables!$A$91:$A$94)-1))))/(INDEX(Tables!$A$91:$A$94,MAX(1,MIN(IFERROR(MATCH(P8,Tables!$A$91:$A$94,1),1),ROWS(Tables!$A$91:$A$94)-1))+1)-INDEX(Tables!$A$91:$A$94,MAX(1,MIN(IFERROR(MATCH(P8,Tables!$A$91:$A$94,1),1),ROWS(Tables!$A$91:$A$94)-1)))))</f>
        <v>1</v>
      </c>
      <c r="AP8" s="181">
        <f>IF(AD8=5000,(INDEX(Tables!$B$99:$B$118,MAX(1,MIN(IFERROR(MATCH(AF8,Tables!$A$99:$A$118,1),1),ROWS(Tables!$A$99:$A$118)-1)))+(AF8-INDEX(Tables!$A$99:$A$118,MAX(1,MIN(IFERROR(MATCH(AF8,Tables!$A$99:$A$118,1),1),ROWS(Tables!$A$99:$A$118)-1))))*(INDEX(Tables!$B$99:$B$118,MAX(1,MIN(IFERROR(MATCH(AF8,Tables!$A$99:$A$118,1),1),ROWS(Tables!$A$99:$A$118)-1))+1)-INDEX(Tables!$B$99:$B$118,MAX(1,MIN(IFERROR(MATCH(AF8,Tables!$A$99:$A$118,1),1),ROWS(Tables!$A$99:$A$118)-1))))/(INDEX(Tables!$A$99:$A$118,MAX(1,MIN(IFERROR(MATCH(AF8,Tables!$A$99:$A$118,1),1),ROWS(Tables!$A$99:$A$118)-1))+1)-INDEX(Tables!$A$99:$A$118,MAX(1,MIN(IFERROR(MATCH(AF8,Tables!$A$99:$A$118,1),1),ROWS(Tables!$A$99:$A$118)-1))))),IF(AD8=10000,(INDEX(Tables!$D$99:$D$118,MAX(1,MIN(IFERROR(MATCH(AF8,Tables!$C$99:$C$118,1),1),ROWS(Tables!$C$99:$C$118)-1)))+(AF8-INDEX(Tables!$C$99:$C$118,MAX(1,MIN(IFERROR(MATCH(AF8,Tables!$C$99:$C$118,1),1),ROWS(Tables!$C$99:$C$118)-1))))*(INDEX(Tables!$D$99:$D$118,MAX(1,MIN(IFERROR(MATCH(AF8,Tables!$C$99:$C$118,1),1),ROWS(Tables!$C$99:$C$118)-1))+1)-INDEX(Tables!$D$99:$D$118,MAX(1,MIN(IFERROR(MATCH(AF8,Tables!$C$99:$C$118,1),1),ROWS(Tables!$C$99:$C$118)-1))))/(INDEX(Tables!$C$99:$C$118,MAX(1,MIN(IFERROR(MATCH(AF8,Tables!$C$99:$C$118,1),1),ROWS(Tables!$C$99:$C$118)-1))+1)-INDEX(Tables!$C$99:$C$118,MAX(1,MIN(IFERROR(MATCH(AF8,Tables!$C$99:$C$118,1),1),ROWS(Tables!$C$99:$C$118)-1))))),(INDEX(Tables!$F$99:$F$118,MAX(1,MIN(IFERROR(MATCH(AF8,Tables!$E$99:$E$118,1),1),ROWS(Tables!$E$99:$E$118)-1)))+(AF8-INDEX(Tables!$E$99:$E$118,MAX(1,MIN(IFERROR(MATCH(AF8,Tables!$E$99:$E$118,1),1),ROWS(Tables!$E$99:$E$118)-1))))*(INDEX(Tables!$F$99:$F$118,MAX(1,MIN(IFERROR(MATCH(AF8,Tables!$E$99:$E$118,1),1),ROWS(Tables!$E$99:$E$118)-1))+1)-INDEX(Tables!$F$99:$F$118,MAX(1,MIN(IFERROR(MATCH(AF8,Tables!$E$99:$E$118,1),1),ROWS(Tables!$E$99:$E$118)-1))))/(INDEX(Tables!$E$99:$E$118,MAX(1,MIN(IFERROR(MATCH(AF8,Tables!$E$99:$E$118,1),1),ROWS(Tables!$E$99:$E$118)-1))+1)-INDEX(Tables!$E$99:$E$118,MAX(1,MIN(IFERROR(MATCH(AF8,Tables!$E$99:$E$118,1),1),ROWS(Tables!$E$99:$E$118)-1)))))))</f>
        <v>19.818999999999999</v>
      </c>
      <c r="AQ8" s="181">
        <f>IF(P8&lt;6,(INDEX(Tables!$B$123:$B$138,MAX(1,MIN(IFERROR(MATCH(U8,Tables!$A$123:$A$138,1),1),ROWS(Tables!$A$123:$A$138)-1)))+(U8-INDEX(Tables!$A$123:$A$138,MAX(1,MIN(IFERROR(MATCH(U8,Tables!$A$123:$A$138,1),1),ROWS(Tables!$A$123:$A$138)-1))))*(INDEX(Tables!$B$123:$B$138,MAX(1,MIN(IFERROR(MATCH(U8,Tables!$A$123:$A$138,1),1),ROWS(Tables!$A$123:$A$138)-1))+1)-INDEX(Tables!$B$123:$B$138,MAX(1,MIN(IFERROR(MATCH(U8,Tables!$A$123:$A$138,1),1),ROWS(Tables!$A$123:$A$138)-1))))/(INDEX(Tables!$A$123:$A$138,MAX(1,MIN(IFERROR(MATCH(U8,Tables!$A$123:$A$138,1),1),ROWS(Tables!$A$123:$A$138)-1))+1)-INDEX(Tables!$A$123:$A$138,MAX(1,MIN(IFERROR(MATCH(U8,Tables!$A$123:$A$138,1),1),ROWS(Tables!$A$123:$A$138)-1))))),IF(P8&lt;8,(INDEX(Tables!$D$123:$D$138,MAX(1,MIN(IFERROR(MATCH(U8,Tables!$C$123:$C$138,1),1),ROWS(Tables!$C$123:$C$138)-1)))+(U8-INDEX(Tables!$C$123:$C$138,MAX(1,MIN(IFERROR(MATCH(U8,Tables!$C$123:$C$138,1),1),ROWS(Tables!$C$123:$C$138)-1))))*(INDEX(Tables!$D$123:$D$138,MAX(1,MIN(IFERROR(MATCH(U8,Tables!$C$123:$C$138,1),1),ROWS(Tables!$C$123:$C$138)-1))+1)-INDEX(Tables!$D$123:$D$138,MAX(1,MIN(IFERROR(MATCH(U8,Tables!$C$123:$C$138,1),1),ROWS(Tables!$C$123:$C$138)-1))))/(INDEX(Tables!$C$123:$C$138,MAX(1,MIN(IFERROR(MATCH(U8,Tables!$C$123:$C$138,1),1),ROWS(Tables!$C$123:$C$138)-1))+1)-INDEX(Tables!$C$123:$C$138,MAX(1,MIN(IFERROR(MATCH(U8,Tables!$C$123:$C$138,1),1),ROWS(Tables!$C$123:$C$138)-1))))),IF(P8&lt;10,(INDEX(Tables!$F$123:$F$138,MAX(1,MIN(IFERROR(MATCH(U8,Tables!$E$123:$E$138,1),1),ROWS(Tables!$E$123:$E$138)-1)))+(U8-INDEX(Tables!$E$123:$E$138,MAX(1,MIN(IFERROR(MATCH(U8,Tables!$E$123:$E$138,1),1),ROWS(Tables!$E$123:$E$138)-1))))*(INDEX(Tables!$F$123:$F$138,MAX(1,MIN(IFERROR(MATCH(U8,Tables!$E$123:$E$138,1),1),ROWS(Tables!$E$123:$E$138)-1))+1)-INDEX(Tables!$F$123:$F$138,MAX(1,MIN(IFERROR(MATCH(U8,Tables!$E$123:$E$138,1),1),ROWS(Tables!$E$123:$E$138)-1))))/(INDEX(Tables!$E$123:$E$138,MAX(1,MIN(IFERROR(MATCH(U8,Tables!$E$123:$E$138,1),1),ROWS(Tables!$E$123:$E$138)-1))+1)-INDEX(Tables!$E$123:$E$138,MAX(1,MIN(IFERROR(MATCH(U8,Tables!$E$123:$E$138,1),1),ROWS(Tables!$E$123:$E$138)-1))))),(INDEX(Tables!$H$123:$H$138,MAX(1,MIN(IFERROR(MATCH(U8,Tables!$G$123:$G$138,1),1),ROWS(Tables!$G$123:$G$138)-1)))+(U8-INDEX(Tables!$G$123:$G$138,MAX(1,MIN(IFERROR(MATCH(U8,Tables!$G$123:$G$138,1),1),ROWS(Tables!$G$123:$G$138)-1))))*(INDEX(Tables!$H$123:$H$138,MAX(1,MIN(IFERROR(MATCH(U8,Tables!$G$123:$G$138,1),1),ROWS(Tables!$G$123:$G$138)-1))+1)-INDEX(Tables!$H$123:$H$138,MAX(1,MIN(IFERROR(MATCH(U8,Tables!$G$123:$G$138,1),1),ROWS(Tables!$G$123:$G$138)-1))))/(INDEX(Tables!$G$123:$G$138,MAX(1,MIN(IFERROR(MATCH(U8,Tables!$G$123:$G$138,1),1),ROWS(Tables!$G$123:$G$138)-1))+1)-INDEX(Tables!$G$123:$G$138,MAX(1,MIN(IFERROR(MATCH(U8,Tables!$G$123:$G$138,1),1),ROWS(Tables!$G$123:$G$138)-1))))))))</f>
        <v>0.46899999999999997</v>
      </c>
      <c r="AR8" s="181">
        <f>IF(OR(P8&gt;=4,U8&gt;12),VLOOKUP(R8&amp;" "&amp;S8,Tables!$D$143:$F$148,2,FALSE),VLOOKUP(R8&amp;" "&amp;S8,Tables!$A$143:$C$148,2,FALSE))</f>
        <v>1</v>
      </c>
      <c r="AS8" s="181">
        <f>IF(OR(P8&gt;=4,U8&gt;12),VLOOKUP(R8&amp;" "&amp;S8,Tables!$D$143:$F$148,3,FALSE),VLOOKUP(R8&amp;" "&amp;S8,Tables!$A$143:$C$148,3,FALSE))</f>
        <v>0.65</v>
      </c>
      <c r="AT8" s="181">
        <f t="shared" si="8"/>
        <v>503.48517916666657</v>
      </c>
      <c r="AU8" s="181">
        <f>IF(AD8=5000,(INDEX(Tables!$B$244:$B$263,MAX(1,MIN(IFERROR(MATCH(AF8,Tables!$A$244:$A$263,1),1),ROWS(Tables!$A$244:$A$263)-1)))+(AF8-INDEX(Tables!$A$244:$A$263,MAX(1,MIN(IFERROR(MATCH(AF8,Tables!$A$244:$A$263,1),1),ROWS(Tables!$A$244:$A$263)-1))))*(INDEX(Tables!$B$244:$B$263,MAX(1,MIN(IFERROR(MATCH(AF8,Tables!$A$244:$A$263,1),1),ROWS(Tables!$A$244:$A$263)-1))+1)-INDEX(Tables!$B$244:$B$263,MAX(1,MIN(IFERROR(MATCH(AF8,Tables!$A$244:$A$263,1),1),ROWS(Tables!$A$244:$A$263)-1))))/(INDEX(Tables!$A$244:$A$263,MAX(1,MIN(IFERROR(MATCH(AF8,Tables!$A$244:$A$263,1),1),ROWS(Tables!$A$244:$A$263)-1))+1)-INDEX(Tables!$A$244:$A$263,MAX(1,MIN(IFERROR(MATCH(AF8,Tables!$A$244:$A$263,1),1),ROWS(Tables!$A$244:$A$263)-1))))),IF(AD8=10000,(INDEX(Tables!$D$244:$D$263,MAX(1,MIN(IFERROR(MATCH(AF8,Tables!$C$244:$C$263,1),1),ROWS(Tables!$C$244:$C$263)-1)))+(AF8-INDEX(Tables!$C$244:$C$263,MAX(1,MIN(IFERROR(MATCH(AF8,Tables!$C$244:$C$263,1),1),ROWS(Tables!$C$244:$C$263)-1))))*(INDEX(Tables!$D$244:$D$263,MAX(1,MIN(IFERROR(MATCH(AF8,Tables!$C$244:$C$263,1),1),ROWS(Tables!$C$244:$C$263)-1))+1)-INDEX(Tables!$D$244:$D$263,MAX(1,MIN(IFERROR(MATCH(AF8,Tables!$C$244:$C$263,1),1),ROWS(Tables!$C$244:$C$263)-1))))/(INDEX(Tables!$C$244:$C$263,MAX(1,MIN(IFERROR(MATCH(AF8,Tables!$C$244:$C$263,1),1),ROWS(Tables!$C$244:$C$263)-1))+1)-INDEX(Tables!$C$244:$C$263,MAX(1,MIN(IFERROR(MATCH(AF8,Tables!$C$244:$C$263,1),1),ROWS(Tables!$C$244:$C$263)-1))))),(INDEX(Tables!$F$244:$F$263,MAX(1,MIN(IFERROR(MATCH(AF8,Tables!$E$244:$E$263,1),1),ROWS(Tables!$E$244:$E$263)-1)))+(AF8-INDEX(Tables!$E$244:$E$263,MAX(1,MIN(IFERROR(MATCH(AF8,Tables!$E$244:$E$263,1),1),ROWS(Tables!$E$244:$E$263)-1))))*(INDEX(Tables!$F$244:$F$263,MAX(1,MIN(IFERROR(MATCH(AF8,Tables!$E$244:$E$263,1),1),ROWS(Tables!$E$244:$E$263)-1))+1)-INDEX(Tables!$F$244:$F$263,MAX(1,MIN(IFERROR(MATCH(AF8,Tables!$E$244:$E$263,1),1),ROWS(Tables!$E$244:$E$263)-1))))/(INDEX(Tables!$E$244:$E$263,MAX(1,MIN(IFERROR(MATCH(AF8,Tables!$E$244:$E$263,1),1),ROWS(Tables!$E$244:$E$263)-1))+1)-INDEX(Tables!$E$244:$E$263,MAX(1,MIN(IFERROR(MATCH(AF8,Tables!$E$244:$E$263,1),1),ROWS(Tables!$E$244:$E$263)-1)))))))</f>
        <v>14.659000000000001</v>
      </c>
      <c r="AV8" s="181">
        <f>IF(P8&lt;6,(INDEX(Tables!$B$260:$B$274,MAX(1,MIN(IFERROR(MATCH(U8,Tables!$A$260:$A$274,1),1),ROWS(Tables!$A$260:$A$274)-1)))+(U8-INDEX(Tables!$A$260:$A$274,MAX(1,MIN(IFERROR(MATCH(U8,Tables!$A$260:$A$274,1),1),ROWS(Tables!$A$260:$A$274)-1))))*(INDEX(Tables!$B$260:$B$274,MAX(1,MIN(IFERROR(MATCH(U8,Tables!$A$260:$A$274,1),1),ROWS(Tables!$A$260:$A$274)-1))+1)-INDEX(Tables!$B$260:$B$274,MAX(1,MIN(IFERROR(MATCH(U8,Tables!$A$260:$A$274,1),1),ROWS(Tables!$A$260:$A$274)-1))))/(INDEX(Tables!$A$260:$A$274,MAX(1,MIN(IFERROR(MATCH(U8,Tables!$A$260:$A$274,1),1),ROWS(Tables!$A$260:$A$274)-1))+1)-INDEX(Tables!$A$260:$A$274,MAX(1,MIN(IFERROR(MATCH(U8,Tables!$A$260:$A$274,1),1),ROWS(Tables!$A$260:$A$274)-1))))),IF(P8&lt;8,(INDEX(Tables!$D$260:$D$274,MAX(1,MIN(IFERROR(MATCH(U8,Tables!$C$260:$C$274,1),1),ROWS(Tables!$C$260:$C$274)-1)))+(U8-INDEX(Tables!$C$260:$C$274,MAX(1,MIN(IFERROR(MATCH(U8,Tables!$C$260:$C$274,1),1),ROWS(Tables!$C$260:$C$274)-1))))*(INDEX(Tables!$D$260:$D$274,MAX(1,MIN(IFERROR(MATCH(U8,Tables!$C$260:$C$274,1),1),ROWS(Tables!$C$260:$C$274)-1))+1)-INDEX(Tables!$D$260:$D$274,MAX(1,MIN(IFERROR(MATCH(U8,Tables!$C$260:$C$274,1),1),ROWS(Tables!$C$260:$C$274)-1))))/(INDEX(Tables!$C$260:$C$274,MAX(1,MIN(IFERROR(MATCH(U8,Tables!$C$260:$C$274,1),1),ROWS(Tables!$C$260:$C$274)-1))+1)-INDEX(Tables!$C$260:$C$274,MAX(1,MIN(IFERROR(MATCH(U8,Tables!$C$260:$C$274,1),1),ROWS(Tables!$C$260:$C$274)-1))))),IF(P8&lt;10,(INDEX(Tables!$F$260:$F$274,MAX(1,MIN(IFERROR(MATCH(U8,Tables!$E$260:$E$274,1),1),ROWS(Tables!$E$260:$E$274)-1)))+(U8-INDEX(Tables!$E$260:$E$274,MAX(1,MIN(IFERROR(MATCH(U8,Tables!$E$260:$E$274,1),1),ROWS(Tables!$E$260:$E$274)-1))))*(INDEX(Tables!$F$260:$F$274,MAX(1,MIN(IFERROR(MATCH(U8,Tables!$E$260:$E$274,1),1),ROWS(Tables!$E$260:$E$274)-1))+1)-INDEX(Tables!$F$260:$F$274,MAX(1,MIN(IFERROR(MATCH(U8,Tables!$E$260:$E$274,1),1),ROWS(Tables!$E$260:$E$274)-1))))/(INDEX(Tables!$E$260:$E$274,MAX(1,MIN(IFERROR(MATCH(U8,Tables!$E$260:$E$274,1),1),ROWS(Tables!$E$260:$E$274)-1))+1)-INDEX(Tables!$E$260:$E$274,MAX(1,MIN(IFERROR(MATCH(U8,Tables!$E$260:$E$274,1),1),ROWS(Tables!$E$260:$E$274)-1))))),(INDEX(Tables!$H$260:$H$274,MAX(1,MIN(IFERROR(MATCH(U8,Tables!$G$260:$G$274,1),1),ROWS(Tables!$G$260:$G$274)-1)))+(U8-INDEX(Tables!$G$260:$G$274,MAX(1,MIN(IFERROR(MATCH(U8,Tables!$G$260:$G$274,1),1),ROWS(Tables!$G$260:$G$274)-1))))*(INDEX(Tables!$H$260:$H$274,MAX(1,MIN(IFERROR(MATCH(U8,Tables!$G$260:$G$274,1),1),ROWS(Tables!$G$260:$G$274)-1))+1)-INDEX(Tables!$H$260:$H$274,MAX(1,MIN(IFERROR(MATCH(U8,Tables!$G$260:$G$274,1),1),ROWS(Tables!$G$260:$G$274)-1))))/(INDEX(Tables!$G$260:$G$274,MAX(1,MIN(IFERROR(MATCH(U8,Tables!$G$260:$G$274,1),1),ROWS(Tables!$G$260:$G$274)-1))+1)-INDEX(Tables!$G$260:$G$274,MAX(1,MIN(IFERROR(MATCH(U8,Tables!$G$260:$G$274,1),1),ROWS(Tables!$G$260:$G$274)-1))))))))</f>
        <v>0.45700000000000002</v>
      </c>
      <c r="AW8" s="181">
        <f t="shared" si="9"/>
        <v>362.87132916666667</v>
      </c>
      <c r="AX8" s="181">
        <f t="shared" si="10"/>
        <v>6350</v>
      </c>
      <c r="AY8" s="181">
        <f t="shared" si="11"/>
        <v>34726.489679166669</v>
      </c>
      <c r="AZ8" s="181">
        <f t="shared" si="12"/>
        <v>10629.772679166666</v>
      </c>
      <c r="BA8" s="181">
        <f t="shared" si="13"/>
        <v>-100</v>
      </c>
      <c r="BB8" s="181">
        <f t="shared" si="14"/>
        <v>30892.265822514404</v>
      </c>
      <c r="BC8" s="181">
        <f t="shared" si="15"/>
        <v>46800</v>
      </c>
      <c r="BD8" s="181">
        <f>VLOOKUP(V8&amp;" "&amp;J8,Tables!$A$152:$E$239,4,FALSE)</f>
        <v>12000</v>
      </c>
      <c r="BE8" s="181">
        <f>VLOOKUP(V8&amp;" "&amp;J8,Tables!$A$152:$E$239,5,FALSE)</f>
        <v>23000</v>
      </c>
      <c r="BF8" s="181">
        <f t="shared" si="16"/>
        <v>8640</v>
      </c>
      <c r="BG8" s="181">
        <f t="shared" si="17"/>
        <v>16560</v>
      </c>
      <c r="BH8" s="181">
        <f t="shared" si="18"/>
        <v>6400</v>
      </c>
      <c r="BI8" s="181">
        <f t="shared" si="19"/>
        <v>46800</v>
      </c>
      <c r="BJ8" s="181">
        <f t="shared" si="20"/>
        <v>30892.265822514404</v>
      </c>
      <c r="BK8" s="181">
        <f t="shared" si="21"/>
        <v>46800</v>
      </c>
      <c r="BL8" s="181">
        <f t="shared" si="22"/>
        <v>362.87132916666667</v>
      </c>
      <c r="BM8" s="181">
        <f t="shared" si="23"/>
        <v>8640</v>
      </c>
      <c r="BN8" s="181">
        <f t="shared" si="24"/>
        <v>503.48517916666657</v>
      </c>
      <c r="BO8" s="181">
        <f t="shared" si="25"/>
        <v>16560</v>
      </c>
      <c r="BP8" t="str">
        <f t="shared" si="26"/>
        <v>Pass</v>
      </c>
      <c r="BQ8" t="str">
        <f t="shared" si="27"/>
        <v>Pass</v>
      </c>
      <c r="BR8" t="str">
        <f t="shared" si="28"/>
        <v>Pass</v>
      </c>
      <c r="BS8" t="str">
        <f t="shared" si="29"/>
        <v>Pass</v>
      </c>
      <c r="BT8" t="str">
        <f t="shared" si="30"/>
        <v>Pass</v>
      </c>
      <c r="BU8" t="str">
        <f t="shared" si="31"/>
        <v>Effective Stress</v>
      </c>
    </row>
    <row r="9" spans="1:73">
      <c r="A9" t="s">
        <v>601</v>
      </c>
      <c r="B9" s="181">
        <v>7</v>
      </c>
      <c r="C9" t="s">
        <v>594</v>
      </c>
      <c r="D9" s="181">
        <v>6</v>
      </c>
      <c r="E9" s="181">
        <v>0.34399999999999997</v>
      </c>
      <c r="F9" t="s">
        <v>117</v>
      </c>
      <c r="G9" t="s">
        <v>119</v>
      </c>
      <c r="H9" t="s">
        <v>122</v>
      </c>
      <c r="I9" s="181">
        <v>1</v>
      </c>
      <c r="J9" t="s">
        <v>126</v>
      </c>
      <c r="K9" t="s">
        <v>129</v>
      </c>
      <c r="L9" s="181">
        <v>70</v>
      </c>
      <c r="M9" s="181">
        <v>100</v>
      </c>
      <c r="N9" t="s">
        <v>389</v>
      </c>
      <c r="O9" s="181">
        <v>120</v>
      </c>
      <c r="P9" s="181">
        <v>1</v>
      </c>
      <c r="Q9" s="181">
        <v>8.625</v>
      </c>
      <c r="R9" t="s">
        <v>418</v>
      </c>
      <c r="S9" t="s">
        <v>420</v>
      </c>
      <c r="T9" s="181">
        <v>70</v>
      </c>
      <c r="U9" s="181">
        <f>HLOOKUP(D9,'Highway Loading'!$C$155:$AD$156,2,FALSE)</f>
        <v>6.625</v>
      </c>
      <c r="V9" s="181">
        <f>IF(ISBLANK(G9),"",INDEX('Highway Loading'!$C$216:$AG$216,1,MATCH(G9,'Highway Loading'!$C$215:$AG$215,0)))</f>
        <v>65000</v>
      </c>
      <c r="W9" s="181">
        <f>INDEX('Highway Loading'!$I$245:$L$253,MATCH(H9,'Highway Loading'!$H$245:$H$253,0),MATCH(I9,'Highway Loading'!$I$244:$L$244,0))</f>
        <v>0.72</v>
      </c>
      <c r="X9" s="181">
        <f t="shared" si="0"/>
        <v>1</v>
      </c>
      <c r="Y9" s="181">
        <f>VLOOKUP(K9,'Highway Loading'!$B$283:$E$292,2,FALSE)</f>
        <v>29000000</v>
      </c>
      <c r="Z9" s="181">
        <f>VLOOKUP(K9,'Highway Loading'!$B$283:$E$292,3,FALSE)</f>
        <v>0.3</v>
      </c>
      <c r="AA9" s="181">
        <f>VLOOKUP(K9,'Highway Loading'!$B$283:$E$292,4,FALSE)</f>
        <v>6.4999999999999996E-6</v>
      </c>
      <c r="AB9" s="181">
        <f t="shared" si="1"/>
        <v>1</v>
      </c>
      <c r="AC9" s="181">
        <f>VLOOKUP(N9,'Highway Loading'!$B$256:$D$261,2,FALSE)</f>
        <v>500</v>
      </c>
      <c r="AD9" s="181">
        <f>VLOOKUP(N9,'Highway Loading'!$B$256:$D$261,3,FALSE)</f>
        <v>5000</v>
      </c>
      <c r="AE9" s="181">
        <f>VLOOKUP(S9,'Highway Loading'!$B$340:$C$341,2,FALSE)</f>
        <v>12000</v>
      </c>
      <c r="AF9" s="181">
        <f t="shared" si="2"/>
        <v>5.1924528301886791E-2</v>
      </c>
      <c r="AG9" s="181">
        <f t="shared" si="3"/>
        <v>1.3913043478260869</v>
      </c>
      <c r="AH9" s="181">
        <f t="shared" si="4"/>
        <v>1.3018867924528301</v>
      </c>
      <c r="AI9" s="181">
        <f t="shared" si="5"/>
        <v>962.93604651162798</v>
      </c>
      <c r="AJ9" s="181">
        <f t="shared" si="6"/>
        <v>46800</v>
      </c>
      <c r="AK9" s="181">
        <f>IF(AC9=200,(INDEX(Tables!$B$17:$B$38,MAX(1,MIN(IFERROR(MATCH(AF9,Tables!$A$17:$A$38,1),1),ROWS(Tables!$A$17:$A$38)-1)))+(AF9-INDEX(Tables!$A$17:$A$38,MAX(1,MIN(IFERROR(MATCH(AF9,Tables!$A$17:$A$38,1),1),ROWS(Tables!$A$17:$A$38)-1))))*(INDEX(Tables!$B$17:$B$38,MAX(1,MIN(IFERROR(MATCH(AF9,Tables!$A$17:$A$38,1),1),ROWS(Tables!$A$17:$A$38)-1))+1)-INDEX(Tables!$B$17:$B$38,MAX(1,MIN(IFERROR(MATCH(AF9,Tables!$A$17:$A$38,1),1),ROWS(Tables!$A$17:$A$38)-1))))/(INDEX(Tables!$A$17:$A$38,MAX(1,MIN(IFERROR(MATCH(AF9,Tables!$A$17:$A$38,1),1),ROWS(Tables!$A$17:$A$38)-1))+1)-INDEX(Tables!$A$17:$A$38,MAX(1,MIN(IFERROR(MATCH(AF9,Tables!$A$17:$A$38,1),1),ROWS(Tables!$A$17:$A$38)-1))))),IF(AC9=500,(INDEX(Tables!$D$17:$D$38,MAX(1,MIN(IFERROR(MATCH(AF9,Tables!$C$17:$C$38,1),1),ROWS(Tables!$C$17:$C$38)-1)))+(AF9-INDEX(Tables!$C$17:$C$38,MAX(1,MIN(IFERROR(MATCH(AF9,Tables!$C$17:$C$38,1),1),ROWS(Tables!$C$17:$C$38)-1))))*(INDEX(Tables!$D$17:$D$38,MAX(1,MIN(IFERROR(MATCH(AF9,Tables!$C$17:$C$38,1),1),ROWS(Tables!$C$17:$C$38)-1))+1)-INDEX(Tables!$D$17:$D$38,MAX(1,MIN(IFERROR(MATCH(AF9,Tables!$C$17:$C$38,1),1),ROWS(Tables!$C$17:$C$38)-1))))/(INDEX(Tables!$C$17:$C$38,MAX(1,MIN(IFERROR(MATCH(AF9,Tables!$C$17:$C$38,1),1),ROWS(Tables!$C$17:$C$38)-1))+1)-INDEX(Tables!$C$17:$C$38,MAX(1,MIN(IFERROR(MATCH(AF9,Tables!$C$17:$C$38,1),1),ROWS(Tables!$C$17:$C$38)-1))))),IF(AC9=1000,(INDEX(Tables!$F$17:$F$38,MAX(1,MIN(IFERROR(MATCH(AF9,Tables!$E$17:$E$38,1),1),ROWS(Tables!$E$17:$E$38)-1)))+(AF9-INDEX(Tables!$E$17:$E$38,MAX(1,MIN(IFERROR(MATCH(AF9,Tables!$E$17:$E$38,1),1),ROWS(Tables!$E$17:$E$38)-1))))*(INDEX(Tables!$F$17:$F$38,MAX(1,MIN(IFERROR(MATCH(AF9,Tables!$E$17:$E$38,1),1),ROWS(Tables!$E$17:$E$38)-1))+1)-INDEX(Tables!$F$17:$F$38,MAX(1,MIN(IFERROR(MATCH(AF9,Tables!$E$17:$E$38,1),1),ROWS(Tables!$E$17:$E$38)-1))))/(INDEX(Tables!$E$17:$E$38,MAX(1,MIN(IFERROR(MATCH(AF9,Tables!$E$17:$E$38,1),1),ROWS(Tables!$E$17:$E$38)-1))+1)-INDEX(Tables!$E$17:$E$38,MAX(1,MIN(IFERROR(MATCH(AF9,Tables!$E$17:$E$38,1),1),ROWS(Tables!$E$17:$E$38)-1))))),(INDEX(Tables!$H$17:$H$38,MAX(1,MIN(IFERROR(MATCH(AF9,Tables!$G$17:$G$38,1),1),ROWS(Tables!$G$17:$G$38)-1)))+(AF9-INDEX(Tables!$G$17:$G$38,MAX(1,MIN(IFERROR(MATCH(AF9,Tables!$G$17:$G$38,1),1),ROWS(Tables!$G$17:$G$38)-1))))*(INDEX(Tables!$H$17:$H$38,MAX(1,MIN(IFERROR(MATCH(AF9,Tables!$G$17:$G$38,1),1),ROWS(Tables!$G$17:$G$38)-1))+1)-INDEX(Tables!$H$17:$H$38,MAX(1,MIN(IFERROR(MATCH(AF9,Tables!$G$17:$G$38,1),1),ROWS(Tables!$G$17:$G$38)-1))))/(INDEX(Tables!$G$17:$G$38,MAX(1,MIN(IFERROR(MATCH(AF9,Tables!$G$17:$G$38,1),1),ROWS(Tables!$G$17:$G$38)-1))+1)-INDEX(Tables!$G$17:$G$38,MAX(1,MIN(IFERROR(MATCH(AF9,Tables!$G$17:$G$38,1),1),ROWS(Tables!$G$17:$G$38)-1))))))))</f>
        <v>434.21132075471701</v>
      </c>
      <c r="AL9" s="181">
        <f>IF(AC9&lt;1000,(INDEX(Tables!$B$43:$B$76,MAX(1,MIN(IFERROR(MATCH(AG9,Tables!$A$43:$A$76,1),1),ROWS(Tables!$A$43:$A$76)-1)))+(AG9-INDEX(Tables!$A$43:$A$76,MAX(1,MIN(IFERROR(MATCH(AG9,Tables!$A$43:$A$76,1),1),ROWS(Tables!$A$43:$A$76)-1))))*(INDEX(Tables!$B$43:$B$76,MAX(1,MIN(IFERROR(MATCH(AG9,Tables!$A$43:$A$76,1),1),ROWS(Tables!$A$43:$A$76)-1))+1)-INDEX(Tables!$B$43:$B$76,MAX(1,MIN(IFERROR(MATCH(AG9,Tables!$A$43:$A$76,1),1),ROWS(Tables!$A$43:$A$76)-1))))/(INDEX(Tables!$A$43:$A$76,MAX(1,MIN(IFERROR(MATCH(AG9,Tables!$A$43:$A$76,1),1),ROWS(Tables!$A$43:$A$76)-1))+1)-INDEX(Tables!$A$43:$A$76,MAX(1,MIN(IFERROR(MATCH(AG9,Tables!$A$43:$A$76,1),1),ROWS(Tables!$A$43:$A$76)-1))))),(INDEX(Tables!$D$43:$D$76,MAX(1,MIN(IFERROR(MATCH(AG9,Tables!$C$43:$C$76,1),1),ROWS(Tables!$C$43:$C$76)-1)))+(AG9-INDEX(Tables!$C$43:$C$76,MAX(1,MIN(IFERROR(MATCH(AG9,Tables!$C$43:$C$76,1),1),ROWS(Tables!$C$43:$C$76)-1))))*(INDEX(Tables!$D$43:$D$76,MAX(1,MIN(IFERROR(MATCH(AG9,Tables!$C$43:$C$76,1),1),ROWS(Tables!$C$43:$C$76)-1))+1)-INDEX(Tables!$D$43:$D$76,MAX(1,MIN(IFERROR(MATCH(AG9,Tables!$C$43:$C$76,1),1),ROWS(Tables!$C$43:$C$76)-1))))/(INDEX(Tables!$C$43:$C$76,MAX(1,MIN(IFERROR(MATCH(AG9,Tables!$C$43:$C$76,1),1),ROWS(Tables!$C$43:$C$76)-1))+1)-INDEX(Tables!$C$43:$C$76,MAX(1,MIN(IFERROR(MATCH(AG9,Tables!$C$43:$C$76,1),1),ROWS(Tables!$C$43:$C$76)-1))))))</f>
        <v>0.44739130434782609</v>
      </c>
      <c r="AM9" s="181">
        <f>(INDEX(Tables!$B$80:$B$87,MAX(1,MIN(IFERROR(MATCH(AH9,Tables!$A$80:$A$87,1),1),ROWS(Tables!$A$80:$A$87)-1)))+(AH9-INDEX(Tables!$A$80:$A$87,MAX(1,MIN(IFERROR(MATCH(AH9,Tables!$A$80:$A$87,1),1),ROWS(Tables!$A$80:$A$87)-1))))*(INDEX(Tables!$B$80:$B$87,MAX(1,MIN(IFERROR(MATCH(AH9,Tables!$A$80:$A$87,1),1),ROWS(Tables!$A$80:$A$87)-1))+1)-INDEX(Tables!$B$80:$B$87,MAX(1,MIN(IFERROR(MATCH(AH9,Tables!$A$80:$A$87,1),1),ROWS(Tables!$A$80:$A$87)-1))))/(INDEX(Tables!$A$80:$A$87,MAX(1,MIN(IFERROR(MATCH(AH9,Tables!$A$80:$A$87,1),1),ROWS(Tables!$A$80:$A$87)-1))+1)-INDEX(Tables!$A$80:$A$87,MAX(1,MIN(IFERROR(MATCH(AH9,Tables!$A$80:$A$87,1),1),ROWS(Tables!$A$80:$A$87)-1)))))</f>
        <v>1.403996226415094</v>
      </c>
      <c r="AN9" s="181">
        <f t="shared" si="7"/>
        <v>125.48101181502938</v>
      </c>
      <c r="AO9" s="181">
        <f>(INDEX(Tables!$B$91:$B$94,MAX(1,MIN(IFERROR(MATCH(P9,Tables!$A$91:$A$94,1),1),ROWS(Tables!$A$91:$A$94)-1)))+(P9-INDEX(Tables!$A$91:$A$94,MAX(1,MIN(IFERROR(MATCH(P9,Tables!$A$91:$A$94,1),1),ROWS(Tables!$A$91:$A$94)-1))))*(INDEX(Tables!$B$91:$B$94,MAX(1,MIN(IFERROR(MATCH(P9,Tables!$A$91:$A$94,1),1),ROWS(Tables!$A$91:$A$94)-1))+1)-INDEX(Tables!$B$91:$B$94,MAX(1,MIN(IFERROR(MATCH(P9,Tables!$A$91:$A$94,1),1),ROWS(Tables!$A$91:$A$94)-1))))/(INDEX(Tables!$A$91:$A$94,MAX(1,MIN(IFERROR(MATCH(P9,Tables!$A$91:$A$94,1),1),ROWS(Tables!$A$91:$A$94)-1))+1)-INDEX(Tables!$A$91:$A$94,MAX(1,MIN(IFERROR(MATCH(P9,Tables!$A$91:$A$94,1),1),ROWS(Tables!$A$91:$A$94)-1)))))</f>
        <v>1.5</v>
      </c>
      <c r="AP9" s="181">
        <f>IF(AD9=5000,(INDEX(Tables!$B$99:$B$118,MAX(1,MIN(IFERROR(MATCH(AF9,Tables!$A$99:$A$118,1),1),ROWS(Tables!$A$99:$A$118)-1)))+(AF9-INDEX(Tables!$A$99:$A$118,MAX(1,MIN(IFERROR(MATCH(AF9,Tables!$A$99:$A$118,1),1),ROWS(Tables!$A$99:$A$118)-1))))*(INDEX(Tables!$B$99:$B$118,MAX(1,MIN(IFERROR(MATCH(AF9,Tables!$A$99:$A$118,1),1),ROWS(Tables!$A$99:$A$118)-1))+1)-INDEX(Tables!$B$99:$B$118,MAX(1,MIN(IFERROR(MATCH(AF9,Tables!$A$99:$A$118,1),1),ROWS(Tables!$A$99:$A$118)-1))))/(INDEX(Tables!$A$99:$A$118,MAX(1,MIN(IFERROR(MATCH(AF9,Tables!$A$99:$A$118,1),1),ROWS(Tables!$A$99:$A$118)-1))+1)-INDEX(Tables!$A$99:$A$118,MAX(1,MIN(IFERROR(MATCH(AF9,Tables!$A$99:$A$118,1),1),ROWS(Tables!$A$99:$A$118)-1))))),IF(AD9=10000,(INDEX(Tables!$D$99:$D$118,MAX(1,MIN(IFERROR(MATCH(AF9,Tables!$C$99:$C$118,1),1),ROWS(Tables!$C$99:$C$118)-1)))+(AF9-INDEX(Tables!$C$99:$C$118,MAX(1,MIN(IFERROR(MATCH(AF9,Tables!$C$99:$C$118,1),1),ROWS(Tables!$C$99:$C$118)-1))))*(INDEX(Tables!$D$99:$D$118,MAX(1,MIN(IFERROR(MATCH(AF9,Tables!$C$99:$C$118,1),1),ROWS(Tables!$C$99:$C$118)-1))+1)-INDEX(Tables!$D$99:$D$118,MAX(1,MIN(IFERROR(MATCH(AF9,Tables!$C$99:$C$118,1),1),ROWS(Tables!$C$99:$C$118)-1))))/(INDEX(Tables!$C$99:$C$118,MAX(1,MIN(IFERROR(MATCH(AF9,Tables!$C$99:$C$118,1),1),ROWS(Tables!$C$99:$C$118)-1))+1)-INDEX(Tables!$C$99:$C$118,MAX(1,MIN(IFERROR(MATCH(AF9,Tables!$C$99:$C$118,1),1),ROWS(Tables!$C$99:$C$118)-1))))),(INDEX(Tables!$F$99:$F$118,MAX(1,MIN(IFERROR(MATCH(AF9,Tables!$E$99:$E$118,1),1),ROWS(Tables!$E$99:$E$118)-1)))+(AF9-INDEX(Tables!$E$99:$E$118,MAX(1,MIN(IFERROR(MATCH(AF9,Tables!$E$99:$E$118,1),1),ROWS(Tables!$E$99:$E$118)-1))))*(INDEX(Tables!$F$99:$F$118,MAX(1,MIN(IFERROR(MATCH(AF9,Tables!$E$99:$E$118,1),1),ROWS(Tables!$E$99:$E$118)-1))+1)-INDEX(Tables!$F$99:$F$118,MAX(1,MIN(IFERROR(MATCH(AF9,Tables!$E$99:$E$118,1),1),ROWS(Tables!$E$99:$E$118)-1))))/(INDEX(Tables!$E$99:$E$118,MAX(1,MIN(IFERROR(MATCH(AF9,Tables!$E$99:$E$118,1),1),ROWS(Tables!$E$99:$E$118)-1))+1)-INDEX(Tables!$E$99:$E$118,MAX(1,MIN(IFERROR(MATCH(AF9,Tables!$E$99:$E$118,1),1),ROWS(Tables!$E$99:$E$118)-1)))))))</f>
        <v>5.6291529705286134</v>
      </c>
      <c r="AQ9" s="181">
        <f>IF(P9&lt;6,(INDEX(Tables!$B$123:$B$138,MAX(1,MIN(IFERROR(MATCH(U9,Tables!$A$123:$A$138,1),1),ROWS(Tables!$A$123:$A$138)-1)))+(U9-INDEX(Tables!$A$123:$A$138,MAX(1,MIN(IFERROR(MATCH(U9,Tables!$A$123:$A$138,1),1),ROWS(Tables!$A$123:$A$138)-1))))*(INDEX(Tables!$B$123:$B$138,MAX(1,MIN(IFERROR(MATCH(U9,Tables!$A$123:$A$138,1),1),ROWS(Tables!$A$123:$A$138)-1))+1)-INDEX(Tables!$B$123:$B$138,MAX(1,MIN(IFERROR(MATCH(U9,Tables!$A$123:$A$138,1),1),ROWS(Tables!$A$123:$A$138)-1))))/(INDEX(Tables!$A$123:$A$138,MAX(1,MIN(IFERROR(MATCH(U9,Tables!$A$123:$A$138,1),1),ROWS(Tables!$A$123:$A$138)-1))+1)-INDEX(Tables!$A$123:$A$138,MAX(1,MIN(IFERROR(MATCH(U9,Tables!$A$123:$A$138,1),1),ROWS(Tables!$A$123:$A$138)-1))))),IF(P9&lt;8,(INDEX(Tables!$D$123:$D$138,MAX(1,MIN(IFERROR(MATCH(U9,Tables!$C$123:$C$138,1),1),ROWS(Tables!$C$123:$C$138)-1)))+(U9-INDEX(Tables!$C$123:$C$138,MAX(1,MIN(IFERROR(MATCH(U9,Tables!$C$123:$C$138,1),1),ROWS(Tables!$C$123:$C$138)-1))))*(INDEX(Tables!$D$123:$D$138,MAX(1,MIN(IFERROR(MATCH(U9,Tables!$C$123:$C$138,1),1),ROWS(Tables!$C$123:$C$138)-1))+1)-INDEX(Tables!$D$123:$D$138,MAX(1,MIN(IFERROR(MATCH(U9,Tables!$C$123:$C$138,1),1),ROWS(Tables!$C$123:$C$138)-1))))/(INDEX(Tables!$C$123:$C$138,MAX(1,MIN(IFERROR(MATCH(U9,Tables!$C$123:$C$138,1),1),ROWS(Tables!$C$123:$C$138)-1))+1)-INDEX(Tables!$C$123:$C$138,MAX(1,MIN(IFERROR(MATCH(U9,Tables!$C$123:$C$138,1),1),ROWS(Tables!$C$123:$C$138)-1))))),IF(P9&lt;10,(INDEX(Tables!$F$123:$F$138,MAX(1,MIN(IFERROR(MATCH(U9,Tables!$E$123:$E$138,1),1),ROWS(Tables!$E$123:$E$138)-1)))+(U9-INDEX(Tables!$E$123:$E$138,MAX(1,MIN(IFERROR(MATCH(U9,Tables!$E$123:$E$138,1),1),ROWS(Tables!$E$123:$E$138)-1))))*(INDEX(Tables!$F$123:$F$138,MAX(1,MIN(IFERROR(MATCH(U9,Tables!$E$123:$E$138,1),1),ROWS(Tables!$E$123:$E$138)-1))+1)-INDEX(Tables!$F$123:$F$138,MAX(1,MIN(IFERROR(MATCH(U9,Tables!$E$123:$E$138,1),1),ROWS(Tables!$E$123:$E$138)-1))))/(INDEX(Tables!$E$123:$E$138,MAX(1,MIN(IFERROR(MATCH(U9,Tables!$E$123:$E$138,1),1),ROWS(Tables!$E$123:$E$138)-1))+1)-INDEX(Tables!$E$123:$E$138,MAX(1,MIN(IFERROR(MATCH(U9,Tables!$E$123:$E$138,1),1),ROWS(Tables!$E$123:$E$138)-1))))),(INDEX(Tables!$H$123:$H$138,MAX(1,MIN(IFERROR(MATCH(U9,Tables!$G$123:$G$138,1),1),ROWS(Tables!$G$123:$G$138)-1)))+(U9-INDEX(Tables!$G$123:$G$138,MAX(1,MIN(IFERROR(MATCH(U9,Tables!$G$123:$G$138,1),1),ROWS(Tables!$G$123:$G$138)-1))))*(INDEX(Tables!$H$123:$H$138,MAX(1,MIN(IFERROR(MATCH(U9,Tables!$G$123:$G$138,1),1),ROWS(Tables!$G$123:$G$138)-1))+1)-INDEX(Tables!$H$123:$H$138,MAX(1,MIN(IFERROR(MATCH(U9,Tables!$G$123:$G$138,1),1),ROWS(Tables!$G$123:$G$138)-1))))/(INDEX(Tables!$G$123:$G$138,MAX(1,MIN(IFERROR(MATCH(U9,Tables!$G$123:$G$138,1),1),ROWS(Tables!$G$123:$G$138)-1))+1)-INDEX(Tables!$G$123:$G$138,MAX(1,MIN(IFERROR(MATCH(U9,Tables!$G$123:$G$138,1),1),ROWS(Tables!$G$123:$G$138)-1))))))))</f>
        <v>1.4501250000000001</v>
      </c>
      <c r="AR9" s="181">
        <f>IF(OR(P9&gt;=4,U9&gt;12),VLOOKUP(R9&amp;" "&amp;S9,Tables!$D$143:$F$148,2,FALSE),VLOOKUP(R9&amp;" "&amp;S9,Tables!$A$143:$C$148,2,FALSE))</f>
        <v>0.9</v>
      </c>
      <c r="AS9" s="181">
        <f>IF(OR(P9&gt;=4,U9&gt;12),VLOOKUP(R9&amp;" "&amp;S9,Tables!$D$143:$F$148,3,FALSE),VLOOKUP(R9&amp;" "&amp;S9,Tables!$A$143:$C$148,3,FALSE))</f>
        <v>0.65</v>
      </c>
      <c r="AT9" s="181">
        <f t="shared" si="8"/>
        <v>596.91757988273321</v>
      </c>
      <c r="AU9" s="181">
        <f>IF(AD9=5000,(INDEX(Tables!$B$244:$B$263,MAX(1,MIN(IFERROR(MATCH(AF9,Tables!$A$244:$A$263,1),1),ROWS(Tables!$A$244:$A$263)-1)))+(AF9-INDEX(Tables!$A$244:$A$263,MAX(1,MIN(IFERROR(MATCH(AF9,Tables!$A$244:$A$263,1),1),ROWS(Tables!$A$244:$A$263)-1))))*(INDEX(Tables!$B$244:$B$263,MAX(1,MIN(IFERROR(MATCH(AF9,Tables!$A$244:$A$263,1),1),ROWS(Tables!$A$244:$A$263)-1))+1)-INDEX(Tables!$B$244:$B$263,MAX(1,MIN(IFERROR(MATCH(AF9,Tables!$A$244:$A$263,1),1),ROWS(Tables!$A$244:$A$263)-1))))/(INDEX(Tables!$A$244:$A$263,MAX(1,MIN(IFERROR(MATCH(AF9,Tables!$A$244:$A$263,1),1),ROWS(Tables!$A$244:$A$263)-1))+1)-INDEX(Tables!$A$244:$A$263,MAX(1,MIN(IFERROR(MATCH(AF9,Tables!$A$244:$A$263,1),1),ROWS(Tables!$A$244:$A$263)-1))))),IF(AD9=10000,(INDEX(Tables!$D$244:$D$263,MAX(1,MIN(IFERROR(MATCH(AF9,Tables!$C$244:$C$263,1),1),ROWS(Tables!$C$244:$C$263)-1)))+(AF9-INDEX(Tables!$C$244:$C$263,MAX(1,MIN(IFERROR(MATCH(AF9,Tables!$C$244:$C$263,1),1),ROWS(Tables!$C$244:$C$263)-1))))*(INDEX(Tables!$D$244:$D$263,MAX(1,MIN(IFERROR(MATCH(AF9,Tables!$C$244:$C$263,1),1),ROWS(Tables!$C$244:$C$263)-1))+1)-INDEX(Tables!$D$244:$D$263,MAX(1,MIN(IFERROR(MATCH(AF9,Tables!$C$244:$C$263,1),1),ROWS(Tables!$C$244:$C$263)-1))))/(INDEX(Tables!$C$244:$C$263,MAX(1,MIN(IFERROR(MATCH(AF9,Tables!$C$244:$C$263,1),1),ROWS(Tables!$C$244:$C$263)-1))+1)-INDEX(Tables!$C$244:$C$263,MAX(1,MIN(IFERROR(MATCH(AF9,Tables!$C$244:$C$263,1),1),ROWS(Tables!$C$244:$C$263)-1))))),(INDEX(Tables!$F$244:$F$263,MAX(1,MIN(IFERROR(MATCH(AF9,Tables!$E$244:$E$263,1),1),ROWS(Tables!$E$244:$E$263)-1)))+(AF9-INDEX(Tables!$E$244:$E$263,MAX(1,MIN(IFERROR(MATCH(AF9,Tables!$E$244:$E$263,1),1),ROWS(Tables!$E$244:$E$263)-1))))*(INDEX(Tables!$F$244:$F$263,MAX(1,MIN(IFERROR(MATCH(AF9,Tables!$E$244:$E$263,1),1),ROWS(Tables!$E$244:$E$263)-1))+1)-INDEX(Tables!$F$244:$F$263,MAX(1,MIN(IFERROR(MATCH(AF9,Tables!$E$244:$E$263,1),1),ROWS(Tables!$E$244:$E$263)-1))))/(INDEX(Tables!$E$244:$E$263,MAX(1,MIN(IFERROR(MATCH(AF9,Tables!$E$244:$E$263,1),1),ROWS(Tables!$E$244:$E$263)-1))+1)-INDEX(Tables!$E$244:$E$263,MAX(1,MIN(IFERROR(MATCH(AF9,Tables!$E$244:$E$263,1),1),ROWS(Tables!$E$244:$E$263)-1)))))))</f>
        <v>8.2111547169811328</v>
      </c>
      <c r="AV9" s="181">
        <f>IF(P9&lt;6,(INDEX(Tables!$B$260:$B$274,MAX(1,MIN(IFERROR(MATCH(U9,Tables!$A$260:$A$274,1),1),ROWS(Tables!$A$260:$A$274)-1)))+(U9-INDEX(Tables!$A$260:$A$274,MAX(1,MIN(IFERROR(MATCH(U9,Tables!$A$260:$A$274,1),1),ROWS(Tables!$A$260:$A$274)-1))))*(INDEX(Tables!$B$260:$B$274,MAX(1,MIN(IFERROR(MATCH(U9,Tables!$A$260:$A$274,1),1),ROWS(Tables!$A$260:$A$274)-1))+1)-INDEX(Tables!$B$260:$B$274,MAX(1,MIN(IFERROR(MATCH(U9,Tables!$A$260:$A$274,1),1),ROWS(Tables!$A$260:$A$274)-1))))/(INDEX(Tables!$A$260:$A$274,MAX(1,MIN(IFERROR(MATCH(U9,Tables!$A$260:$A$274,1),1),ROWS(Tables!$A$260:$A$274)-1))+1)-INDEX(Tables!$A$260:$A$274,MAX(1,MIN(IFERROR(MATCH(U9,Tables!$A$260:$A$274,1),1),ROWS(Tables!$A$260:$A$274)-1))))),IF(P9&lt;8,(INDEX(Tables!$D$260:$D$274,MAX(1,MIN(IFERROR(MATCH(U9,Tables!$C$260:$C$274,1),1),ROWS(Tables!$C$260:$C$274)-1)))+(U9-INDEX(Tables!$C$260:$C$274,MAX(1,MIN(IFERROR(MATCH(U9,Tables!$C$260:$C$274,1),1),ROWS(Tables!$C$260:$C$274)-1))))*(INDEX(Tables!$D$260:$D$274,MAX(1,MIN(IFERROR(MATCH(U9,Tables!$C$260:$C$274,1),1),ROWS(Tables!$C$260:$C$274)-1))+1)-INDEX(Tables!$D$260:$D$274,MAX(1,MIN(IFERROR(MATCH(U9,Tables!$C$260:$C$274,1),1),ROWS(Tables!$C$260:$C$274)-1))))/(INDEX(Tables!$C$260:$C$274,MAX(1,MIN(IFERROR(MATCH(U9,Tables!$C$260:$C$274,1),1),ROWS(Tables!$C$260:$C$274)-1))+1)-INDEX(Tables!$C$260:$C$274,MAX(1,MIN(IFERROR(MATCH(U9,Tables!$C$260:$C$274,1),1),ROWS(Tables!$C$260:$C$274)-1))))),IF(P9&lt;10,(INDEX(Tables!$F$260:$F$274,MAX(1,MIN(IFERROR(MATCH(U9,Tables!$E$260:$E$274,1),1),ROWS(Tables!$E$260:$E$274)-1)))+(U9-INDEX(Tables!$E$260:$E$274,MAX(1,MIN(IFERROR(MATCH(U9,Tables!$E$260:$E$274,1),1),ROWS(Tables!$E$260:$E$274)-1))))*(INDEX(Tables!$F$260:$F$274,MAX(1,MIN(IFERROR(MATCH(U9,Tables!$E$260:$E$274,1),1),ROWS(Tables!$E$260:$E$274)-1))+1)-INDEX(Tables!$F$260:$F$274,MAX(1,MIN(IFERROR(MATCH(U9,Tables!$E$260:$E$274,1),1),ROWS(Tables!$E$260:$E$274)-1))))/(INDEX(Tables!$E$260:$E$274,MAX(1,MIN(IFERROR(MATCH(U9,Tables!$E$260:$E$274,1),1),ROWS(Tables!$E$260:$E$274)-1))+1)-INDEX(Tables!$E$260:$E$274,MAX(1,MIN(IFERROR(MATCH(U9,Tables!$E$260:$E$274,1),1),ROWS(Tables!$E$260:$E$274)-1))))),(INDEX(Tables!$H$260:$H$274,MAX(1,MIN(IFERROR(MATCH(U9,Tables!$G$260:$G$274,1),1),ROWS(Tables!$G$260:$G$274)-1)))+(U9-INDEX(Tables!$G$260:$G$274,MAX(1,MIN(IFERROR(MATCH(U9,Tables!$G$260:$G$274,1),1),ROWS(Tables!$G$260:$G$274)-1))))*(INDEX(Tables!$H$260:$H$274,MAX(1,MIN(IFERROR(MATCH(U9,Tables!$G$260:$G$274,1),1),ROWS(Tables!$G$260:$G$274)-1))+1)-INDEX(Tables!$H$260:$H$274,MAX(1,MIN(IFERROR(MATCH(U9,Tables!$G$260:$G$274,1),1),ROWS(Tables!$G$260:$G$274)-1))))/(INDEX(Tables!$G$260:$G$274,MAX(1,MIN(IFERROR(MATCH(U9,Tables!$G$260:$G$274,1),1),ROWS(Tables!$G$260:$G$274)-1))+1)-INDEX(Tables!$G$260:$G$274,MAX(1,MIN(IFERROR(MATCH(U9,Tables!$G$260:$G$274,1),1),ROWS(Tables!$G$260:$G$274)-1))))))))</f>
        <v>1.4965000000000002</v>
      </c>
      <c r="AW9" s="181">
        <f t="shared" si="9"/>
        <v>898.55949060849082</v>
      </c>
      <c r="AX9" s="181">
        <f t="shared" si="10"/>
        <v>912.93604651162798</v>
      </c>
      <c r="AY9" s="181">
        <f t="shared" si="11"/>
        <v>1635.3346382093905</v>
      </c>
      <c r="AZ9" s="181">
        <f t="shared" si="12"/>
        <v>1210.0846081064881</v>
      </c>
      <c r="BA9" s="181">
        <f t="shared" si="13"/>
        <v>-100</v>
      </c>
      <c r="BB9" s="181">
        <f t="shared" si="14"/>
        <v>1566.6118815886348</v>
      </c>
      <c r="BC9" s="181">
        <f t="shared" si="15"/>
        <v>46800</v>
      </c>
      <c r="BD9" s="181">
        <f>VLOOKUP(V9&amp;" "&amp;J9,Tables!$A$152:$E$239,4,FALSE)</f>
        <v>12000</v>
      </c>
      <c r="BE9" s="181">
        <f>VLOOKUP(V9&amp;" "&amp;J9,Tables!$A$152:$E$239,5,FALSE)</f>
        <v>23000</v>
      </c>
      <c r="BF9" s="181">
        <f t="shared" si="16"/>
        <v>8640</v>
      </c>
      <c r="BG9" s="181">
        <f t="shared" si="17"/>
        <v>16560</v>
      </c>
      <c r="BH9" s="181">
        <f t="shared" si="18"/>
        <v>962.93604651162798</v>
      </c>
      <c r="BI9" s="181">
        <f t="shared" si="19"/>
        <v>46800</v>
      </c>
      <c r="BJ9" s="181">
        <f t="shared" si="20"/>
        <v>1566.6118815886348</v>
      </c>
      <c r="BK9" s="181">
        <f t="shared" si="21"/>
        <v>46800</v>
      </c>
      <c r="BL9" s="181">
        <f t="shared" si="22"/>
        <v>898.55949060849082</v>
      </c>
      <c r="BM9" s="181">
        <f t="shared" si="23"/>
        <v>8640</v>
      </c>
      <c r="BN9" s="181">
        <f t="shared" si="24"/>
        <v>596.91757988273321</v>
      </c>
      <c r="BO9" s="181">
        <f t="shared" si="25"/>
        <v>16560</v>
      </c>
      <c r="BP9" t="str">
        <f t="shared" si="26"/>
        <v>Pass</v>
      </c>
      <c r="BQ9" t="str">
        <f t="shared" si="27"/>
        <v>Pass</v>
      </c>
      <c r="BR9" t="str">
        <f t="shared" si="28"/>
        <v>Pass</v>
      </c>
      <c r="BS9" t="str">
        <f t="shared" si="29"/>
        <v>Pass</v>
      </c>
      <c r="BT9" t="str">
        <f t="shared" si="30"/>
        <v>Pass</v>
      </c>
      <c r="BU9" t="str">
        <f t="shared" si="31"/>
        <v>Girth Weld Stress</v>
      </c>
    </row>
    <row r="10" spans="1:73">
      <c r="A10" t="s">
        <v>602</v>
      </c>
      <c r="B10" s="181">
        <v>8</v>
      </c>
      <c r="C10" t="s">
        <v>594</v>
      </c>
      <c r="D10" s="181">
        <v>8</v>
      </c>
      <c r="E10" s="181">
        <v>0.375</v>
      </c>
      <c r="F10" t="s">
        <v>117</v>
      </c>
      <c r="G10" t="s">
        <v>119</v>
      </c>
      <c r="H10" t="s">
        <v>122</v>
      </c>
      <c r="I10" s="181">
        <v>1</v>
      </c>
      <c r="J10" t="s">
        <v>126</v>
      </c>
      <c r="K10" t="s">
        <v>129</v>
      </c>
      <c r="L10" s="181">
        <v>70</v>
      </c>
      <c r="M10" s="181">
        <v>100</v>
      </c>
      <c r="N10" t="s">
        <v>389</v>
      </c>
      <c r="O10" s="181">
        <v>120</v>
      </c>
      <c r="P10" s="181">
        <v>3</v>
      </c>
      <c r="Q10" s="181">
        <v>10.625</v>
      </c>
      <c r="R10" t="s">
        <v>418</v>
      </c>
      <c r="S10" t="s">
        <v>420</v>
      </c>
      <c r="T10" s="181">
        <v>70</v>
      </c>
      <c r="U10" s="181">
        <f>HLOOKUP(D10,'Highway Loading'!$C$155:$AD$156,2,FALSE)</f>
        <v>8.625</v>
      </c>
      <c r="V10" s="181">
        <f>IF(ISBLANK(G10),"",INDEX('Highway Loading'!$C$216:$AG$216,1,MATCH(G10,'Highway Loading'!$C$215:$AG$215,0)))</f>
        <v>65000</v>
      </c>
      <c r="W10" s="181">
        <f>INDEX('Highway Loading'!$I$245:$L$253,MATCH(H10,'Highway Loading'!$H$245:$H$253,0),MATCH(I10,'Highway Loading'!$I$244:$L$244,0))</f>
        <v>0.72</v>
      </c>
      <c r="X10" s="181">
        <f t="shared" si="0"/>
        <v>1</v>
      </c>
      <c r="Y10" s="181">
        <f>VLOOKUP(K10,'Highway Loading'!$B$283:$E$292,2,FALSE)</f>
        <v>29000000</v>
      </c>
      <c r="Z10" s="181">
        <f>VLOOKUP(K10,'Highway Loading'!$B$283:$E$292,3,FALSE)</f>
        <v>0.3</v>
      </c>
      <c r="AA10" s="181">
        <f>VLOOKUP(K10,'Highway Loading'!$B$283:$E$292,4,FALSE)</f>
        <v>6.4999999999999996E-6</v>
      </c>
      <c r="AB10" s="181">
        <f t="shared" si="1"/>
        <v>1</v>
      </c>
      <c r="AC10" s="181">
        <f>VLOOKUP(N10,'Highway Loading'!$B$256:$D$261,2,FALSE)</f>
        <v>500</v>
      </c>
      <c r="AD10" s="181">
        <f>VLOOKUP(N10,'Highway Loading'!$B$256:$D$261,3,FALSE)</f>
        <v>5000</v>
      </c>
      <c r="AE10" s="181">
        <f>VLOOKUP(S10,'Highway Loading'!$B$340:$C$341,2,FALSE)</f>
        <v>12000</v>
      </c>
      <c r="AF10" s="181">
        <f t="shared" si="2"/>
        <v>4.3478260869565216E-2</v>
      </c>
      <c r="AG10" s="181">
        <f t="shared" si="3"/>
        <v>3.388235294117647</v>
      </c>
      <c r="AH10" s="181">
        <f t="shared" si="4"/>
        <v>1.2318840579710144</v>
      </c>
      <c r="AI10" s="181">
        <f t="shared" si="5"/>
        <v>1150</v>
      </c>
      <c r="AJ10" s="181">
        <f t="shared" si="6"/>
        <v>46800</v>
      </c>
      <c r="AK10" s="181">
        <f>IF(AC10=200,(INDEX(Tables!$B$17:$B$38,MAX(1,MIN(IFERROR(MATCH(AF10,Tables!$A$17:$A$38,1),1),ROWS(Tables!$A$17:$A$38)-1)))+(AF10-INDEX(Tables!$A$17:$A$38,MAX(1,MIN(IFERROR(MATCH(AF10,Tables!$A$17:$A$38,1),1),ROWS(Tables!$A$17:$A$38)-1))))*(INDEX(Tables!$B$17:$B$38,MAX(1,MIN(IFERROR(MATCH(AF10,Tables!$A$17:$A$38,1),1),ROWS(Tables!$A$17:$A$38)-1))+1)-INDEX(Tables!$B$17:$B$38,MAX(1,MIN(IFERROR(MATCH(AF10,Tables!$A$17:$A$38,1),1),ROWS(Tables!$A$17:$A$38)-1))))/(INDEX(Tables!$A$17:$A$38,MAX(1,MIN(IFERROR(MATCH(AF10,Tables!$A$17:$A$38,1),1),ROWS(Tables!$A$17:$A$38)-1))+1)-INDEX(Tables!$A$17:$A$38,MAX(1,MIN(IFERROR(MATCH(AF10,Tables!$A$17:$A$38,1),1),ROWS(Tables!$A$17:$A$38)-1))))),IF(AC10=500,(INDEX(Tables!$D$17:$D$38,MAX(1,MIN(IFERROR(MATCH(AF10,Tables!$C$17:$C$38,1),1),ROWS(Tables!$C$17:$C$38)-1)))+(AF10-INDEX(Tables!$C$17:$C$38,MAX(1,MIN(IFERROR(MATCH(AF10,Tables!$C$17:$C$38,1),1),ROWS(Tables!$C$17:$C$38)-1))))*(INDEX(Tables!$D$17:$D$38,MAX(1,MIN(IFERROR(MATCH(AF10,Tables!$C$17:$C$38,1),1),ROWS(Tables!$C$17:$C$38)-1))+1)-INDEX(Tables!$D$17:$D$38,MAX(1,MIN(IFERROR(MATCH(AF10,Tables!$C$17:$C$38,1),1),ROWS(Tables!$C$17:$C$38)-1))))/(INDEX(Tables!$C$17:$C$38,MAX(1,MIN(IFERROR(MATCH(AF10,Tables!$C$17:$C$38,1),1),ROWS(Tables!$C$17:$C$38)-1))+1)-INDEX(Tables!$C$17:$C$38,MAX(1,MIN(IFERROR(MATCH(AF10,Tables!$C$17:$C$38,1),1),ROWS(Tables!$C$17:$C$38)-1))))),IF(AC10=1000,(INDEX(Tables!$F$17:$F$38,MAX(1,MIN(IFERROR(MATCH(AF10,Tables!$E$17:$E$38,1),1),ROWS(Tables!$E$17:$E$38)-1)))+(AF10-INDEX(Tables!$E$17:$E$38,MAX(1,MIN(IFERROR(MATCH(AF10,Tables!$E$17:$E$38,1),1),ROWS(Tables!$E$17:$E$38)-1))))*(INDEX(Tables!$F$17:$F$38,MAX(1,MIN(IFERROR(MATCH(AF10,Tables!$E$17:$E$38,1),1),ROWS(Tables!$E$17:$E$38)-1))+1)-INDEX(Tables!$F$17:$F$38,MAX(1,MIN(IFERROR(MATCH(AF10,Tables!$E$17:$E$38,1),1),ROWS(Tables!$E$17:$E$38)-1))))/(INDEX(Tables!$E$17:$E$38,MAX(1,MIN(IFERROR(MATCH(AF10,Tables!$E$17:$E$38,1),1),ROWS(Tables!$E$17:$E$38)-1))+1)-INDEX(Tables!$E$17:$E$38,MAX(1,MIN(IFERROR(MATCH(AF10,Tables!$E$17:$E$38,1),1),ROWS(Tables!$E$17:$E$38)-1))))),(INDEX(Tables!$H$17:$H$38,MAX(1,MIN(IFERROR(MATCH(AF10,Tables!$G$17:$G$38,1),1),ROWS(Tables!$G$17:$G$38)-1)))+(AF10-INDEX(Tables!$G$17:$G$38,MAX(1,MIN(IFERROR(MATCH(AF10,Tables!$G$17:$G$38,1),1),ROWS(Tables!$G$17:$G$38)-1))))*(INDEX(Tables!$H$17:$H$38,MAX(1,MIN(IFERROR(MATCH(AF10,Tables!$G$17:$G$38,1),1),ROWS(Tables!$G$17:$G$38)-1))+1)-INDEX(Tables!$H$17:$H$38,MAX(1,MIN(IFERROR(MATCH(AF10,Tables!$G$17:$G$38,1),1),ROWS(Tables!$G$17:$G$38)-1))))/(INDEX(Tables!$G$17:$G$38,MAX(1,MIN(IFERROR(MATCH(AF10,Tables!$G$17:$G$38,1),1),ROWS(Tables!$G$17:$G$38)-1))+1)-INDEX(Tables!$G$17:$G$38,MAX(1,MIN(IFERROR(MATCH(AF10,Tables!$G$17:$G$38,1),1),ROWS(Tables!$G$17:$G$38)-1))))))))</f>
        <v>560.60869565217388</v>
      </c>
      <c r="AL10" s="181">
        <f>IF(AC10&lt;1000,(INDEX(Tables!$B$43:$B$76,MAX(1,MIN(IFERROR(MATCH(AG10,Tables!$A$43:$A$76,1),1),ROWS(Tables!$A$43:$A$76)-1)))+(AG10-INDEX(Tables!$A$43:$A$76,MAX(1,MIN(IFERROR(MATCH(AG10,Tables!$A$43:$A$76,1),1),ROWS(Tables!$A$43:$A$76)-1))))*(INDEX(Tables!$B$43:$B$76,MAX(1,MIN(IFERROR(MATCH(AG10,Tables!$A$43:$A$76,1),1),ROWS(Tables!$A$43:$A$76)-1))+1)-INDEX(Tables!$B$43:$B$76,MAX(1,MIN(IFERROR(MATCH(AG10,Tables!$A$43:$A$76,1),1),ROWS(Tables!$A$43:$A$76)-1))))/(INDEX(Tables!$A$43:$A$76,MAX(1,MIN(IFERROR(MATCH(AG10,Tables!$A$43:$A$76,1),1),ROWS(Tables!$A$43:$A$76)-1))+1)-INDEX(Tables!$A$43:$A$76,MAX(1,MIN(IFERROR(MATCH(AG10,Tables!$A$43:$A$76,1),1),ROWS(Tables!$A$43:$A$76)-1))))),(INDEX(Tables!$D$43:$D$76,MAX(1,MIN(IFERROR(MATCH(AG10,Tables!$C$43:$C$76,1),1),ROWS(Tables!$C$43:$C$76)-1)))+(AG10-INDEX(Tables!$C$43:$C$76,MAX(1,MIN(IFERROR(MATCH(AG10,Tables!$C$43:$C$76,1),1),ROWS(Tables!$C$43:$C$76)-1))))*(INDEX(Tables!$D$43:$D$76,MAX(1,MIN(IFERROR(MATCH(AG10,Tables!$C$43:$C$76,1),1),ROWS(Tables!$C$43:$C$76)-1))+1)-INDEX(Tables!$D$43:$D$76,MAX(1,MIN(IFERROR(MATCH(AG10,Tables!$C$43:$C$76,1),1),ROWS(Tables!$C$43:$C$76)-1))))/(INDEX(Tables!$C$43:$C$76,MAX(1,MIN(IFERROR(MATCH(AG10,Tables!$C$43:$C$76,1),1),ROWS(Tables!$C$43:$C$76)-1))+1)-INDEX(Tables!$C$43:$C$76,MAX(1,MIN(IFERROR(MATCH(AG10,Tables!$C$43:$C$76,1),1),ROWS(Tables!$C$43:$C$76)-1))))))</f>
        <v>0.89796470588235289</v>
      </c>
      <c r="AM10" s="181">
        <f>(INDEX(Tables!$B$80:$B$87,MAX(1,MIN(IFERROR(MATCH(AH10,Tables!$A$80:$A$87,1),1),ROWS(Tables!$A$80:$A$87)-1)))+(AH10-INDEX(Tables!$A$80:$A$87,MAX(1,MIN(IFERROR(MATCH(AH10,Tables!$A$80:$A$87,1),1),ROWS(Tables!$A$80:$A$87)-1))))*(INDEX(Tables!$B$80:$B$87,MAX(1,MIN(IFERROR(MATCH(AH10,Tables!$A$80:$A$87,1),1),ROWS(Tables!$A$80:$A$87)-1))+1)-INDEX(Tables!$B$80:$B$87,MAX(1,MIN(IFERROR(MATCH(AH10,Tables!$A$80:$A$87,1),1),ROWS(Tables!$A$80:$A$87)-1))))/(INDEX(Tables!$A$80:$A$87,MAX(1,MIN(IFERROR(MATCH(AH10,Tables!$A$80:$A$87,1),1),ROWS(Tables!$A$80:$A$87)-1))+1)-INDEX(Tables!$A$80:$A$87,MAX(1,MIN(IFERROR(MATCH(AH10,Tables!$A$80:$A$87,1),1),ROWS(Tables!$A$80:$A$87)-1)))))</f>
        <v>1.2567086956521738</v>
      </c>
      <c r="AN10" s="181">
        <f t="shared" si="7"/>
        <v>378.92244322321761</v>
      </c>
      <c r="AO10" s="181">
        <f>(INDEX(Tables!$B$91:$B$94,MAX(1,MIN(IFERROR(MATCH(P10,Tables!$A$91:$A$94,1),1),ROWS(Tables!$A$91:$A$94)-1)))+(P10-INDEX(Tables!$A$91:$A$94,MAX(1,MIN(IFERROR(MATCH(P10,Tables!$A$91:$A$94,1),1),ROWS(Tables!$A$91:$A$94)-1))))*(INDEX(Tables!$B$91:$B$94,MAX(1,MIN(IFERROR(MATCH(P10,Tables!$A$91:$A$94,1),1),ROWS(Tables!$A$91:$A$94)-1))+1)-INDEX(Tables!$B$91:$B$94,MAX(1,MIN(IFERROR(MATCH(P10,Tables!$A$91:$A$94,1),1),ROWS(Tables!$A$91:$A$94)-1))))/(INDEX(Tables!$A$91:$A$94,MAX(1,MIN(IFERROR(MATCH(P10,Tables!$A$91:$A$94,1),1),ROWS(Tables!$A$91:$A$94)-1))+1)-INDEX(Tables!$A$91:$A$94,MAX(1,MIN(IFERROR(MATCH(P10,Tables!$A$91:$A$94,1),1),ROWS(Tables!$A$91:$A$94)-1)))))</f>
        <v>1.5</v>
      </c>
      <c r="AP10" s="181">
        <f>IF(AD10=5000,(INDEX(Tables!$B$99:$B$118,MAX(1,MIN(IFERROR(MATCH(AF10,Tables!$A$99:$A$118,1),1),ROWS(Tables!$A$99:$A$118)-1)))+(AF10-INDEX(Tables!$A$99:$A$118,MAX(1,MIN(IFERROR(MATCH(AF10,Tables!$A$99:$A$118,1),1),ROWS(Tables!$A$99:$A$118)-1))))*(INDEX(Tables!$B$99:$B$118,MAX(1,MIN(IFERROR(MATCH(AF10,Tables!$A$99:$A$118,1),1),ROWS(Tables!$A$99:$A$118)-1))+1)-INDEX(Tables!$B$99:$B$118,MAX(1,MIN(IFERROR(MATCH(AF10,Tables!$A$99:$A$118,1),1),ROWS(Tables!$A$99:$A$118)-1))))/(INDEX(Tables!$A$99:$A$118,MAX(1,MIN(IFERROR(MATCH(AF10,Tables!$A$99:$A$118,1),1),ROWS(Tables!$A$99:$A$118)-1))+1)-INDEX(Tables!$A$99:$A$118,MAX(1,MIN(IFERROR(MATCH(AF10,Tables!$A$99:$A$118,1),1),ROWS(Tables!$A$99:$A$118)-1))))),IF(AD10=10000,(INDEX(Tables!$D$99:$D$118,MAX(1,MIN(IFERROR(MATCH(AF10,Tables!$C$99:$C$118,1),1),ROWS(Tables!$C$99:$C$118)-1)))+(AF10-INDEX(Tables!$C$99:$C$118,MAX(1,MIN(IFERROR(MATCH(AF10,Tables!$C$99:$C$118,1),1),ROWS(Tables!$C$99:$C$118)-1))))*(INDEX(Tables!$D$99:$D$118,MAX(1,MIN(IFERROR(MATCH(AF10,Tables!$C$99:$C$118,1),1),ROWS(Tables!$C$99:$C$118)-1))+1)-INDEX(Tables!$D$99:$D$118,MAX(1,MIN(IFERROR(MATCH(AF10,Tables!$C$99:$C$118,1),1),ROWS(Tables!$C$99:$C$118)-1))))/(INDEX(Tables!$C$99:$C$118,MAX(1,MIN(IFERROR(MATCH(AF10,Tables!$C$99:$C$118,1),1),ROWS(Tables!$C$99:$C$118)-1))+1)-INDEX(Tables!$C$99:$C$118,MAX(1,MIN(IFERROR(MATCH(AF10,Tables!$C$99:$C$118,1),1),ROWS(Tables!$C$99:$C$118)-1))))),(INDEX(Tables!$F$99:$F$118,MAX(1,MIN(IFERROR(MATCH(AF10,Tables!$E$99:$E$118,1),1),ROWS(Tables!$E$99:$E$118)-1)))+(AF10-INDEX(Tables!$E$99:$E$118,MAX(1,MIN(IFERROR(MATCH(AF10,Tables!$E$99:$E$118,1),1),ROWS(Tables!$E$99:$E$118)-1))))*(INDEX(Tables!$F$99:$F$118,MAX(1,MIN(IFERROR(MATCH(AF10,Tables!$E$99:$E$118,1),1),ROWS(Tables!$E$99:$E$118)-1))+1)-INDEX(Tables!$F$99:$F$118,MAX(1,MIN(IFERROR(MATCH(AF10,Tables!$E$99:$E$118,1),1),ROWS(Tables!$E$99:$E$118)-1))))/(INDEX(Tables!$E$99:$E$118,MAX(1,MIN(IFERROR(MATCH(AF10,Tables!$E$99:$E$118,1),1),ROWS(Tables!$E$99:$E$118)-1))+1)-INDEX(Tables!$E$99:$E$118,MAX(1,MIN(IFERROR(MATCH(AF10,Tables!$E$99:$E$118,1),1),ROWS(Tables!$E$99:$E$118)-1)))))))</f>
        <v>7.5349097621000816</v>
      </c>
      <c r="AQ10" s="181">
        <f>IF(P10&lt;6,(INDEX(Tables!$B$123:$B$138,MAX(1,MIN(IFERROR(MATCH(U10,Tables!$A$123:$A$138,1),1),ROWS(Tables!$A$123:$A$138)-1)))+(U10-INDEX(Tables!$A$123:$A$138,MAX(1,MIN(IFERROR(MATCH(U10,Tables!$A$123:$A$138,1),1),ROWS(Tables!$A$123:$A$138)-1))))*(INDEX(Tables!$B$123:$B$138,MAX(1,MIN(IFERROR(MATCH(U10,Tables!$A$123:$A$138,1),1),ROWS(Tables!$A$123:$A$138)-1))+1)-INDEX(Tables!$B$123:$B$138,MAX(1,MIN(IFERROR(MATCH(U10,Tables!$A$123:$A$138,1),1),ROWS(Tables!$A$123:$A$138)-1))))/(INDEX(Tables!$A$123:$A$138,MAX(1,MIN(IFERROR(MATCH(U10,Tables!$A$123:$A$138,1),1),ROWS(Tables!$A$123:$A$138)-1))+1)-INDEX(Tables!$A$123:$A$138,MAX(1,MIN(IFERROR(MATCH(U10,Tables!$A$123:$A$138,1),1),ROWS(Tables!$A$123:$A$138)-1))))),IF(P10&lt;8,(INDEX(Tables!$D$123:$D$138,MAX(1,MIN(IFERROR(MATCH(U10,Tables!$C$123:$C$138,1),1),ROWS(Tables!$C$123:$C$138)-1)))+(U10-INDEX(Tables!$C$123:$C$138,MAX(1,MIN(IFERROR(MATCH(U10,Tables!$C$123:$C$138,1),1),ROWS(Tables!$C$123:$C$138)-1))))*(INDEX(Tables!$D$123:$D$138,MAX(1,MIN(IFERROR(MATCH(U10,Tables!$C$123:$C$138,1),1),ROWS(Tables!$C$123:$C$138)-1))+1)-INDEX(Tables!$D$123:$D$138,MAX(1,MIN(IFERROR(MATCH(U10,Tables!$C$123:$C$138,1),1),ROWS(Tables!$C$123:$C$138)-1))))/(INDEX(Tables!$C$123:$C$138,MAX(1,MIN(IFERROR(MATCH(U10,Tables!$C$123:$C$138,1),1),ROWS(Tables!$C$123:$C$138)-1))+1)-INDEX(Tables!$C$123:$C$138,MAX(1,MIN(IFERROR(MATCH(U10,Tables!$C$123:$C$138,1),1),ROWS(Tables!$C$123:$C$138)-1))))),IF(P10&lt;10,(INDEX(Tables!$F$123:$F$138,MAX(1,MIN(IFERROR(MATCH(U10,Tables!$E$123:$E$138,1),1),ROWS(Tables!$E$123:$E$138)-1)))+(U10-INDEX(Tables!$E$123:$E$138,MAX(1,MIN(IFERROR(MATCH(U10,Tables!$E$123:$E$138,1),1),ROWS(Tables!$E$123:$E$138)-1))))*(INDEX(Tables!$F$123:$F$138,MAX(1,MIN(IFERROR(MATCH(U10,Tables!$E$123:$E$138,1),1),ROWS(Tables!$E$123:$E$138)-1))+1)-INDEX(Tables!$F$123:$F$138,MAX(1,MIN(IFERROR(MATCH(U10,Tables!$E$123:$E$138,1),1),ROWS(Tables!$E$123:$E$138)-1))))/(INDEX(Tables!$E$123:$E$138,MAX(1,MIN(IFERROR(MATCH(U10,Tables!$E$123:$E$138,1),1),ROWS(Tables!$E$123:$E$138)-1))+1)-INDEX(Tables!$E$123:$E$138,MAX(1,MIN(IFERROR(MATCH(U10,Tables!$E$123:$E$138,1),1),ROWS(Tables!$E$123:$E$138)-1))))),(INDEX(Tables!$H$123:$H$138,MAX(1,MIN(IFERROR(MATCH(U10,Tables!$G$123:$G$138,1),1),ROWS(Tables!$G$123:$G$138)-1)))+(U10-INDEX(Tables!$G$123:$G$138,MAX(1,MIN(IFERROR(MATCH(U10,Tables!$G$123:$G$138,1),1),ROWS(Tables!$G$123:$G$138)-1))))*(INDEX(Tables!$H$123:$H$138,MAX(1,MIN(IFERROR(MATCH(U10,Tables!$G$123:$G$138,1),1),ROWS(Tables!$G$123:$G$138)-1))+1)-INDEX(Tables!$H$123:$H$138,MAX(1,MIN(IFERROR(MATCH(U10,Tables!$G$123:$G$138,1),1),ROWS(Tables!$G$123:$G$138)-1))))/(INDEX(Tables!$G$123:$G$138,MAX(1,MIN(IFERROR(MATCH(U10,Tables!$G$123:$G$138,1),1),ROWS(Tables!$G$123:$G$138)-1))+1)-INDEX(Tables!$G$123:$G$138,MAX(1,MIN(IFERROR(MATCH(U10,Tables!$G$123:$G$138,1),1),ROWS(Tables!$G$123:$G$138)-1))))))))</f>
        <v>1.389875</v>
      </c>
      <c r="AR10" s="181">
        <f>IF(OR(P10&gt;=4,U10&gt;12),VLOOKUP(R10&amp;" "&amp;S10,Tables!$D$143:$F$148,2,FALSE),VLOOKUP(R10&amp;" "&amp;S10,Tables!$A$143:$C$148,2,FALSE))</f>
        <v>0.9</v>
      </c>
      <c r="AS10" s="181">
        <f>IF(OR(P10&gt;=4,U10&gt;12),VLOOKUP(R10&amp;" "&amp;S10,Tables!$D$143:$F$148,3,FALSE),VLOOKUP(R10&amp;" "&amp;S10,Tables!$A$143:$C$148,3,FALSE))</f>
        <v>0.65</v>
      </c>
      <c r="AT10" s="181">
        <f t="shared" si="8"/>
        <v>765.80761034691614</v>
      </c>
      <c r="AU10" s="181">
        <f>IF(AD10=5000,(INDEX(Tables!$B$244:$B$263,MAX(1,MIN(IFERROR(MATCH(AF10,Tables!$A$244:$A$263,1),1),ROWS(Tables!$A$244:$A$263)-1)))+(AF10-INDEX(Tables!$A$244:$A$263,MAX(1,MIN(IFERROR(MATCH(AF10,Tables!$A$244:$A$263,1),1),ROWS(Tables!$A$244:$A$263)-1))))*(INDEX(Tables!$B$244:$B$263,MAX(1,MIN(IFERROR(MATCH(AF10,Tables!$A$244:$A$263,1),1),ROWS(Tables!$A$244:$A$263)-1))+1)-INDEX(Tables!$B$244:$B$263,MAX(1,MIN(IFERROR(MATCH(AF10,Tables!$A$244:$A$263,1),1),ROWS(Tables!$A$244:$A$263)-1))))/(INDEX(Tables!$A$244:$A$263,MAX(1,MIN(IFERROR(MATCH(AF10,Tables!$A$244:$A$263,1),1),ROWS(Tables!$A$244:$A$263)-1))+1)-INDEX(Tables!$A$244:$A$263,MAX(1,MIN(IFERROR(MATCH(AF10,Tables!$A$244:$A$263,1),1),ROWS(Tables!$A$244:$A$263)-1))))),IF(AD10=10000,(INDEX(Tables!$D$244:$D$263,MAX(1,MIN(IFERROR(MATCH(AF10,Tables!$C$244:$C$263,1),1),ROWS(Tables!$C$244:$C$263)-1)))+(AF10-INDEX(Tables!$C$244:$C$263,MAX(1,MIN(IFERROR(MATCH(AF10,Tables!$C$244:$C$263,1),1),ROWS(Tables!$C$244:$C$263)-1))))*(INDEX(Tables!$D$244:$D$263,MAX(1,MIN(IFERROR(MATCH(AF10,Tables!$C$244:$C$263,1),1),ROWS(Tables!$C$244:$C$263)-1))+1)-INDEX(Tables!$D$244:$D$263,MAX(1,MIN(IFERROR(MATCH(AF10,Tables!$C$244:$C$263,1),1),ROWS(Tables!$C$244:$C$263)-1))))/(INDEX(Tables!$C$244:$C$263,MAX(1,MIN(IFERROR(MATCH(AF10,Tables!$C$244:$C$263,1),1),ROWS(Tables!$C$244:$C$263)-1))+1)-INDEX(Tables!$C$244:$C$263,MAX(1,MIN(IFERROR(MATCH(AF10,Tables!$C$244:$C$263,1),1),ROWS(Tables!$C$244:$C$263)-1))))),(INDEX(Tables!$F$244:$F$263,MAX(1,MIN(IFERROR(MATCH(AF10,Tables!$E$244:$E$263,1),1),ROWS(Tables!$E$244:$E$263)-1)))+(AF10-INDEX(Tables!$E$244:$E$263,MAX(1,MIN(IFERROR(MATCH(AF10,Tables!$E$244:$E$263,1),1),ROWS(Tables!$E$244:$E$263)-1))))*(INDEX(Tables!$F$244:$F$263,MAX(1,MIN(IFERROR(MATCH(AF10,Tables!$E$244:$E$263,1),1),ROWS(Tables!$E$244:$E$263)-1))+1)-INDEX(Tables!$F$244:$F$263,MAX(1,MIN(IFERROR(MATCH(AF10,Tables!$E$244:$E$263,1),1),ROWS(Tables!$E$244:$E$263)-1))))/(INDEX(Tables!$E$244:$E$263,MAX(1,MIN(IFERROR(MATCH(AF10,Tables!$E$244:$E$263,1),1),ROWS(Tables!$E$244:$E$263)-1))+1)-INDEX(Tables!$E$244:$E$263,MAX(1,MIN(IFERROR(MATCH(AF10,Tables!$E$244:$E$263,1),1),ROWS(Tables!$E$244:$E$263)-1)))))))</f>
        <v>9.2075652173913038</v>
      </c>
      <c r="AV10" s="181">
        <f>IF(P10&lt;6,(INDEX(Tables!$B$260:$B$274,MAX(1,MIN(IFERROR(MATCH(U10,Tables!$A$260:$A$274,1),1),ROWS(Tables!$A$260:$A$274)-1)))+(U10-INDEX(Tables!$A$260:$A$274,MAX(1,MIN(IFERROR(MATCH(U10,Tables!$A$260:$A$274,1),1),ROWS(Tables!$A$260:$A$274)-1))))*(INDEX(Tables!$B$260:$B$274,MAX(1,MIN(IFERROR(MATCH(U10,Tables!$A$260:$A$274,1),1),ROWS(Tables!$A$260:$A$274)-1))+1)-INDEX(Tables!$B$260:$B$274,MAX(1,MIN(IFERROR(MATCH(U10,Tables!$A$260:$A$274,1),1),ROWS(Tables!$A$260:$A$274)-1))))/(INDEX(Tables!$A$260:$A$274,MAX(1,MIN(IFERROR(MATCH(U10,Tables!$A$260:$A$274,1),1),ROWS(Tables!$A$260:$A$274)-1))+1)-INDEX(Tables!$A$260:$A$274,MAX(1,MIN(IFERROR(MATCH(U10,Tables!$A$260:$A$274,1),1),ROWS(Tables!$A$260:$A$274)-1))))),IF(P10&lt;8,(INDEX(Tables!$D$260:$D$274,MAX(1,MIN(IFERROR(MATCH(U10,Tables!$C$260:$C$274,1),1),ROWS(Tables!$C$260:$C$274)-1)))+(U10-INDEX(Tables!$C$260:$C$274,MAX(1,MIN(IFERROR(MATCH(U10,Tables!$C$260:$C$274,1),1),ROWS(Tables!$C$260:$C$274)-1))))*(INDEX(Tables!$D$260:$D$274,MAX(1,MIN(IFERROR(MATCH(U10,Tables!$C$260:$C$274,1),1),ROWS(Tables!$C$260:$C$274)-1))+1)-INDEX(Tables!$D$260:$D$274,MAX(1,MIN(IFERROR(MATCH(U10,Tables!$C$260:$C$274,1),1),ROWS(Tables!$C$260:$C$274)-1))))/(INDEX(Tables!$C$260:$C$274,MAX(1,MIN(IFERROR(MATCH(U10,Tables!$C$260:$C$274,1),1),ROWS(Tables!$C$260:$C$274)-1))+1)-INDEX(Tables!$C$260:$C$274,MAX(1,MIN(IFERROR(MATCH(U10,Tables!$C$260:$C$274,1),1),ROWS(Tables!$C$260:$C$274)-1))))),IF(P10&lt;10,(INDEX(Tables!$F$260:$F$274,MAX(1,MIN(IFERROR(MATCH(U10,Tables!$E$260:$E$274,1),1),ROWS(Tables!$E$260:$E$274)-1)))+(U10-INDEX(Tables!$E$260:$E$274,MAX(1,MIN(IFERROR(MATCH(U10,Tables!$E$260:$E$274,1),1),ROWS(Tables!$E$260:$E$274)-1))))*(INDEX(Tables!$F$260:$F$274,MAX(1,MIN(IFERROR(MATCH(U10,Tables!$E$260:$E$274,1),1),ROWS(Tables!$E$260:$E$274)-1))+1)-INDEX(Tables!$F$260:$F$274,MAX(1,MIN(IFERROR(MATCH(U10,Tables!$E$260:$E$274,1),1),ROWS(Tables!$E$260:$E$274)-1))))/(INDEX(Tables!$E$260:$E$274,MAX(1,MIN(IFERROR(MATCH(U10,Tables!$E$260:$E$274,1),1),ROWS(Tables!$E$260:$E$274)-1))+1)-INDEX(Tables!$E$260:$E$274,MAX(1,MIN(IFERROR(MATCH(U10,Tables!$E$260:$E$274,1),1),ROWS(Tables!$E$260:$E$274)-1))))),(INDEX(Tables!$H$260:$H$274,MAX(1,MIN(IFERROR(MATCH(U10,Tables!$G$260:$G$274,1),1),ROWS(Tables!$G$260:$G$274)-1)))+(U10-INDEX(Tables!$G$260:$G$274,MAX(1,MIN(IFERROR(MATCH(U10,Tables!$G$260:$G$274,1),1),ROWS(Tables!$G$260:$G$274)-1))))*(INDEX(Tables!$H$260:$H$274,MAX(1,MIN(IFERROR(MATCH(U10,Tables!$G$260:$G$274,1),1),ROWS(Tables!$G$260:$G$274)-1))+1)-INDEX(Tables!$H$260:$H$274,MAX(1,MIN(IFERROR(MATCH(U10,Tables!$G$260:$G$274,1),1),ROWS(Tables!$G$260:$G$274)-1))))/(INDEX(Tables!$G$260:$G$274,MAX(1,MIN(IFERROR(MATCH(U10,Tables!$G$260:$G$274,1),1),ROWS(Tables!$G$260:$G$274)-1))+1)-INDEX(Tables!$G$260:$G$274,MAX(1,MIN(IFERROR(MATCH(U10,Tables!$G$260:$G$274,1),1),ROWS(Tables!$G$260:$G$274)-1))))))))</f>
        <v>1.3123750000000001</v>
      </c>
      <c r="AW10" s="181">
        <f t="shared" si="9"/>
        <v>883.62629565896736</v>
      </c>
      <c r="AX10" s="181">
        <f t="shared" si="10"/>
        <v>1100</v>
      </c>
      <c r="AY10" s="181">
        <f t="shared" si="11"/>
        <v>2244.7300535701338</v>
      </c>
      <c r="AZ10" s="181">
        <f t="shared" si="12"/>
        <v>1327.3030286259327</v>
      </c>
      <c r="BA10" s="181">
        <f t="shared" si="13"/>
        <v>-100</v>
      </c>
      <c r="BB10" s="181">
        <f t="shared" si="14"/>
        <v>2046.5367460343498</v>
      </c>
      <c r="BC10" s="181">
        <f t="shared" si="15"/>
        <v>46800</v>
      </c>
      <c r="BD10" s="181">
        <f>VLOOKUP(V10&amp;" "&amp;J10,Tables!$A$152:$E$239,4,FALSE)</f>
        <v>12000</v>
      </c>
      <c r="BE10" s="181">
        <f>VLOOKUP(V10&amp;" "&amp;J10,Tables!$A$152:$E$239,5,FALSE)</f>
        <v>23000</v>
      </c>
      <c r="BF10" s="181">
        <f t="shared" si="16"/>
        <v>8640</v>
      </c>
      <c r="BG10" s="181">
        <f t="shared" si="17"/>
        <v>16560</v>
      </c>
      <c r="BH10" s="181">
        <f t="shared" si="18"/>
        <v>1150</v>
      </c>
      <c r="BI10" s="181">
        <f t="shared" si="19"/>
        <v>46800</v>
      </c>
      <c r="BJ10" s="181">
        <f t="shared" si="20"/>
        <v>2046.5367460343498</v>
      </c>
      <c r="BK10" s="181">
        <f t="shared" si="21"/>
        <v>46800</v>
      </c>
      <c r="BL10" s="181">
        <f t="shared" si="22"/>
        <v>883.62629565896736</v>
      </c>
      <c r="BM10" s="181">
        <f t="shared" si="23"/>
        <v>8640</v>
      </c>
      <c r="BN10" s="181">
        <f t="shared" si="24"/>
        <v>765.80761034691614</v>
      </c>
      <c r="BO10" s="181">
        <f t="shared" si="25"/>
        <v>16560</v>
      </c>
      <c r="BP10" t="str">
        <f t="shared" si="26"/>
        <v>Pass</v>
      </c>
      <c r="BQ10" t="str">
        <f t="shared" si="27"/>
        <v>Pass</v>
      </c>
      <c r="BR10" t="str">
        <f t="shared" si="28"/>
        <v>Pass</v>
      </c>
      <c r="BS10" t="str">
        <f t="shared" si="29"/>
        <v>Pass</v>
      </c>
      <c r="BT10" t="str">
        <f t="shared" si="30"/>
        <v>Pass</v>
      </c>
      <c r="BU10" t="str">
        <f t="shared" si="31"/>
        <v>Girth Weld Stress</v>
      </c>
    </row>
    <row r="11" spans="1:73">
      <c r="A11" t="s">
        <v>603</v>
      </c>
      <c r="B11" s="181">
        <v>9</v>
      </c>
      <c r="C11" t="s">
        <v>594</v>
      </c>
      <c r="D11" s="181">
        <v>12</v>
      </c>
      <c r="E11" s="181">
        <v>0.40600000000000003</v>
      </c>
      <c r="F11" t="s">
        <v>117</v>
      </c>
      <c r="G11" t="s">
        <v>119</v>
      </c>
      <c r="H11" t="s">
        <v>122</v>
      </c>
      <c r="I11" s="181">
        <v>1</v>
      </c>
      <c r="J11" t="s">
        <v>126</v>
      </c>
      <c r="K11" t="s">
        <v>129</v>
      </c>
      <c r="L11" s="181">
        <v>70</v>
      </c>
      <c r="M11" s="181">
        <v>800</v>
      </c>
      <c r="N11" t="s">
        <v>389</v>
      </c>
      <c r="O11" s="181">
        <v>120</v>
      </c>
      <c r="P11" s="181">
        <v>6</v>
      </c>
      <c r="Q11" s="181">
        <v>14.75</v>
      </c>
      <c r="R11" t="s">
        <v>418</v>
      </c>
      <c r="S11" t="s">
        <v>420</v>
      </c>
      <c r="T11" s="181">
        <v>70</v>
      </c>
      <c r="U11" s="181">
        <f>HLOOKUP(D11,'Highway Loading'!$C$155:$AD$156,2,FALSE)</f>
        <v>12.75</v>
      </c>
      <c r="V11" s="181">
        <f>IF(ISBLANK(G11),"",INDEX('Highway Loading'!$C$216:$AG$216,1,MATCH(G11,'Highway Loading'!$C$215:$AG$215,0)))</f>
        <v>65000</v>
      </c>
      <c r="W11" s="181">
        <f>INDEX('Highway Loading'!$I$245:$L$253,MATCH(H11,'Highway Loading'!$H$245:$H$253,0),MATCH(I11,'Highway Loading'!$I$244:$L$244,0))</f>
        <v>0.72</v>
      </c>
      <c r="X11" s="181">
        <f t="shared" si="0"/>
        <v>1</v>
      </c>
      <c r="Y11" s="181">
        <f>VLOOKUP(K11,'Highway Loading'!$B$283:$E$292,2,FALSE)</f>
        <v>29000000</v>
      </c>
      <c r="Z11" s="181">
        <f>VLOOKUP(K11,'Highway Loading'!$B$283:$E$292,3,FALSE)</f>
        <v>0.3</v>
      </c>
      <c r="AA11" s="181">
        <f>VLOOKUP(K11,'Highway Loading'!$B$283:$E$292,4,FALSE)</f>
        <v>6.4999999999999996E-6</v>
      </c>
      <c r="AB11" s="181">
        <f t="shared" si="1"/>
        <v>1</v>
      </c>
      <c r="AC11" s="181">
        <f>VLOOKUP(N11,'Highway Loading'!$B$256:$D$261,2,FALSE)</f>
        <v>500</v>
      </c>
      <c r="AD11" s="181">
        <f>VLOOKUP(N11,'Highway Loading'!$B$256:$D$261,3,FALSE)</f>
        <v>5000</v>
      </c>
      <c r="AE11" s="181">
        <f>VLOOKUP(S11,'Highway Loading'!$B$340:$C$341,2,FALSE)</f>
        <v>12000</v>
      </c>
      <c r="AF11" s="181">
        <f t="shared" si="2"/>
        <v>3.1843137254901961E-2</v>
      </c>
      <c r="AG11" s="181">
        <f t="shared" si="3"/>
        <v>4.8813559322033901</v>
      </c>
      <c r="AH11" s="181">
        <f t="shared" si="4"/>
        <v>1.1568627450980393</v>
      </c>
      <c r="AI11" s="181">
        <f t="shared" si="5"/>
        <v>12561.576354679803</v>
      </c>
      <c r="AJ11" s="181">
        <f t="shared" si="6"/>
        <v>46800</v>
      </c>
      <c r="AK11" s="181">
        <f>IF(AC11=200,(INDEX(Tables!$B$17:$B$38,MAX(1,MIN(IFERROR(MATCH(AF11,Tables!$A$17:$A$38,1),1),ROWS(Tables!$A$17:$A$38)-1)))+(AF11-INDEX(Tables!$A$17:$A$38,MAX(1,MIN(IFERROR(MATCH(AF11,Tables!$A$17:$A$38,1),1),ROWS(Tables!$A$17:$A$38)-1))))*(INDEX(Tables!$B$17:$B$38,MAX(1,MIN(IFERROR(MATCH(AF11,Tables!$A$17:$A$38,1),1),ROWS(Tables!$A$17:$A$38)-1))+1)-INDEX(Tables!$B$17:$B$38,MAX(1,MIN(IFERROR(MATCH(AF11,Tables!$A$17:$A$38,1),1),ROWS(Tables!$A$17:$A$38)-1))))/(INDEX(Tables!$A$17:$A$38,MAX(1,MIN(IFERROR(MATCH(AF11,Tables!$A$17:$A$38,1),1),ROWS(Tables!$A$17:$A$38)-1))+1)-INDEX(Tables!$A$17:$A$38,MAX(1,MIN(IFERROR(MATCH(AF11,Tables!$A$17:$A$38,1),1),ROWS(Tables!$A$17:$A$38)-1))))),IF(AC11=500,(INDEX(Tables!$D$17:$D$38,MAX(1,MIN(IFERROR(MATCH(AF11,Tables!$C$17:$C$38,1),1),ROWS(Tables!$C$17:$C$38)-1)))+(AF11-INDEX(Tables!$C$17:$C$38,MAX(1,MIN(IFERROR(MATCH(AF11,Tables!$C$17:$C$38,1),1),ROWS(Tables!$C$17:$C$38)-1))))*(INDEX(Tables!$D$17:$D$38,MAX(1,MIN(IFERROR(MATCH(AF11,Tables!$C$17:$C$38,1),1),ROWS(Tables!$C$17:$C$38)-1))+1)-INDEX(Tables!$D$17:$D$38,MAX(1,MIN(IFERROR(MATCH(AF11,Tables!$C$17:$C$38,1),1),ROWS(Tables!$C$17:$C$38)-1))))/(INDEX(Tables!$C$17:$C$38,MAX(1,MIN(IFERROR(MATCH(AF11,Tables!$C$17:$C$38,1),1),ROWS(Tables!$C$17:$C$38)-1))+1)-INDEX(Tables!$C$17:$C$38,MAX(1,MIN(IFERROR(MATCH(AF11,Tables!$C$17:$C$38,1),1),ROWS(Tables!$C$17:$C$38)-1))))),IF(AC11=1000,(INDEX(Tables!$F$17:$F$38,MAX(1,MIN(IFERROR(MATCH(AF11,Tables!$E$17:$E$38,1),1),ROWS(Tables!$E$17:$E$38)-1)))+(AF11-INDEX(Tables!$E$17:$E$38,MAX(1,MIN(IFERROR(MATCH(AF11,Tables!$E$17:$E$38,1),1),ROWS(Tables!$E$17:$E$38)-1))))*(INDEX(Tables!$F$17:$F$38,MAX(1,MIN(IFERROR(MATCH(AF11,Tables!$E$17:$E$38,1),1),ROWS(Tables!$E$17:$E$38)-1))+1)-INDEX(Tables!$F$17:$F$38,MAX(1,MIN(IFERROR(MATCH(AF11,Tables!$E$17:$E$38,1),1),ROWS(Tables!$E$17:$E$38)-1))))/(INDEX(Tables!$E$17:$E$38,MAX(1,MIN(IFERROR(MATCH(AF11,Tables!$E$17:$E$38,1),1),ROWS(Tables!$E$17:$E$38)-1))+1)-INDEX(Tables!$E$17:$E$38,MAX(1,MIN(IFERROR(MATCH(AF11,Tables!$E$17:$E$38,1),1),ROWS(Tables!$E$17:$E$38)-1))))),(INDEX(Tables!$H$17:$H$38,MAX(1,MIN(IFERROR(MATCH(AF11,Tables!$G$17:$G$38,1),1),ROWS(Tables!$G$17:$G$38)-1)))+(AF11-INDEX(Tables!$G$17:$G$38,MAX(1,MIN(IFERROR(MATCH(AF11,Tables!$G$17:$G$38,1),1),ROWS(Tables!$G$17:$G$38)-1))))*(INDEX(Tables!$H$17:$H$38,MAX(1,MIN(IFERROR(MATCH(AF11,Tables!$G$17:$G$38,1),1),ROWS(Tables!$G$17:$G$38)-1))+1)-INDEX(Tables!$H$17:$H$38,MAX(1,MIN(IFERROR(MATCH(AF11,Tables!$G$17:$G$38,1),1),ROWS(Tables!$G$17:$G$38)-1))))/(INDEX(Tables!$G$17:$G$38,MAX(1,MIN(IFERROR(MATCH(AF11,Tables!$G$17:$G$38,1),1),ROWS(Tables!$G$17:$G$38)-1))+1)-INDEX(Tables!$G$17:$G$38,MAX(1,MIN(IFERROR(MATCH(AF11,Tables!$G$17:$G$38,1),1),ROWS(Tables!$G$17:$G$38)-1))))))))</f>
        <v>981.89411764705881</v>
      </c>
      <c r="AL11" s="181">
        <f>IF(AC11&lt;1000,(INDEX(Tables!$B$43:$B$76,MAX(1,MIN(IFERROR(MATCH(AG11,Tables!$A$43:$A$76,1),1),ROWS(Tables!$A$43:$A$76)-1)))+(AG11-INDEX(Tables!$A$43:$A$76,MAX(1,MIN(IFERROR(MATCH(AG11,Tables!$A$43:$A$76,1),1),ROWS(Tables!$A$43:$A$76)-1))))*(INDEX(Tables!$B$43:$B$76,MAX(1,MIN(IFERROR(MATCH(AG11,Tables!$A$43:$A$76,1),1),ROWS(Tables!$A$43:$A$76)-1))+1)-INDEX(Tables!$B$43:$B$76,MAX(1,MIN(IFERROR(MATCH(AG11,Tables!$A$43:$A$76,1),1),ROWS(Tables!$A$43:$A$76)-1))))/(INDEX(Tables!$A$43:$A$76,MAX(1,MIN(IFERROR(MATCH(AG11,Tables!$A$43:$A$76,1),1),ROWS(Tables!$A$43:$A$76)-1))+1)-INDEX(Tables!$A$43:$A$76,MAX(1,MIN(IFERROR(MATCH(AG11,Tables!$A$43:$A$76,1),1),ROWS(Tables!$A$43:$A$76)-1))))),(INDEX(Tables!$D$43:$D$76,MAX(1,MIN(IFERROR(MATCH(AG11,Tables!$C$43:$C$76,1),1),ROWS(Tables!$C$43:$C$76)-1)))+(AG11-INDEX(Tables!$C$43:$C$76,MAX(1,MIN(IFERROR(MATCH(AG11,Tables!$C$43:$C$76,1),1),ROWS(Tables!$C$43:$C$76)-1))))*(INDEX(Tables!$D$43:$D$76,MAX(1,MIN(IFERROR(MATCH(AG11,Tables!$C$43:$C$76,1),1),ROWS(Tables!$C$43:$C$76)-1))+1)-INDEX(Tables!$D$43:$D$76,MAX(1,MIN(IFERROR(MATCH(AG11,Tables!$C$43:$C$76,1),1),ROWS(Tables!$C$43:$C$76)-1))))/(INDEX(Tables!$C$43:$C$76,MAX(1,MIN(IFERROR(MATCH(AG11,Tables!$C$43:$C$76,1),1),ROWS(Tables!$C$43:$C$76)-1))+1)-INDEX(Tables!$C$43:$C$76,MAX(1,MIN(IFERROR(MATCH(AG11,Tables!$C$43:$C$76,1),1),ROWS(Tables!$C$43:$C$76)-1))))))</f>
        <v>1.0658474576271186</v>
      </c>
      <c r="AM11" s="181">
        <f>(INDEX(Tables!$B$80:$B$87,MAX(1,MIN(IFERROR(MATCH(AH11,Tables!$A$80:$A$87,1),1),ROWS(Tables!$A$80:$A$87)-1)))+(AH11-INDEX(Tables!$A$80:$A$87,MAX(1,MIN(IFERROR(MATCH(AH11,Tables!$A$80:$A$87,1),1),ROWS(Tables!$A$80:$A$87)-1))))*(INDEX(Tables!$B$80:$B$87,MAX(1,MIN(IFERROR(MATCH(AH11,Tables!$A$80:$A$87,1),1),ROWS(Tables!$A$80:$A$87)-1))+1)-INDEX(Tables!$B$80:$B$87,MAX(1,MIN(IFERROR(MATCH(AH11,Tables!$A$80:$A$87,1),1),ROWS(Tables!$A$80:$A$87)-1))))/(INDEX(Tables!$A$80:$A$87,MAX(1,MIN(IFERROR(MATCH(AH11,Tables!$A$80:$A$87,1),1),ROWS(Tables!$A$80:$A$87)-1))+1)-INDEX(Tables!$A$80:$A$87,MAX(1,MIN(IFERROR(MATCH(AH11,Tables!$A$80:$A$87,1),1),ROWS(Tables!$A$80:$A$87)-1)))))</f>
        <v>1.1041078431372553</v>
      </c>
      <c r="AN11" s="181">
        <f t="shared" si="7"/>
        <v>1023.1019195291125</v>
      </c>
      <c r="AO11" s="181">
        <f>(INDEX(Tables!$B$91:$B$94,MAX(1,MIN(IFERROR(MATCH(P11,Tables!$A$91:$A$94,1),1),ROWS(Tables!$A$91:$A$94)-1)))+(P11-INDEX(Tables!$A$91:$A$94,MAX(1,MIN(IFERROR(MATCH(P11,Tables!$A$91:$A$94,1),1),ROWS(Tables!$A$91:$A$94)-1))))*(INDEX(Tables!$B$91:$B$94,MAX(1,MIN(IFERROR(MATCH(P11,Tables!$A$91:$A$94,1),1),ROWS(Tables!$A$91:$A$94)-1))+1)-INDEX(Tables!$B$91:$B$94,MAX(1,MIN(IFERROR(MATCH(P11,Tables!$A$91:$A$94,1),1),ROWS(Tables!$A$91:$A$94)-1))))/(INDEX(Tables!$A$91:$A$94,MAX(1,MIN(IFERROR(MATCH(P11,Tables!$A$91:$A$94,1),1),ROWS(Tables!$A$91:$A$94)-1))+1)-INDEX(Tables!$A$91:$A$94,MAX(1,MIN(IFERROR(MATCH(P11,Tables!$A$91:$A$94,1),1),ROWS(Tables!$A$91:$A$94)-1)))))</f>
        <v>1.476219512195122</v>
      </c>
      <c r="AP11" s="181">
        <f>IF(AD11=5000,(INDEX(Tables!$B$99:$B$118,MAX(1,MIN(IFERROR(MATCH(AF11,Tables!$A$99:$A$118,1),1),ROWS(Tables!$A$99:$A$118)-1)))+(AF11-INDEX(Tables!$A$99:$A$118,MAX(1,MIN(IFERROR(MATCH(AF11,Tables!$A$99:$A$118,1),1),ROWS(Tables!$A$99:$A$118)-1))))*(INDEX(Tables!$B$99:$B$118,MAX(1,MIN(IFERROR(MATCH(AF11,Tables!$A$99:$A$118,1),1),ROWS(Tables!$A$99:$A$118)-1))+1)-INDEX(Tables!$B$99:$B$118,MAX(1,MIN(IFERROR(MATCH(AF11,Tables!$A$99:$A$118,1),1),ROWS(Tables!$A$99:$A$118)-1))))/(INDEX(Tables!$A$99:$A$118,MAX(1,MIN(IFERROR(MATCH(AF11,Tables!$A$99:$A$118,1),1),ROWS(Tables!$A$99:$A$118)-1))+1)-INDEX(Tables!$A$99:$A$118,MAX(1,MIN(IFERROR(MATCH(AF11,Tables!$A$99:$A$118,1),1),ROWS(Tables!$A$99:$A$118)-1))))),IF(AD11=10000,(INDEX(Tables!$D$99:$D$118,MAX(1,MIN(IFERROR(MATCH(AF11,Tables!$C$99:$C$118,1),1),ROWS(Tables!$C$99:$C$118)-1)))+(AF11-INDEX(Tables!$C$99:$C$118,MAX(1,MIN(IFERROR(MATCH(AF11,Tables!$C$99:$C$118,1),1),ROWS(Tables!$C$99:$C$118)-1))))*(INDEX(Tables!$D$99:$D$118,MAX(1,MIN(IFERROR(MATCH(AF11,Tables!$C$99:$C$118,1),1),ROWS(Tables!$C$99:$C$118)-1))+1)-INDEX(Tables!$D$99:$D$118,MAX(1,MIN(IFERROR(MATCH(AF11,Tables!$C$99:$C$118,1),1),ROWS(Tables!$C$99:$C$118)-1))))/(INDEX(Tables!$C$99:$C$118,MAX(1,MIN(IFERROR(MATCH(AF11,Tables!$C$99:$C$118,1),1),ROWS(Tables!$C$99:$C$118)-1))+1)-INDEX(Tables!$C$99:$C$118,MAX(1,MIN(IFERROR(MATCH(AF11,Tables!$C$99:$C$118,1),1),ROWS(Tables!$C$99:$C$118)-1))))),(INDEX(Tables!$F$99:$F$118,MAX(1,MIN(IFERROR(MATCH(AF11,Tables!$E$99:$E$118,1),1),ROWS(Tables!$E$99:$E$118)-1)))+(AF11-INDEX(Tables!$E$99:$E$118,MAX(1,MIN(IFERROR(MATCH(AF11,Tables!$E$99:$E$118,1),1),ROWS(Tables!$E$99:$E$118)-1))))*(INDEX(Tables!$F$99:$F$118,MAX(1,MIN(IFERROR(MATCH(AF11,Tables!$E$99:$E$118,1),1),ROWS(Tables!$E$99:$E$118)-1))+1)-INDEX(Tables!$F$99:$F$118,MAX(1,MIN(IFERROR(MATCH(AF11,Tables!$E$99:$E$118,1),1),ROWS(Tables!$E$99:$E$118)-1))))/(INDEX(Tables!$E$99:$E$118,MAX(1,MIN(IFERROR(MATCH(AF11,Tables!$E$99:$E$118,1),1),ROWS(Tables!$E$99:$E$118)-1))+1)-INDEX(Tables!$E$99:$E$118,MAX(1,MIN(IFERROR(MATCH(AF11,Tables!$E$99:$E$118,1),1),ROWS(Tables!$E$99:$E$118)-1)))))))</f>
        <v>12.445423111376529</v>
      </c>
      <c r="AQ11" s="181">
        <f>IF(P11&lt;6,(INDEX(Tables!$B$123:$B$138,MAX(1,MIN(IFERROR(MATCH(U11,Tables!$A$123:$A$138,1),1),ROWS(Tables!$A$123:$A$138)-1)))+(U11-INDEX(Tables!$A$123:$A$138,MAX(1,MIN(IFERROR(MATCH(U11,Tables!$A$123:$A$138,1),1),ROWS(Tables!$A$123:$A$138)-1))))*(INDEX(Tables!$B$123:$B$138,MAX(1,MIN(IFERROR(MATCH(U11,Tables!$A$123:$A$138,1),1),ROWS(Tables!$A$123:$A$138)-1))+1)-INDEX(Tables!$B$123:$B$138,MAX(1,MIN(IFERROR(MATCH(U11,Tables!$A$123:$A$138,1),1),ROWS(Tables!$A$123:$A$138)-1))))/(INDEX(Tables!$A$123:$A$138,MAX(1,MIN(IFERROR(MATCH(U11,Tables!$A$123:$A$138,1),1),ROWS(Tables!$A$123:$A$138)-1))+1)-INDEX(Tables!$A$123:$A$138,MAX(1,MIN(IFERROR(MATCH(U11,Tables!$A$123:$A$138,1),1),ROWS(Tables!$A$123:$A$138)-1))))),IF(P11&lt;8,(INDEX(Tables!$D$123:$D$138,MAX(1,MIN(IFERROR(MATCH(U11,Tables!$C$123:$C$138,1),1),ROWS(Tables!$C$123:$C$138)-1)))+(U11-INDEX(Tables!$C$123:$C$138,MAX(1,MIN(IFERROR(MATCH(U11,Tables!$C$123:$C$138,1),1),ROWS(Tables!$C$123:$C$138)-1))))*(INDEX(Tables!$D$123:$D$138,MAX(1,MIN(IFERROR(MATCH(U11,Tables!$C$123:$C$138,1),1),ROWS(Tables!$C$123:$C$138)-1))+1)-INDEX(Tables!$D$123:$D$138,MAX(1,MIN(IFERROR(MATCH(U11,Tables!$C$123:$C$138,1),1),ROWS(Tables!$C$123:$C$138)-1))))/(INDEX(Tables!$C$123:$C$138,MAX(1,MIN(IFERROR(MATCH(U11,Tables!$C$123:$C$138,1),1),ROWS(Tables!$C$123:$C$138)-1))+1)-INDEX(Tables!$C$123:$C$138,MAX(1,MIN(IFERROR(MATCH(U11,Tables!$C$123:$C$138,1),1),ROWS(Tables!$C$123:$C$138)-1))))),IF(P11&lt;10,(INDEX(Tables!$F$123:$F$138,MAX(1,MIN(IFERROR(MATCH(U11,Tables!$E$123:$E$138,1),1),ROWS(Tables!$E$123:$E$138)-1)))+(U11-INDEX(Tables!$E$123:$E$138,MAX(1,MIN(IFERROR(MATCH(U11,Tables!$E$123:$E$138,1),1),ROWS(Tables!$E$123:$E$138)-1))))*(INDEX(Tables!$F$123:$F$138,MAX(1,MIN(IFERROR(MATCH(U11,Tables!$E$123:$E$138,1),1),ROWS(Tables!$E$123:$E$138)-1))+1)-INDEX(Tables!$F$123:$F$138,MAX(1,MIN(IFERROR(MATCH(U11,Tables!$E$123:$E$138,1),1),ROWS(Tables!$E$123:$E$138)-1))))/(INDEX(Tables!$E$123:$E$138,MAX(1,MIN(IFERROR(MATCH(U11,Tables!$E$123:$E$138,1),1),ROWS(Tables!$E$123:$E$138)-1))+1)-INDEX(Tables!$E$123:$E$138,MAX(1,MIN(IFERROR(MATCH(U11,Tables!$E$123:$E$138,1),1),ROWS(Tables!$E$123:$E$138)-1))))),(INDEX(Tables!$H$123:$H$138,MAX(1,MIN(IFERROR(MATCH(U11,Tables!$G$123:$G$138,1),1),ROWS(Tables!$G$123:$G$138)-1)))+(U11-INDEX(Tables!$G$123:$G$138,MAX(1,MIN(IFERROR(MATCH(U11,Tables!$G$123:$G$138,1),1),ROWS(Tables!$G$123:$G$138)-1))))*(INDEX(Tables!$H$123:$H$138,MAX(1,MIN(IFERROR(MATCH(U11,Tables!$G$123:$G$138,1),1),ROWS(Tables!$G$123:$G$138)-1))+1)-INDEX(Tables!$H$123:$H$138,MAX(1,MIN(IFERROR(MATCH(U11,Tables!$G$123:$G$138,1),1),ROWS(Tables!$G$123:$G$138)-1))))/(INDEX(Tables!$G$123:$G$138,MAX(1,MIN(IFERROR(MATCH(U11,Tables!$G$123:$G$138,1),1),ROWS(Tables!$G$123:$G$138)-1))+1)-INDEX(Tables!$G$123:$G$138,MAX(1,MIN(IFERROR(MATCH(U11,Tables!$G$123:$G$138,1),1),ROWS(Tables!$G$123:$G$138)-1))))))))</f>
        <v>1.01675</v>
      </c>
      <c r="AR11" s="181">
        <f>IF(OR(P11&gt;=4,U11&gt;12),VLOOKUP(R11&amp;" "&amp;S11,Tables!$D$143:$F$148,2,FALSE),VLOOKUP(R11&amp;" "&amp;S11,Tables!$A$143:$C$148,2,FALSE))</f>
        <v>0.9</v>
      </c>
      <c r="AS11" s="181">
        <f>IF(OR(P11&gt;=4,U11&gt;12),VLOOKUP(R11&amp;" "&amp;S11,Tables!$D$143:$F$148,3,FALSE),VLOOKUP(R11&amp;" "&amp;S11,Tables!$A$143:$C$148,3,FALSE))</f>
        <v>0.65</v>
      </c>
      <c r="AT11" s="181">
        <f t="shared" si="8"/>
        <v>910.64563150356275</v>
      </c>
      <c r="AU11" s="181">
        <f>IF(AD11=5000,(INDEX(Tables!$B$244:$B$263,MAX(1,MIN(IFERROR(MATCH(AF11,Tables!$A$244:$A$263,1),1),ROWS(Tables!$A$244:$A$263)-1)))+(AF11-INDEX(Tables!$A$244:$A$263,MAX(1,MIN(IFERROR(MATCH(AF11,Tables!$A$244:$A$263,1),1),ROWS(Tables!$A$244:$A$263)-1))))*(INDEX(Tables!$B$244:$B$263,MAX(1,MIN(IFERROR(MATCH(AF11,Tables!$A$244:$A$263,1),1),ROWS(Tables!$A$244:$A$263)-1))+1)-INDEX(Tables!$B$244:$B$263,MAX(1,MIN(IFERROR(MATCH(AF11,Tables!$A$244:$A$263,1),1),ROWS(Tables!$A$244:$A$263)-1))))/(INDEX(Tables!$A$244:$A$263,MAX(1,MIN(IFERROR(MATCH(AF11,Tables!$A$244:$A$263,1),1),ROWS(Tables!$A$244:$A$263)-1))+1)-INDEX(Tables!$A$244:$A$263,MAX(1,MIN(IFERROR(MATCH(AF11,Tables!$A$244:$A$263,1),1),ROWS(Tables!$A$244:$A$263)-1))))),IF(AD11=10000,(INDEX(Tables!$D$244:$D$263,MAX(1,MIN(IFERROR(MATCH(AF11,Tables!$C$244:$C$263,1),1),ROWS(Tables!$C$244:$C$263)-1)))+(AF11-INDEX(Tables!$C$244:$C$263,MAX(1,MIN(IFERROR(MATCH(AF11,Tables!$C$244:$C$263,1),1),ROWS(Tables!$C$244:$C$263)-1))))*(INDEX(Tables!$D$244:$D$263,MAX(1,MIN(IFERROR(MATCH(AF11,Tables!$C$244:$C$263,1),1),ROWS(Tables!$C$244:$C$263)-1))+1)-INDEX(Tables!$D$244:$D$263,MAX(1,MIN(IFERROR(MATCH(AF11,Tables!$C$244:$C$263,1),1),ROWS(Tables!$C$244:$C$263)-1))))/(INDEX(Tables!$C$244:$C$263,MAX(1,MIN(IFERROR(MATCH(AF11,Tables!$C$244:$C$263,1),1),ROWS(Tables!$C$244:$C$263)-1))+1)-INDEX(Tables!$C$244:$C$263,MAX(1,MIN(IFERROR(MATCH(AF11,Tables!$C$244:$C$263,1),1),ROWS(Tables!$C$244:$C$263)-1))))),(INDEX(Tables!$F$244:$F$263,MAX(1,MIN(IFERROR(MATCH(AF11,Tables!$E$244:$E$263,1),1),ROWS(Tables!$E$244:$E$263)-1)))+(AF11-INDEX(Tables!$E$244:$E$263,MAX(1,MIN(IFERROR(MATCH(AF11,Tables!$E$244:$E$263,1),1),ROWS(Tables!$E$244:$E$263)-1))))*(INDEX(Tables!$F$244:$F$263,MAX(1,MIN(IFERROR(MATCH(AF11,Tables!$E$244:$E$263,1),1),ROWS(Tables!$E$244:$E$263)-1))+1)-INDEX(Tables!$F$244:$F$263,MAX(1,MIN(IFERROR(MATCH(AF11,Tables!$E$244:$E$263,1),1),ROWS(Tables!$E$244:$E$263)-1))))/(INDEX(Tables!$E$244:$E$263,MAX(1,MIN(IFERROR(MATCH(AF11,Tables!$E$244:$E$263,1),1),ROWS(Tables!$E$244:$E$263)-1))+1)-INDEX(Tables!$E$244:$E$263,MAX(1,MIN(IFERROR(MATCH(AF11,Tables!$E$244:$E$263,1),1),ROWS(Tables!$E$244:$E$263)-1)))))))</f>
        <v>11.380729411764705</v>
      </c>
      <c r="AV11" s="181">
        <f>IF(P11&lt;6,(INDEX(Tables!$B$260:$B$274,MAX(1,MIN(IFERROR(MATCH(U11,Tables!$A$260:$A$274,1),1),ROWS(Tables!$A$260:$A$274)-1)))+(U11-INDEX(Tables!$A$260:$A$274,MAX(1,MIN(IFERROR(MATCH(U11,Tables!$A$260:$A$274,1),1),ROWS(Tables!$A$260:$A$274)-1))))*(INDEX(Tables!$B$260:$B$274,MAX(1,MIN(IFERROR(MATCH(U11,Tables!$A$260:$A$274,1),1),ROWS(Tables!$A$260:$A$274)-1))+1)-INDEX(Tables!$B$260:$B$274,MAX(1,MIN(IFERROR(MATCH(U11,Tables!$A$260:$A$274,1),1),ROWS(Tables!$A$260:$A$274)-1))))/(INDEX(Tables!$A$260:$A$274,MAX(1,MIN(IFERROR(MATCH(U11,Tables!$A$260:$A$274,1),1),ROWS(Tables!$A$260:$A$274)-1))+1)-INDEX(Tables!$A$260:$A$274,MAX(1,MIN(IFERROR(MATCH(U11,Tables!$A$260:$A$274,1),1),ROWS(Tables!$A$260:$A$274)-1))))),IF(P11&lt;8,(INDEX(Tables!$D$260:$D$274,MAX(1,MIN(IFERROR(MATCH(U11,Tables!$C$260:$C$274,1),1),ROWS(Tables!$C$260:$C$274)-1)))+(U11-INDEX(Tables!$C$260:$C$274,MAX(1,MIN(IFERROR(MATCH(U11,Tables!$C$260:$C$274,1),1),ROWS(Tables!$C$260:$C$274)-1))))*(INDEX(Tables!$D$260:$D$274,MAX(1,MIN(IFERROR(MATCH(U11,Tables!$C$260:$C$274,1),1),ROWS(Tables!$C$260:$C$274)-1))+1)-INDEX(Tables!$D$260:$D$274,MAX(1,MIN(IFERROR(MATCH(U11,Tables!$C$260:$C$274,1),1),ROWS(Tables!$C$260:$C$274)-1))))/(INDEX(Tables!$C$260:$C$274,MAX(1,MIN(IFERROR(MATCH(U11,Tables!$C$260:$C$274,1),1),ROWS(Tables!$C$260:$C$274)-1))+1)-INDEX(Tables!$C$260:$C$274,MAX(1,MIN(IFERROR(MATCH(U11,Tables!$C$260:$C$274,1),1),ROWS(Tables!$C$260:$C$274)-1))))),IF(P11&lt;10,(INDEX(Tables!$F$260:$F$274,MAX(1,MIN(IFERROR(MATCH(U11,Tables!$E$260:$E$274,1),1),ROWS(Tables!$E$260:$E$274)-1)))+(U11-INDEX(Tables!$E$260:$E$274,MAX(1,MIN(IFERROR(MATCH(U11,Tables!$E$260:$E$274,1),1),ROWS(Tables!$E$260:$E$274)-1))))*(INDEX(Tables!$F$260:$F$274,MAX(1,MIN(IFERROR(MATCH(U11,Tables!$E$260:$E$274,1),1),ROWS(Tables!$E$260:$E$274)-1))+1)-INDEX(Tables!$F$260:$F$274,MAX(1,MIN(IFERROR(MATCH(U11,Tables!$E$260:$E$274,1),1),ROWS(Tables!$E$260:$E$274)-1))))/(INDEX(Tables!$E$260:$E$274,MAX(1,MIN(IFERROR(MATCH(U11,Tables!$E$260:$E$274,1),1),ROWS(Tables!$E$260:$E$274)-1))+1)-INDEX(Tables!$E$260:$E$274,MAX(1,MIN(IFERROR(MATCH(U11,Tables!$E$260:$E$274,1),1),ROWS(Tables!$E$260:$E$274)-1))))),(INDEX(Tables!$H$260:$H$274,MAX(1,MIN(IFERROR(MATCH(U11,Tables!$G$260:$G$274,1),1),ROWS(Tables!$G$260:$G$274)-1)))+(U11-INDEX(Tables!$G$260:$G$274,MAX(1,MIN(IFERROR(MATCH(U11,Tables!$G$260:$G$274,1),1),ROWS(Tables!$G$260:$G$274)-1))))*(INDEX(Tables!$H$260:$H$274,MAX(1,MIN(IFERROR(MATCH(U11,Tables!$G$260:$G$274,1),1),ROWS(Tables!$G$260:$G$274)-1))+1)-INDEX(Tables!$H$260:$H$274,MAX(1,MIN(IFERROR(MATCH(U11,Tables!$G$260:$G$274,1),1),ROWS(Tables!$G$260:$G$274)-1))))/(INDEX(Tables!$G$260:$G$274,MAX(1,MIN(IFERROR(MATCH(U11,Tables!$G$260:$G$274,1),1),ROWS(Tables!$G$260:$G$274)-1))+1)-INDEX(Tables!$G$260:$G$274,MAX(1,MIN(IFERROR(MATCH(U11,Tables!$G$260:$G$274,1),1),ROWS(Tables!$G$260:$G$274)-1))))))))</f>
        <v>1.0024999999999999</v>
      </c>
      <c r="AW11" s="181">
        <f t="shared" si="9"/>
        <v>821.06972793844136</v>
      </c>
      <c r="AX11" s="181">
        <f t="shared" si="10"/>
        <v>12161.576354679801</v>
      </c>
      <c r="AY11" s="181">
        <f t="shared" si="11"/>
        <v>14095.323905712476</v>
      </c>
      <c r="AZ11" s="181">
        <f t="shared" si="12"/>
        <v>4776.4732102011149</v>
      </c>
      <c r="BA11" s="181">
        <f t="shared" si="13"/>
        <v>-800</v>
      </c>
      <c r="BB11" s="181">
        <f t="shared" si="14"/>
        <v>13034.73639943311</v>
      </c>
      <c r="BC11" s="181">
        <f t="shared" si="15"/>
        <v>46800</v>
      </c>
      <c r="BD11" s="181">
        <f>VLOOKUP(V11&amp;" "&amp;J11,Tables!$A$152:$E$239,4,FALSE)</f>
        <v>12000</v>
      </c>
      <c r="BE11" s="181">
        <f>VLOOKUP(V11&amp;" "&amp;J11,Tables!$A$152:$E$239,5,FALSE)</f>
        <v>23000</v>
      </c>
      <c r="BF11" s="181">
        <f t="shared" si="16"/>
        <v>8640</v>
      </c>
      <c r="BG11" s="181">
        <f t="shared" si="17"/>
        <v>16560</v>
      </c>
      <c r="BH11" s="181">
        <f t="shared" si="18"/>
        <v>12561.576354679803</v>
      </c>
      <c r="BI11" s="181">
        <f t="shared" si="19"/>
        <v>46800</v>
      </c>
      <c r="BJ11" s="181">
        <f t="shared" si="20"/>
        <v>13034.73639943311</v>
      </c>
      <c r="BK11" s="181">
        <f t="shared" si="21"/>
        <v>46800</v>
      </c>
      <c r="BL11" s="181">
        <f t="shared" si="22"/>
        <v>821.06972793844136</v>
      </c>
      <c r="BM11" s="181">
        <f t="shared" si="23"/>
        <v>8640</v>
      </c>
      <c r="BN11" s="181">
        <f t="shared" si="24"/>
        <v>910.64563150356275</v>
      </c>
      <c r="BO11" s="181">
        <f t="shared" si="25"/>
        <v>16560</v>
      </c>
      <c r="BP11" t="str">
        <f t="shared" si="26"/>
        <v>Pass</v>
      </c>
      <c r="BQ11" t="str">
        <f t="shared" si="27"/>
        <v>Pass</v>
      </c>
      <c r="BR11" t="str">
        <f t="shared" si="28"/>
        <v>Pass</v>
      </c>
      <c r="BS11" t="str">
        <f t="shared" si="29"/>
        <v>Pass</v>
      </c>
      <c r="BT11" t="str">
        <f t="shared" si="30"/>
        <v>Pass</v>
      </c>
      <c r="BU11" t="str">
        <f t="shared" si="31"/>
        <v>Effective Stress</v>
      </c>
    </row>
    <row r="12" spans="1:73">
      <c r="A12" t="s">
        <v>604</v>
      </c>
      <c r="B12" s="181">
        <v>10</v>
      </c>
      <c r="C12" t="s">
        <v>594</v>
      </c>
      <c r="D12" s="181">
        <v>16</v>
      </c>
      <c r="E12" s="181">
        <v>0.81200000000000006</v>
      </c>
      <c r="F12" t="s">
        <v>117</v>
      </c>
      <c r="G12" t="s">
        <v>119</v>
      </c>
      <c r="H12" t="s">
        <v>122</v>
      </c>
      <c r="I12" s="181">
        <v>1</v>
      </c>
      <c r="J12" t="s">
        <v>126</v>
      </c>
      <c r="K12" t="s">
        <v>129</v>
      </c>
      <c r="L12" s="181">
        <v>70</v>
      </c>
      <c r="M12" s="181">
        <v>800</v>
      </c>
      <c r="N12" t="s">
        <v>141</v>
      </c>
      <c r="O12" s="181">
        <v>120</v>
      </c>
      <c r="P12" s="181">
        <v>8</v>
      </c>
      <c r="Q12" s="181">
        <v>18</v>
      </c>
      <c r="R12" t="s">
        <v>418</v>
      </c>
      <c r="S12" t="s">
        <v>420</v>
      </c>
      <c r="T12" s="181">
        <v>70</v>
      </c>
      <c r="U12" s="181">
        <f>HLOOKUP(D12,'Highway Loading'!$C$155:$AD$156,2,FALSE)</f>
        <v>16</v>
      </c>
      <c r="V12" s="181">
        <f>IF(ISBLANK(G12),"",INDEX('Highway Loading'!$C$216:$AG$216,1,MATCH(G12,'Highway Loading'!$C$215:$AG$215,0)))</f>
        <v>65000</v>
      </c>
      <c r="W12" s="181">
        <f>INDEX('Highway Loading'!$I$245:$L$253,MATCH(H12,'Highway Loading'!$H$245:$H$253,0),MATCH(I12,'Highway Loading'!$I$244:$L$244,0))</f>
        <v>0.72</v>
      </c>
      <c r="X12" s="181">
        <f t="shared" si="0"/>
        <v>1</v>
      </c>
      <c r="Y12" s="181">
        <f>VLOOKUP(K12,'Highway Loading'!$B$283:$E$292,2,FALSE)</f>
        <v>29000000</v>
      </c>
      <c r="Z12" s="181">
        <f>VLOOKUP(K12,'Highway Loading'!$B$283:$E$292,3,FALSE)</f>
        <v>0.3</v>
      </c>
      <c r="AA12" s="181">
        <f>VLOOKUP(K12,'Highway Loading'!$B$283:$E$292,4,FALSE)</f>
        <v>6.4999999999999996E-6</v>
      </c>
      <c r="AB12" s="181">
        <f t="shared" si="1"/>
        <v>1</v>
      </c>
      <c r="AC12" s="181">
        <f>VLOOKUP(N12,'Highway Loading'!$B$256:$D$261,2,FALSE)</f>
        <v>500</v>
      </c>
      <c r="AD12" s="181">
        <f>VLOOKUP(N12,'Highway Loading'!$B$256:$D$261,3,FALSE)</f>
        <v>10000</v>
      </c>
      <c r="AE12" s="181">
        <f>VLOOKUP(S12,'Highway Loading'!$B$340:$C$341,2,FALSE)</f>
        <v>12000</v>
      </c>
      <c r="AF12" s="181">
        <f t="shared" si="2"/>
        <v>5.0750000000000003E-2</v>
      </c>
      <c r="AG12" s="181">
        <f t="shared" si="3"/>
        <v>5.333333333333333</v>
      </c>
      <c r="AH12" s="181">
        <f t="shared" si="4"/>
        <v>1.125</v>
      </c>
      <c r="AI12" s="181">
        <f t="shared" si="5"/>
        <v>7881.7733990147781</v>
      </c>
      <c r="AJ12" s="181">
        <f t="shared" si="6"/>
        <v>46800</v>
      </c>
      <c r="AK12" s="181">
        <f>IF(AC12=200,(INDEX(Tables!$B$17:$B$38,MAX(1,MIN(IFERROR(MATCH(AF12,Tables!$A$17:$A$38,1),1),ROWS(Tables!$A$17:$A$38)-1)))+(AF12-INDEX(Tables!$A$17:$A$38,MAX(1,MIN(IFERROR(MATCH(AF12,Tables!$A$17:$A$38,1),1),ROWS(Tables!$A$17:$A$38)-1))))*(INDEX(Tables!$B$17:$B$38,MAX(1,MIN(IFERROR(MATCH(AF12,Tables!$A$17:$A$38,1),1),ROWS(Tables!$A$17:$A$38)-1))+1)-INDEX(Tables!$B$17:$B$38,MAX(1,MIN(IFERROR(MATCH(AF12,Tables!$A$17:$A$38,1),1),ROWS(Tables!$A$17:$A$38)-1))))/(INDEX(Tables!$A$17:$A$38,MAX(1,MIN(IFERROR(MATCH(AF12,Tables!$A$17:$A$38,1),1),ROWS(Tables!$A$17:$A$38)-1))+1)-INDEX(Tables!$A$17:$A$38,MAX(1,MIN(IFERROR(MATCH(AF12,Tables!$A$17:$A$38,1),1),ROWS(Tables!$A$17:$A$38)-1))))),IF(AC12=500,(INDEX(Tables!$D$17:$D$38,MAX(1,MIN(IFERROR(MATCH(AF12,Tables!$C$17:$C$38,1),1),ROWS(Tables!$C$17:$C$38)-1)))+(AF12-INDEX(Tables!$C$17:$C$38,MAX(1,MIN(IFERROR(MATCH(AF12,Tables!$C$17:$C$38,1),1),ROWS(Tables!$C$17:$C$38)-1))))*(INDEX(Tables!$D$17:$D$38,MAX(1,MIN(IFERROR(MATCH(AF12,Tables!$C$17:$C$38,1),1),ROWS(Tables!$C$17:$C$38)-1))+1)-INDEX(Tables!$D$17:$D$38,MAX(1,MIN(IFERROR(MATCH(AF12,Tables!$C$17:$C$38,1),1),ROWS(Tables!$C$17:$C$38)-1))))/(INDEX(Tables!$C$17:$C$38,MAX(1,MIN(IFERROR(MATCH(AF12,Tables!$C$17:$C$38,1),1),ROWS(Tables!$C$17:$C$38)-1))+1)-INDEX(Tables!$C$17:$C$38,MAX(1,MIN(IFERROR(MATCH(AF12,Tables!$C$17:$C$38,1),1),ROWS(Tables!$C$17:$C$38)-1))))),IF(AC12=1000,(INDEX(Tables!$F$17:$F$38,MAX(1,MIN(IFERROR(MATCH(AF12,Tables!$E$17:$E$38,1),1),ROWS(Tables!$E$17:$E$38)-1)))+(AF12-INDEX(Tables!$E$17:$E$38,MAX(1,MIN(IFERROR(MATCH(AF12,Tables!$E$17:$E$38,1),1),ROWS(Tables!$E$17:$E$38)-1))))*(INDEX(Tables!$F$17:$F$38,MAX(1,MIN(IFERROR(MATCH(AF12,Tables!$E$17:$E$38,1),1),ROWS(Tables!$E$17:$E$38)-1))+1)-INDEX(Tables!$F$17:$F$38,MAX(1,MIN(IFERROR(MATCH(AF12,Tables!$E$17:$E$38,1),1),ROWS(Tables!$E$17:$E$38)-1))))/(INDEX(Tables!$E$17:$E$38,MAX(1,MIN(IFERROR(MATCH(AF12,Tables!$E$17:$E$38,1),1),ROWS(Tables!$E$17:$E$38)-1))+1)-INDEX(Tables!$E$17:$E$38,MAX(1,MIN(IFERROR(MATCH(AF12,Tables!$E$17:$E$38,1),1),ROWS(Tables!$E$17:$E$38)-1))))),(INDEX(Tables!$H$17:$H$38,MAX(1,MIN(IFERROR(MATCH(AF12,Tables!$G$17:$G$38,1),1),ROWS(Tables!$G$17:$G$38)-1)))+(AF12-INDEX(Tables!$G$17:$G$38,MAX(1,MIN(IFERROR(MATCH(AF12,Tables!$G$17:$G$38,1),1),ROWS(Tables!$G$17:$G$38)-1))))*(INDEX(Tables!$H$17:$H$38,MAX(1,MIN(IFERROR(MATCH(AF12,Tables!$G$17:$G$38,1),1),ROWS(Tables!$G$17:$G$38)-1))+1)-INDEX(Tables!$H$17:$H$38,MAX(1,MIN(IFERROR(MATCH(AF12,Tables!$G$17:$G$38,1),1),ROWS(Tables!$G$17:$G$38)-1))))/(INDEX(Tables!$G$17:$G$38,MAX(1,MIN(IFERROR(MATCH(AF12,Tables!$G$17:$G$38,1),1),ROWS(Tables!$G$17:$G$38)-1))+1)-INDEX(Tables!$G$17:$G$38,MAX(1,MIN(IFERROR(MATCH(AF12,Tables!$G$17:$G$38,1),1),ROWS(Tables!$G$17:$G$38)-1))))))))</f>
        <v>449.95</v>
      </c>
      <c r="AL12" s="181">
        <f>IF(AC12&lt;1000,(INDEX(Tables!$B$43:$B$76,MAX(1,MIN(IFERROR(MATCH(AG12,Tables!$A$43:$A$76,1),1),ROWS(Tables!$A$43:$A$76)-1)))+(AG12-INDEX(Tables!$A$43:$A$76,MAX(1,MIN(IFERROR(MATCH(AG12,Tables!$A$43:$A$76,1),1),ROWS(Tables!$A$43:$A$76)-1))))*(INDEX(Tables!$B$43:$B$76,MAX(1,MIN(IFERROR(MATCH(AG12,Tables!$A$43:$A$76,1),1),ROWS(Tables!$A$43:$A$76)-1))+1)-INDEX(Tables!$B$43:$B$76,MAX(1,MIN(IFERROR(MATCH(AG12,Tables!$A$43:$A$76,1),1),ROWS(Tables!$A$43:$A$76)-1))))/(INDEX(Tables!$A$43:$A$76,MAX(1,MIN(IFERROR(MATCH(AG12,Tables!$A$43:$A$76,1),1),ROWS(Tables!$A$43:$A$76)-1))+1)-INDEX(Tables!$A$43:$A$76,MAX(1,MIN(IFERROR(MATCH(AG12,Tables!$A$43:$A$76,1),1),ROWS(Tables!$A$43:$A$76)-1))))),(INDEX(Tables!$D$43:$D$76,MAX(1,MIN(IFERROR(MATCH(AG12,Tables!$C$43:$C$76,1),1),ROWS(Tables!$C$43:$C$76)-1)))+(AG12-INDEX(Tables!$C$43:$C$76,MAX(1,MIN(IFERROR(MATCH(AG12,Tables!$C$43:$C$76,1),1),ROWS(Tables!$C$43:$C$76)-1))))*(INDEX(Tables!$D$43:$D$76,MAX(1,MIN(IFERROR(MATCH(AG12,Tables!$C$43:$C$76,1),1),ROWS(Tables!$C$43:$C$76)-1))+1)-INDEX(Tables!$D$43:$D$76,MAX(1,MIN(IFERROR(MATCH(AG12,Tables!$C$43:$C$76,1),1),ROWS(Tables!$C$43:$C$76)-1))))/(INDEX(Tables!$C$43:$C$76,MAX(1,MIN(IFERROR(MATCH(AG12,Tables!$C$43:$C$76,1),1),ROWS(Tables!$C$43:$C$76)-1))+1)-INDEX(Tables!$C$43:$C$76,MAX(1,MIN(IFERROR(MATCH(AG12,Tables!$C$43:$C$76,1),1),ROWS(Tables!$C$43:$C$76)-1))))))</f>
        <v>1.1053333333333333</v>
      </c>
      <c r="AM12" s="181">
        <f>(INDEX(Tables!$B$80:$B$87,MAX(1,MIN(IFERROR(MATCH(AH12,Tables!$A$80:$A$87,1),1),ROWS(Tables!$A$80:$A$87)-1)))+(AH12-INDEX(Tables!$A$80:$A$87,MAX(1,MIN(IFERROR(MATCH(AH12,Tables!$A$80:$A$87,1),1),ROWS(Tables!$A$80:$A$87)-1))))*(INDEX(Tables!$B$80:$B$87,MAX(1,MIN(IFERROR(MATCH(AH12,Tables!$A$80:$A$87,1),1),ROWS(Tables!$A$80:$A$87)-1))+1)-INDEX(Tables!$B$80:$B$87,MAX(1,MIN(IFERROR(MATCH(AH12,Tables!$A$80:$A$87,1),1),ROWS(Tables!$A$80:$A$87)-1))))/(INDEX(Tables!$A$80:$A$87,MAX(1,MIN(IFERROR(MATCH(AH12,Tables!$A$80:$A$87,1),1),ROWS(Tables!$A$80:$A$87)-1))+1)-INDEX(Tables!$A$80:$A$87,MAX(1,MIN(IFERROR(MATCH(AH12,Tables!$A$80:$A$87,1),1),ROWS(Tables!$A$80:$A$87)-1)))))</f>
        <v>1.04345</v>
      </c>
      <c r="AN12" s="181">
        <f t="shared" si="7"/>
        <v>576.6159577740741</v>
      </c>
      <c r="AO12" s="181">
        <f>(INDEX(Tables!$B$91:$B$94,MAX(1,MIN(IFERROR(MATCH(P12,Tables!$A$91:$A$94,1),1),ROWS(Tables!$A$91:$A$94)-1)))+(P12-INDEX(Tables!$A$91:$A$94,MAX(1,MIN(IFERROR(MATCH(P12,Tables!$A$91:$A$94,1),1),ROWS(Tables!$A$91:$A$94)-1))))*(INDEX(Tables!$B$91:$B$94,MAX(1,MIN(IFERROR(MATCH(P12,Tables!$A$91:$A$94,1),1),ROWS(Tables!$A$91:$A$94)-1))+1)-INDEX(Tables!$B$91:$B$94,MAX(1,MIN(IFERROR(MATCH(P12,Tables!$A$91:$A$94,1),1),ROWS(Tables!$A$91:$A$94)-1))))/(INDEX(Tables!$A$91:$A$94,MAX(1,MIN(IFERROR(MATCH(P12,Tables!$A$91:$A$94,1),1),ROWS(Tables!$A$91:$A$94)-1))+1)-INDEX(Tables!$A$91:$A$94,MAX(1,MIN(IFERROR(MATCH(P12,Tables!$A$91:$A$94,1),1),ROWS(Tables!$A$91:$A$94)-1)))))</f>
        <v>1.4152439024390244</v>
      </c>
      <c r="AP12" s="181">
        <f>IF(AD12=5000,(INDEX(Tables!$B$99:$B$118,MAX(1,MIN(IFERROR(MATCH(AF12,Tables!$A$99:$A$118,1),1),ROWS(Tables!$A$99:$A$118)-1)))+(AF12-INDEX(Tables!$A$99:$A$118,MAX(1,MIN(IFERROR(MATCH(AF12,Tables!$A$99:$A$118,1),1),ROWS(Tables!$A$99:$A$118)-1))))*(INDEX(Tables!$B$99:$B$118,MAX(1,MIN(IFERROR(MATCH(AF12,Tables!$A$99:$A$118,1),1),ROWS(Tables!$A$99:$A$118)-1))+1)-INDEX(Tables!$B$99:$B$118,MAX(1,MIN(IFERROR(MATCH(AF12,Tables!$A$99:$A$118,1),1),ROWS(Tables!$A$99:$A$118)-1))))/(INDEX(Tables!$A$99:$A$118,MAX(1,MIN(IFERROR(MATCH(AF12,Tables!$A$99:$A$118,1),1),ROWS(Tables!$A$99:$A$118)-1))+1)-INDEX(Tables!$A$99:$A$118,MAX(1,MIN(IFERROR(MATCH(AF12,Tables!$A$99:$A$118,1),1),ROWS(Tables!$A$99:$A$118)-1))))),IF(AD12=10000,(INDEX(Tables!$D$99:$D$118,MAX(1,MIN(IFERROR(MATCH(AF12,Tables!$C$99:$C$118,1),1),ROWS(Tables!$C$99:$C$118)-1)))+(AF12-INDEX(Tables!$C$99:$C$118,MAX(1,MIN(IFERROR(MATCH(AF12,Tables!$C$99:$C$118,1),1),ROWS(Tables!$C$99:$C$118)-1))))*(INDEX(Tables!$D$99:$D$118,MAX(1,MIN(IFERROR(MATCH(AF12,Tables!$C$99:$C$118,1),1),ROWS(Tables!$C$99:$C$118)-1))+1)-INDEX(Tables!$D$99:$D$118,MAX(1,MIN(IFERROR(MATCH(AF12,Tables!$C$99:$C$118,1),1),ROWS(Tables!$C$99:$C$118)-1))))/(INDEX(Tables!$C$99:$C$118,MAX(1,MIN(IFERROR(MATCH(AF12,Tables!$C$99:$C$118,1),1),ROWS(Tables!$C$99:$C$118)-1))+1)-INDEX(Tables!$C$99:$C$118,MAX(1,MIN(IFERROR(MATCH(AF12,Tables!$C$99:$C$118,1),1),ROWS(Tables!$C$99:$C$118)-1))))),(INDEX(Tables!$F$99:$F$118,MAX(1,MIN(IFERROR(MATCH(AF12,Tables!$E$99:$E$118,1),1),ROWS(Tables!$E$99:$E$118)-1)))+(AF12-INDEX(Tables!$E$99:$E$118,MAX(1,MIN(IFERROR(MATCH(AF12,Tables!$E$99:$E$118,1),1),ROWS(Tables!$E$99:$E$118)-1))))*(INDEX(Tables!$F$99:$F$118,MAX(1,MIN(IFERROR(MATCH(AF12,Tables!$E$99:$E$118,1),1),ROWS(Tables!$E$99:$E$118)-1))+1)-INDEX(Tables!$F$99:$F$118,MAX(1,MIN(IFERROR(MATCH(AF12,Tables!$E$99:$E$118,1),1),ROWS(Tables!$E$99:$E$118)-1))))/(INDEX(Tables!$E$99:$E$118,MAX(1,MIN(IFERROR(MATCH(AF12,Tables!$E$99:$E$118,1),1),ROWS(Tables!$E$99:$E$118)-1))+1)-INDEX(Tables!$E$99:$E$118,MAX(1,MIN(IFERROR(MATCH(AF12,Tables!$E$99:$E$118,1),1),ROWS(Tables!$E$99:$E$118)-1)))))))</f>
        <v>5.3524070247933873</v>
      </c>
      <c r="AQ12" s="181">
        <f>IF(P12&lt;6,(INDEX(Tables!$B$123:$B$138,MAX(1,MIN(IFERROR(MATCH(U12,Tables!$A$123:$A$138,1),1),ROWS(Tables!$A$123:$A$138)-1)))+(U12-INDEX(Tables!$A$123:$A$138,MAX(1,MIN(IFERROR(MATCH(U12,Tables!$A$123:$A$138,1),1),ROWS(Tables!$A$123:$A$138)-1))))*(INDEX(Tables!$B$123:$B$138,MAX(1,MIN(IFERROR(MATCH(U12,Tables!$A$123:$A$138,1),1),ROWS(Tables!$A$123:$A$138)-1))+1)-INDEX(Tables!$B$123:$B$138,MAX(1,MIN(IFERROR(MATCH(U12,Tables!$A$123:$A$138,1),1),ROWS(Tables!$A$123:$A$138)-1))))/(INDEX(Tables!$A$123:$A$138,MAX(1,MIN(IFERROR(MATCH(U12,Tables!$A$123:$A$138,1),1),ROWS(Tables!$A$123:$A$138)-1))+1)-INDEX(Tables!$A$123:$A$138,MAX(1,MIN(IFERROR(MATCH(U12,Tables!$A$123:$A$138,1),1),ROWS(Tables!$A$123:$A$138)-1))))),IF(P12&lt;8,(INDEX(Tables!$D$123:$D$138,MAX(1,MIN(IFERROR(MATCH(U12,Tables!$C$123:$C$138,1),1),ROWS(Tables!$C$123:$C$138)-1)))+(U12-INDEX(Tables!$C$123:$C$138,MAX(1,MIN(IFERROR(MATCH(U12,Tables!$C$123:$C$138,1),1),ROWS(Tables!$C$123:$C$138)-1))))*(INDEX(Tables!$D$123:$D$138,MAX(1,MIN(IFERROR(MATCH(U12,Tables!$C$123:$C$138,1),1),ROWS(Tables!$C$123:$C$138)-1))+1)-INDEX(Tables!$D$123:$D$138,MAX(1,MIN(IFERROR(MATCH(U12,Tables!$C$123:$C$138,1),1),ROWS(Tables!$C$123:$C$138)-1))))/(INDEX(Tables!$C$123:$C$138,MAX(1,MIN(IFERROR(MATCH(U12,Tables!$C$123:$C$138,1),1),ROWS(Tables!$C$123:$C$138)-1))+1)-INDEX(Tables!$C$123:$C$138,MAX(1,MIN(IFERROR(MATCH(U12,Tables!$C$123:$C$138,1),1),ROWS(Tables!$C$123:$C$138)-1))))),IF(P12&lt;10,(INDEX(Tables!$F$123:$F$138,MAX(1,MIN(IFERROR(MATCH(U12,Tables!$E$123:$E$138,1),1),ROWS(Tables!$E$123:$E$138)-1)))+(U12-INDEX(Tables!$E$123:$E$138,MAX(1,MIN(IFERROR(MATCH(U12,Tables!$E$123:$E$138,1),1),ROWS(Tables!$E$123:$E$138)-1))))*(INDEX(Tables!$F$123:$F$138,MAX(1,MIN(IFERROR(MATCH(U12,Tables!$E$123:$E$138,1),1),ROWS(Tables!$E$123:$E$138)-1))+1)-INDEX(Tables!$F$123:$F$138,MAX(1,MIN(IFERROR(MATCH(U12,Tables!$E$123:$E$138,1),1),ROWS(Tables!$E$123:$E$138)-1))))/(INDEX(Tables!$E$123:$E$138,MAX(1,MIN(IFERROR(MATCH(U12,Tables!$E$123:$E$138,1),1),ROWS(Tables!$E$123:$E$138)-1))+1)-INDEX(Tables!$E$123:$E$138,MAX(1,MIN(IFERROR(MATCH(U12,Tables!$E$123:$E$138,1),1),ROWS(Tables!$E$123:$E$138)-1))))),(INDEX(Tables!$H$123:$H$138,MAX(1,MIN(IFERROR(MATCH(U12,Tables!$G$123:$G$138,1),1),ROWS(Tables!$G$123:$G$138)-1)))+(U12-INDEX(Tables!$G$123:$G$138,MAX(1,MIN(IFERROR(MATCH(U12,Tables!$G$123:$G$138,1),1),ROWS(Tables!$G$123:$G$138)-1))))*(INDEX(Tables!$H$123:$H$138,MAX(1,MIN(IFERROR(MATCH(U12,Tables!$G$123:$G$138,1),1),ROWS(Tables!$G$123:$G$138)-1))+1)-INDEX(Tables!$H$123:$H$138,MAX(1,MIN(IFERROR(MATCH(U12,Tables!$G$123:$G$138,1),1),ROWS(Tables!$G$123:$G$138)-1))))/(INDEX(Tables!$G$123:$G$138,MAX(1,MIN(IFERROR(MATCH(U12,Tables!$G$123:$G$138,1),1),ROWS(Tables!$G$123:$G$138)-1))+1)-INDEX(Tables!$G$123:$G$138,MAX(1,MIN(IFERROR(MATCH(U12,Tables!$G$123:$G$138,1),1),ROWS(Tables!$G$123:$G$138)-1))))))))</f>
        <v>0.79200000000000004</v>
      </c>
      <c r="AR12" s="181">
        <f>IF(OR(P12&gt;=4,U12&gt;12),VLOOKUP(R12&amp;" "&amp;S12,Tables!$D$143:$F$148,2,FALSE),VLOOKUP(R12&amp;" "&amp;S12,Tables!$A$143:$C$148,2,FALSE))</f>
        <v>0.9</v>
      </c>
      <c r="AS12" s="181">
        <f>IF(OR(P12&gt;=4,U12&gt;12),VLOOKUP(R12&amp;" "&amp;S12,Tables!$D$143:$F$148,3,FALSE),VLOOKUP(R12&amp;" "&amp;S12,Tables!$A$143:$C$148,3,FALSE))</f>
        <v>0.65</v>
      </c>
      <c r="AT12" s="181">
        <f t="shared" si="8"/>
        <v>292.46925985518294</v>
      </c>
      <c r="AU12" s="181">
        <f>IF(AD12=5000,(INDEX(Tables!$B$244:$B$263,MAX(1,MIN(IFERROR(MATCH(AF12,Tables!$A$244:$A$263,1),1),ROWS(Tables!$A$244:$A$263)-1)))+(AF12-INDEX(Tables!$A$244:$A$263,MAX(1,MIN(IFERROR(MATCH(AF12,Tables!$A$244:$A$263,1),1),ROWS(Tables!$A$244:$A$263)-1))))*(INDEX(Tables!$B$244:$B$263,MAX(1,MIN(IFERROR(MATCH(AF12,Tables!$A$244:$A$263,1),1),ROWS(Tables!$A$244:$A$263)-1))+1)-INDEX(Tables!$B$244:$B$263,MAX(1,MIN(IFERROR(MATCH(AF12,Tables!$A$244:$A$263,1),1),ROWS(Tables!$A$244:$A$263)-1))))/(INDEX(Tables!$A$244:$A$263,MAX(1,MIN(IFERROR(MATCH(AF12,Tables!$A$244:$A$263,1),1),ROWS(Tables!$A$244:$A$263)-1))+1)-INDEX(Tables!$A$244:$A$263,MAX(1,MIN(IFERROR(MATCH(AF12,Tables!$A$244:$A$263,1),1),ROWS(Tables!$A$244:$A$263)-1))))),IF(AD12=10000,(INDEX(Tables!$D$244:$D$263,MAX(1,MIN(IFERROR(MATCH(AF12,Tables!$C$244:$C$263,1),1),ROWS(Tables!$C$244:$C$263)-1)))+(AF12-INDEX(Tables!$C$244:$C$263,MAX(1,MIN(IFERROR(MATCH(AF12,Tables!$C$244:$C$263,1),1),ROWS(Tables!$C$244:$C$263)-1))))*(INDEX(Tables!$D$244:$D$263,MAX(1,MIN(IFERROR(MATCH(AF12,Tables!$C$244:$C$263,1),1),ROWS(Tables!$C$244:$C$263)-1))+1)-INDEX(Tables!$D$244:$D$263,MAX(1,MIN(IFERROR(MATCH(AF12,Tables!$C$244:$C$263,1),1),ROWS(Tables!$C$244:$C$263)-1))))/(INDEX(Tables!$C$244:$C$263,MAX(1,MIN(IFERROR(MATCH(AF12,Tables!$C$244:$C$263,1),1),ROWS(Tables!$C$244:$C$263)-1))+1)-INDEX(Tables!$C$244:$C$263,MAX(1,MIN(IFERROR(MATCH(AF12,Tables!$C$244:$C$263,1),1),ROWS(Tables!$C$244:$C$263)-1))))),(INDEX(Tables!$F$244:$F$263,MAX(1,MIN(IFERROR(MATCH(AF12,Tables!$E$244:$E$263,1),1),ROWS(Tables!$E$244:$E$263)-1)))+(AF12-INDEX(Tables!$E$244:$E$263,MAX(1,MIN(IFERROR(MATCH(AF12,Tables!$E$244:$E$263,1),1),ROWS(Tables!$E$244:$E$263)-1))))*(INDEX(Tables!$F$244:$F$263,MAX(1,MIN(IFERROR(MATCH(AF12,Tables!$E$244:$E$263,1),1),ROWS(Tables!$E$244:$E$263)-1))+1)-INDEX(Tables!$F$244:$F$263,MAX(1,MIN(IFERROR(MATCH(AF12,Tables!$E$244:$E$263,1),1),ROWS(Tables!$E$244:$E$263)-1))))/(INDEX(Tables!$E$244:$E$263,MAX(1,MIN(IFERROR(MATCH(AF12,Tables!$E$244:$E$263,1),1),ROWS(Tables!$E$244:$E$263)-1))+1)-INDEX(Tables!$E$244:$E$263,MAX(1,MIN(IFERROR(MATCH(AF12,Tables!$E$244:$E$263,1),1),ROWS(Tables!$E$244:$E$263)-1)))))))</f>
        <v>5.78545</v>
      </c>
      <c r="AV12" s="181">
        <f>IF(P12&lt;6,(INDEX(Tables!$B$260:$B$274,MAX(1,MIN(IFERROR(MATCH(U12,Tables!$A$260:$A$274,1),1),ROWS(Tables!$A$260:$A$274)-1)))+(U12-INDEX(Tables!$A$260:$A$274,MAX(1,MIN(IFERROR(MATCH(U12,Tables!$A$260:$A$274,1),1),ROWS(Tables!$A$260:$A$274)-1))))*(INDEX(Tables!$B$260:$B$274,MAX(1,MIN(IFERROR(MATCH(U12,Tables!$A$260:$A$274,1),1),ROWS(Tables!$A$260:$A$274)-1))+1)-INDEX(Tables!$B$260:$B$274,MAX(1,MIN(IFERROR(MATCH(U12,Tables!$A$260:$A$274,1),1),ROWS(Tables!$A$260:$A$274)-1))))/(INDEX(Tables!$A$260:$A$274,MAX(1,MIN(IFERROR(MATCH(U12,Tables!$A$260:$A$274,1),1),ROWS(Tables!$A$260:$A$274)-1))+1)-INDEX(Tables!$A$260:$A$274,MAX(1,MIN(IFERROR(MATCH(U12,Tables!$A$260:$A$274,1),1),ROWS(Tables!$A$260:$A$274)-1))))),IF(P12&lt;8,(INDEX(Tables!$D$260:$D$274,MAX(1,MIN(IFERROR(MATCH(U12,Tables!$C$260:$C$274,1),1),ROWS(Tables!$C$260:$C$274)-1)))+(U12-INDEX(Tables!$C$260:$C$274,MAX(1,MIN(IFERROR(MATCH(U12,Tables!$C$260:$C$274,1),1),ROWS(Tables!$C$260:$C$274)-1))))*(INDEX(Tables!$D$260:$D$274,MAX(1,MIN(IFERROR(MATCH(U12,Tables!$C$260:$C$274,1),1),ROWS(Tables!$C$260:$C$274)-1))+1)-INDEX(Tables!$D$260:$D$274,MAX(1,MIN(IFERROR(MATCH(U12,Tables!$C$260:$C$274,1),1),ROWS(Tables!$C$260:$C$274)-1))))/(INDEX(Tables!$C$260:$C$274,MAX(1,MIN(IFERROR(MATCH(U12,Tables!$C$260:$C$274,1),1),ROWS(Tables!$C$260:$C$274)-1))+1)-INDEX(Tables!$C$260:$C$274,MAX(1,MIN(IFERROR(MATCH(U12,Tables!$C$260:$C$274,1),1),ROWS(Tables!$C$260:$C$274)-1))))),IF(P12&lt;10,(INDEX(Tables!$F$260:$F$274,MAX(1,MIN(IFERROR(MATCH(U12,Tables!$E$260:$E$274,1),1),ROWS(Tables!$E$260:$E$274)-1)))+(U12-INDEX(Tables!$E$260:$E$274,MAX(1,MIN(IFERROR(MATCH(U12,Tables!$E$260:$E$274,1),1),ROWS(Tables!$E$260:$E$274)-1))))*(INDEX(Tables!$F$260:$F$274,MAX(1,MIN(IFERROR(MATCH(U12,Tables!$E$260:$E$274,1),1),ROWS(Tables!$E$260:$E$274)-1))+1)-INDEX(Tables!$F$260:$F$274,MAX(1,MIN(IFERROR(MATCH(U12,Tables!$E$260:$E$274,1),1),ROWS(Tables!$E$260:$E$274)-1))))/(INDEX(Tables!$E$260:$E$274,MAX(1,MIN(IFERROR(MATCH(U12,Tables!$E$260:$E$274,1),1),ROWS(Tables!$E$260:$E$274)-1))+1)-INDEX(Tables!$E$260:$E$274,MAX(1,MIN(IFERROR(MATCH(U12,Tables!$E$260:$E$274,1),1),ROWS(Tables!$E$260:$E$274)-1))))),(INDEX(Tables!$H$260:$H$274,MAX(1,MIN(IFERROR(MATCH(U12,Tables!$G$260:$G$274,1),1),ROWS(Tables!$G$260:$G$274)-1)))+(U12-INDEX(Tables!$G$260:$G$274,MAX(1,MIN(IFERROR(MATCH(U12,Tables!$G$260:$G$274,1),1),ROWS(Tables!$G$260:$G$274)-1))))*(INDEX(Tables!$H$260:$H$274,MAX(1,MIN(IFERROR(MATCH(U12,Tables!$G$260:$G$274,1),1),ROWS(Tables!$G$260:$G$274)-1))+1)-INDEX(Tables!$H$260:$H$274,MAX(1,MIN(IFERROR(MATCH(U12,Tables!$G$260:$G$274,1),1),ROWS(Tables!$G$260:$G$274)-1))))/(INDEX(Tables!$G$260:$G$274,MAX(1,MIN(IFERROR(MATCH(U12,Tables!$G$260:$G$274,1),1),ROWS(Tables!$G$260:$G$274)-1))+1)-INDEX(Tables!$G$260:$G$274,MAX(1,MIN(IFERROR(MATCH(U12,Tables!$G$260:$G$274,1),1),ROWS(Tables!$G$260:$G$274)-1))))))))</f>
        <v>0.84099999999999997</v>
      </c>
      <c r="AW12" s="181">
        <f t="shared" si="9"/>
        <v>335.69050147145578</v>
      </c>
      <c r="AX12" s="181">
        <f t="shared" si="10"/>
        <v>7481.7733990147772</v>
      </c>
      <c r="AY12" s="181">
        <f t="shared" si="11"/>
        <v>8350.8586166440346</v>
      </c>
      <c r="AZ12" s="181">
        <f t="shared" si="12"/>
        <v>2753.2073085081111</v>
      </c>
      <c r="BA12" s="181">
        <f t="shared" si="13"/>
        <v>-800</v>
      </c>
      <c r="BB12" s="181">
        <f t="shared" si="14"/>
        <v>7990.5317647363008</v>
      </c>
      <c r="BC12" s="181">
        <f t="shared" si="15"/>
        <v>46800</v>
      </c>
      <c r="BD12" s="181">
        <f>VLOOKUP(V12&amp;" "&amp;J12,Tables!$A$152:$E$239,4,FALSE)</f>
        <v>12000</v>
      </c>
      <c r="BE12" s="181">
        <f>VLOOKUP(V12&amp;" "&amp;J12,Tables!$A$152:$E$239,5,FALSE)</f>
        <v>23000</v>
      </c>
      <c r="BF12" s="181">
        <f t="shared" si="16"/>
        <v>8640</v>
      </c>
      <c r="BG12" s="181">
        <f t="shared" si="17"/>
        <v>16560</v>
      </c>
      <c r="BH12" s="181">
        <f t="shared" si="18"/>
        <v>7881.7733990147781</v>
      </c>
      <c r="BI12" s="181">
        <f t="shared" si="19"/>
        <v>46800</v>
      </c>
      <c r="BJ12" s="181">
        <f t="shared" si="20"/>
        <v>7990.5317647363008</v>
      </c>
      <c r="BK12" s="181">
        <f t="shared" si="21"/>
        <v>46800</v>
      </c>
      <c r="BL12" s="181">
        <f t="shared" si="22"/>
        <v>335.69050147145578</v>
      </c>
      <c r="BM12" s="181">
        <f t="shared" si="23"/>
        <v>8640</v>
      </c>
      <c r="BN12" s="181">
        <f t="shared" si="24"/>
        <v>292.46925985518294</v>
      </c>
      <c r="BO12" s="181">
        <f t="shared" si="25"/>
        <v>16560</v>
      </c>
      <c r="BP12" t="str">
        <f t="shared" si="26"/>
        <v>Pass</v>
      </c>
      <c r="BQ12" t="str">
        <f t="shared" si="27"/>
        <v>Pass</v>
      </c>
      <c r="BR12" t="str">
        <f t="shared" si="28"/>
        <v>Pass</v>
      </c>
      <c r="BS12" t="str">
        <f t="shared" si="29"/>
        <v>Pass</v>
      </c>
      <c r="BT12" t="str">
        <f t="shared" si="30"/>
        <v>Pass</v>
      </c>
      <c r="BU12" t="str">
        <f t="shared" si="31"/>
        <v>Effective Stress</v>
      </c>
    </row>
    <row r="13" spans="1:73">
      <c r="A13" t="s">
        <v>605</v>
      </c>
      <c r="B13" s="181">
        <v>11</v>
      </c>
      <c r="C13" t="s">
        <v>594</v>
      </c>
      <c r="D13" s="181">
        <v>24</v>
      </c>
      <c r="E13" s="181">
        <v>0.56200000000000006</v>
      </c>
      <c r="F13" t="s">
        <v>117</v>
      </c>
      <c r="G13" t="s">
        <v>119</v>
      </c>
      <c r="H13" t="s">
        <v>122</v>
      </c>
      <c r="I13" s="181">
        <v>1</v>
      </c>
      <c r="J13" t="s">
        <v>126</v>
      </c>
      <c r="K13" t="s">
        <v>129</v>
      </c>
      <c r="L13" s="181">
        <v>70</v>
      </c>
      <c r="M13" s="181">
        <v>800</v>
      </c>
      <c r="N13" t="s">
        <v>141</v>
      </c>
      <c r="O13" s="181">
        <v>120</v>
      </c>
      <c r="P13" s="181">
        <v>10</v>
      </c>
      <c r="Q13" s="181">
        <v>26</v>
      </c>
      <c r="R13" t="s">
        <v>418</v>
      </c>
      <c r="S13" t="s">
        <v>156</v>
      </c>
      <c r="T13" s="181">
        <v>70</v>
      </c>
      <c r="U13" s="181">
        <f>HLOOKUP(D13,'Highway Loading'!$C$155:$AD$156,2,FALSE)</f>
        <v>24</v>
      </c>
      <c r="V13" s="181">
        <f>IF(ISBLANK(G13),"",INDEX('Highway Loading'!$C$216:$AG$216,1,MATCH(G13,'Highway Loading'!$C$215:$AG$215,0)))</f>
        <v>65000</v>
      </c>
      <c r="W13" s="181">
        <f>INDEX('Highway Loading'!$I$245:$L$253,MATCH(H13,'Highway Loading'!$H$245:$H$253,0),MATCH(I13,'Highway Loading'!$I$244:$L$244,0))</f>
        <v>0.72</v>
      </c>
      <c r="X13" s="181">
        <f t="shared" si="0"/>
        <v>1</v>
      </c>
      <c r="Y13" s="181">
        <f>VLOOKUP(K13,'Highway Loading'!$B$283:$E$292,2,FALSE)</f>
        <v>29000000</v>
      </c>
      <c r="Z13" s="181">
        <f>VLOOKUP(K13,'Highway Loading'!$B$283:$E$292,3,FALSE)</f>
        <v>0.3</v>
      </c>
      <c r="AA13" s="181">
        <f>VLOOKUP(K13,'Highway Loading'!$B$283:$E$292,4,FALSE)</f>
        <v>6.4999999999999996E-6</v>
      </c>
      <c r="AB13" s="181">
        <f t="shared" si="1"/>
        <v>1</v>
      </c>
      <c r="AC13" s="181">
        <f>VLOOKUP(N13,'Highway Loading'!$B$256:$D$261,2,FALSE)</f>
        <v>500</v>
      </c>
      <c r="AD13" s="181">
        <f>VLOOKUP(N13,'Highway Loading'!$B$256:$D$261,3,FALSE)</f>
        <v>10000</v>
      </c>
      <c r="AE13" s="181">
        <f>VLOOKUP(S13,'Highway Loading'!$B$340:$C$341,2,FALSE)</f>
        <v>10000</v>
      </c>
      <c r="AF13" s="181">
        <f t="shared" si="2"/>
        <v>2.3416666666666669E-2</v>
      </c>
      <c r="AG13" s="181">
        <f t="shared" si="3"/>
        <v>4.615384615384615</v>
      </c>
      <c r="AH13" s="181">
        <f t="shared" si="4"/>
        <v>1.0833333333333333</v>
      </c>
      <c r="AI13" s="181">
        <f t="shared" si="5"/>
        <v>17081.850533807828</v>
      </c>
      <c r="AJ13" s="181">
        <f t="shared" si="6"/>
        <v>46800</v>
      </c>
      <c r="AK13" s="181">
        <f>IF(AC13=200,(INDEX(Tables!$B$17:$B$38,MAX(1,MIN(IFERROR(MATCH(AF13,Tables!$A$17:$A$38,1),1),ROWS(Tables!$A$17:$A$38)-1)))+(AF13-INDEX(Tables!$A$17:$A$38,MAX(1,MIN(IFERROR(MATCH(AF13,Tables!$A$17:$A$38,1),1),ROWS(Tables!$A$17:$A$38)-1))))*(INDEX(Tables!$B$17:$B$38,MAX(1,MIN(IFERROR(MATCH(AF13,Tables!$A$17:$A$38,1),1),ROWS(Tables!$A$17:$A$38)-1))+1)-INDEX(Tables!$B$17:$B$38,MAX(1,MIN(IFERROR(MATCH(AF13,Tables!$A$17:$A$38,1),1),ROWS(Tables!$A$17:$A$38)-1))))/(INDEX(Tables!$A$17:$A$38,MAX(1,MIN(IFERROR(MATCH(AF13,Tables!$A$17:$A$38,1),1),ROWS(Tables!$A$17:$A$38)-1))+1)-INDEX(Tables!$A$17:$A$38,MAX(1,MIN(IFERROR(MATCH(AF13,Tables!$A$17:$A$38,1),1),ROWS(Tables!$A$17:$A$38)-1))))),IF(AC13=500,(INDEX(Tables!$D$17:$D$38,MAX(1,MIN(IFERROR(MATCH(AF13,Tables!$C$17:$C$38,1),1),ROWS(Tables!$C$17:$C$38)-1)))+(AF13-INDEX(Tables!$C$17:$C$38,MAX(1,MIN(IFERROR(MATCH(AF13,Tables!$C$17:$C$38,1),1),ROWS(Tables!$C$17:$C$38)-1))))*(INDEX(Tables!$D$17:$D$38,MAX(1,MIN(IFERROR(MATCH(AF13,Tables!$C$17:$C$38,1),1),ROWS(Tables!$C$17:$C$38)-1))+1)-INDEX(Tables!$D$17:$D$38,MAX(1,MIN(IFERROR(MATCH(AF13,Tables!$C$17:$C$38,1),1),ROWS(Tables!$C$17:$C$38)-1))))/(INDEX(Tables!$C$17:$C$38,MAX(1,MIN(IFERROR(MATCH(AF13,Tables!$C$17:$C$38,1),1),ROWS(Tables!$C$17:$C$38)-1))+1)-INDEX(Tables!$C$17:$C$38,MAX(1,MIN(IFERROR(MATCH(AF13,Tables!$C$17:$C$38,1),1),ROWS(Tables!$C$17:$C$38)-1))))),IF(AC13=1000,(INDEX(Tables!$F$17:$F$38,MAX(1,MIN(IFERROR(MATCH(AF13,Tables!$E$17:$E$38,1),1),ROWS(Tables!$E$17:$E$38)-1)))+(AF13-INDEX(Tables!$E$17:$E$38,MAX(1,MIN(IFERROR(MATCH(AF13,Tables!$E$17:$E$38,1),1),ROWS(Tables!$E$17:$E$38)-1))))*(INDEX(Tables!$F$17:$F$38,MAX(1,MIN(IFERROR(MATCH(AF13,Tables!$E$17:$E$38,1),1),ROWS(Tables!$E$17:$E$38)-1))+1)-INDEX(Tables!$F$17:$F$38,MAX(1,MIN(IFERROR(MATCH(AF13,Tables!$E$17:$E$38,1),1),ROWS(Tables!$E$17:$E$38)-1))))/(INDEX(Tables!$E$17:$E$38,MAX(1,MIN(IFERROR(MATCH(AF13,Tables!$E$17:$E$38,1),1),ROWS(Tables!$E$17:$E$38)-1))+1)-INDEX(Tables!$E$17:$E$38,MAX(1,MIN(IFERROR(MATCH(AF13,Tables!$E$17:$E$38,1),1),ROWS(Tables!$E$17:$E$38)-1))))),(INDEX(Tables!$H$17:$H$38,MAX(1,MIN(IFERROR(MATCH(AF13,Tables!$G$17:$G$38,1),1),ROWS(Tables!$G$17:$G$38)-1)))+(AF13-INDEX(Tables!$G$17:$G$38,MAX(1,MIN(IFERROR(MATCH(AF13,Tables!$G$17:$G$38,1),1),ROWS(Tables!$G$17:$G$38)-1))))*(INDEX(Tables!$H$17:$H$38,MAX(1,MIN(IFERROR(MATCH(AF13,Tables!$G$17:$G$38,1),1),ROWS(Tables!$G$17:$G$38)-1))+1)-INDEX(Tables!$H$17:$H$38,MAX(1,MIN(IFERROR(MATCH(AF13,Tables!$G$17:$G$38,1),1),ROWS(Tables!$G$17:$G$38)-1))))/(INDEX(Tables!$G$17:$G$38,MAX(1,MIN(IFERROR(MATCH(AF13,Tables!$G$17:$G$38,1),1),ROWS(Tables!$G$17:$G$38)-1))+1)-INDEX(Tables!$G$17:$G$38,MAX(1,MIN(IFERROR(MATCH(AF13,Tables!$G$17:$G$38,1),1),ROWS(Tables!$G$17:$G$38)-1))))))))</f>
        <v>1965.3166666666666</v>
      </c>
      <c r="AL13" s="181">
        <f>IF(AC13&lt;1000,(INDEX(Tables!$B$43:$B$76,MAX(1,MIN(IFERROR(MATCH(AG13,Tables!$A$43:$A$76,1),1),ROWS(Tables!$A$43:$A$76)-1)))+(AG13-INDEX(Tables!$A$43:$A$76,MAX(1,MIN(IFERROR(MATCH(AG13,Tables!$A$43:$A$76,1),1),ROWS(Tables!$A$43:$A$76)-1))))*(INDEX(Tables!$B$43:$B$76,MAX(1,MIN(IFERROR(MATCH(AG13,Tables!$A$43:$A$76,1),1),ROWS(Tables!$A$43:$A$76)-1))+1)-INDEX(Tables!$B$43:$B$76,MAX(1,MIN(IFERROR(MATCH(AG13,Tables!$A$43:$A$76,1),1),ROWS(Tables!$A$43:$A$76)-1))))/(INDEX(Tables!$A$43:$A$76,MAX(1,MIN(IFERROR(MATCH(AG13,Tables!$A$43:$A$76,1),1),ROWS(Tables!$A$43:$A$76)-1))+1)-INDEX(Tables!$A$43:$A$76,MAX(1,MIN(IFERROR(MATCH(AG13,Tables!$A$43:$A$76,1),1),ROWS(Tables!$A$43:$A$76)-1))))),(INDEX(Tables!$D$43:$D$76,MAX(1,MIN(IFERROR(MATCH(AG13,Tables!$C$43:$C$76,1),1),ROWS(Tables!$C$43:$C$76)-1)))+(AG13-INDEX(Tables!$C$43:$C$76,MAX(1,MIN(IFERROR(MATCH(AG13,Tables!$C$43:$C$76,1),1),ROWS(Tables!$C$43:$C$76)-1))))*(INDEX(Tables!$D$43:$D$76,MAX(1,MIN(IFERROR(MATCH(AG13,Tables!$C$43:$C$76,1),1),ROWS(Tables!$C$43:$C$76)-1))+1)-INDEX(Tables!$D$43:$D$76,MAX(1,MIN(IFERROR(MATCH(AG13,Tables!$C$43:$C$76,1),1),ROWS(Tables!$C$43:$C$76)-1))))/(INDEX(Tables!$C$43:$C$76,MAX(1,MIN(IFERROR(MATCH(AG13,Tables!$C$43:$C$76,1),1),ROWS(Tables!$C$43:$C$76)-1))+1)-INDEX(Tables!$C$43:$C$76,MAX(1,MIN(IFERROR(MATCH(AG13,Tables!$C$43:$C$76,1),1),ROWS(Tables!$C$43:$C$76)-1))))))</f>
        <v>1.0408461538461538</v>
      </c>
      <c r="AM13" s="181">
        <f>(INDEX(Tables!$B$80:$B$87,MAX(1,MIN(IFERROR(MATCH(AH13,Tables!$A$80:$A$87,1),1),ROWS(Tables!$A$80:$A$87)-1)))+(AH13-INDEX(Tables!$A$80:$A$87,MAX(1,MIN(IFERROR(MATCH(AH13,Tables!$A$80:$A$87,1),1),ROWS(Tables!$A$80:$A$87)-1))))*(INDEX(Tables!$B$80:$B$87,MAX(1,MIN(IFERROR(MATCH(AH13,Tables!$A$80:$A$87,1),1),ROWS(Tables!$A$80:$A$87)-1))+1)-INDEX(Tables!$B$80:$B$87,MAX(1,MIN(IFERROR(MATCH(AH13,Tables!$A$80:$A$87,1),1),ROWS(Tables!$A$80:$A$87)-1))))/(INDEX(Tables!$A$80:$A$87,MAX(1,MIN(IFERROR(MATCH(AH13,Tables!$A$80:$A$87,1),1),ROWS(Tables!$A$80:$A$87)-1))+1)-INDEX(Tables!$A$80:$A$87,MAX(1,MIN(IFERROR(MATCH(AH13,Tables!$A$80:$A$87,1),1),ROWS(Tables!$A$80:$A$87)-1)))))</f>
        <v>0.96739999999999982</v>
      </c>
      <c r="AN13" s="181">
        <f t="shared" si="7"/>
        <v>3298.1766413645291</v>
      </c>
      <c r="AO13" s="181">
        <f>(INDEX(Tables!$B$91:$B$94,MAX(1,MIN(IFERROR(MATCH(P13,Tables!$A$91:$A$94,1),1),ROWS(Tables!$A$91:$A$94)-1)))+(P13-INDEX(Tables!$A$91:$A$94,MAX(1,MIN(IFERROR(MATCH(P13,Tables!$A$91:$A$94,1),1),ROWS(Tables!$A$91:$A$94)-1))))*(INDEX(Tables!$B$91:$B$94,MAX(1,MIN(IFERROR(MATCH(P13,Tables!$A$91:$A$94,1),1),ROWS(Tables!$A$91:$A$94)-1))+1)-INDEX(Tables!$B$91:$B$94,MAX(1,MIN(IFERROR(MATCH(P13,Tables!$A$91:$A$94,1),1),ROWS(Tables!$A$91:$A$94)-1))))/(INDEX(Tables!$A$91:$A$94,MAX(1,MIN(IFERROR(MATCH(P13,Tables!$A$91:$A$94,1),1),ROWS(Tables!$A$91:$A$94)-1))+1)-INDEX(Tables!$A$91:$A$94,MAX(1,MIN(IFERROR(MATCH(P13,Tables!$A$91:$A$94,1),1),ROWS(Tables!$A$91:$A$94)-1)))))</f>
        <v>1.3542682926829268</v>
      </c>
      <c r="AP13" s="181">
        <f>IF(AD13=5000,(INDEX(Tables!$B$99:$B$118,MAX(1,MIN(IFERROR(MATCH(AF13,Tables!$A$99:$A$118,1),1),ROWS(Tables!$A$99:$A$118)-1)))+(AF13-INDEX(Tables!$A$99:$A$118,MAX(1,MIN(IFERROR(MATCH(AF13,Tables!$A$99:$A$118,1),1),ROWS(Tables!$A$99:$A$118)-1))))*(INDEX(Tables!$B$99:$B$118,MAX(1,MIN(IFERROR(MATCH(AF13,Tables!$A$99:$A$118,1),1),ROWS(Tables!$A$99:$A$118)-1))+1)-INDEX(Tables!$B$99:$B$118,MAX(1,MIN(IFERROR(MATCH(AF13,Tables!$A$99:$A$118,1),1),ROWS(Tables!$A$99:$A$118)-1))))/(INDEX(Tables!$A$99:$A$118,MAX(1,MIN(IFERROR(MATCH(AF13,Tables!$A$99:$A$118,1),1),ROWS(Tables!$A$99:$A$118)-1))+1)-INDEX(Tables!$A$99:$A$118,MAX(1,MIN(IFERROR(MATCH(AF13,Tables!$A$99:$A$118,1),1),ROWS(Tables!$A$99:$A$118)-1))))),IF(AD13=10000,(INDEX(Tables!$D$99:$D$118,MAX(1,MIN(IFERROR(MATCH(AF13,Tables!$C$99:$C$118,1),1),ROWS(Tables!$C$99:$C$118)-1)))+(AF13-INDEX(Tables!$C$99:$C$118,MAX(1,MIN(IFERROR(MATCH(AF13,Tables!$C$99:$C$118,1),1),ROWS(Tables!$C$99:$C$118)-1))))*(INDEX(Tables!$D$99:$D$118,MAX(1,MIN(IFERROR(MATCH(AF13,Tables!$C$99:$C$118,1),1),ROWS(Tables!$C$99:$C$118)-1))+1)-INDEX(Tables!$D$99:$D$118,MAX(1,MIN(IFERROR(MATCH(AF13,Tables!$C$99:$C$118,1),1),ROWS(Tables!$C$99:$C$118)-1))))/(INDEX(Tables!$C$99:$C$118,MAX(1,MIN(IFERROR(MATCH(AF13,Tables!$C$99:$C$118,1),1),ROWS(Tables!$C$99:$C$118)-1))+1)-INDEX(Tables!$C$99:$C$118,MAX(1,MIN(IFERROR(MATCH(AF13,Tables!$C$99:$C$118,1),1),ROWS(Tables!$C$99:$C$118)-1))))),(INDEX(Tables!$F$99:$F$118,MAX(1,MIN(IFERROR(MATCH(AF13,Tables!$E$99:$E$118,1),1),ROWS(Tables!$E$99:$E$118)-1)))+(AF13-INDEX(Tables!$E$99:$E$118,MAX(1,MIN(IFERROR(MATCH(AF13,Tables!$E$99:$E$118,1),1),ROWS(Tables!$E$99:$E$118)-1))))*(INDEX(Tables!$F$99:$F$118,MAX(1,MIN(IFERROR(MATCH(AF13,Tables!$E$99:$E$118,1),1),ROWS(Tables!$E$99:$E$118)-1))+1)-INDEX(Tables!$F$99:$F$118,MAX(1,MIN(IFERROR(MATCH(AF13,Tables!$E$99:$E$118,1),1),ROWS(Tables!$E$99:$E$118)-1))))/(INDEX(Tables!$E$99:$E$118,MAX(1,MIN(IFERROR(MATCH(AF13,Tables!$E$99:$E$118,1),1),ROWS(Tables!$E$99:$E$118)-1))+1)-INDEX(Tables!$E$99:$E$118,MAX(1,MIN(IFERROR(MATCH(AF13,Tables!$E$99:$E$118,1),1),ROWS(Tables!$E$99:$E$118)-1)))))))</f>
        <v>12.827805077805078</v>
      </c>
      <c r="AQ13" s="181">
        <f>IF(P13&lt;6,(INDEX(Tables!$B$123:$B$138,MAX(1,MIN(IFERROR(MATCH(U13,Tables!$A$123:$A$138,1),1),ROWS(Tables!$A$123:$A$138)-1)))+(U13-INDEX(Tables!$A$123:$A$138,MAX(1,MIN(IFERROR(MATCH(U13,Tables!$A$123:$A$138,1),1),ROWS(Tables!$A$123:$A$138)-1))))*(INDEX(Tables!$B$123:$B$138,MAX(1,MIN(IFERROR(MATCH(U13,Tables!$A$123:$A$138,1),1),ROWS(Tables!$A$123:$A$138)-1))+1)-INDEX(Tables!$B$123:$B$138,MAX(1,MIN(IFERROR(MATCH(U13,Tables!$A$123:$A$138,1),1),ROWS(Tables!$A$123:$A$138)-1))))/(INDEX(Tables!$A$123:$A$138,MAX(1,MIN(IFERROR(MATCH(U13,Tables!$A$123:$A$138,1),1),ROWS(Tables!$A$123:$A$138)-1))+1)-INDEX(Tables!$A$123:$A$138,MAX(1,MIN(IFERROR(MATCH(U13,Tables!$A$123:$A$138,1),1),ROWS(Tables!$A$123:$A$138)-1))))),IF(P13&lt;8,(INDEX(Tables!$D$123:$D$138,MAX(1,MIN(IFERROR(MATCH(U13,Tables!$C$123:$C$138,1),1),ROWS(Tables!$C$123:$C$138)-1)))+(U13-INDEX(Tables!$C$123:$C$138,MAX(1,MIN(IFERROR(MATCH(U13,Tables!$C$123:$C$138,1),1),ROWS(Tables!$C$123:$C$138)-1))))*(INDEX(Tables!$D$123:$D$138,MAX(1,MIN(IFERROR(MATCH(U13,Tables!$C$123:$C$138,1),1),ROWS(Tables!$C$123:$C$138)-1))+1)-INDEX(Tables!$D$123:$D$138,MAX(1,MIN(IFERROR(MATCH(U13,Tables!$C$123:$C$138,1),1),ROWS(Tables!$C$123:$C$138)-1))))/(INDEX(Tables!$C$123:$C$138,MAX(1,MIN(IFERROR(MATCH(U13,Tables!$C$123:$C$138,1),1),ROWS(Tables!$C$123:$C$138)-1))+1)-INDEX(Tables!$C$123:$C$138,MAX(1,MIN(IFERROR(MATCH(U13,Tables!$C$123:$C$138,1),1),ROWS(Tables!$C$123:$C$138)-1))))),IF(P13&lt;10,(INDEX(Tables!$F$123:$F$138,MAX(1,MIN(IFERROR(MATCH(U13,Tables!$E$123:$E$138,1),1),ROWS(Tables!$E$123:$E$138)-1)))+(U13-INDEX(Tables!$E$123:$E$138,MAX(1,MIN(IFERROR(MATCH(U13,Tables!$E$123:$E$138,1),1),ROWS(Tables!$E$123:$E$138)-1))))*(INDEX(Tables!$F$123:$F$138,MAX(1,MIN(IFERROR(MATCH(U13,Tables!$E$123:$E$138,1),1),ROWS(Tables!$E$123:$E$138)-1))+1)-INDEX(Tables!$F$123:$F$138,MAX(1,MIN(IFERROR(MATCH(U13,Tables!$E$123:$E$138,1),1),ROWS(Tables!$E$123:$E$138)-1))))/(INDEX(Tables!$E$123:$E$138,MAX(1,MIN(IFERROR(MATCH(U13,Tables!$E$123:$E$138,1),1),ROWS(Tables!$E$123:$E$138)-1))+1)-INDEX(Tables!$E$123:$E$138,MAX(1,MIN(IFERROR(MATCH(U13,Tables!$E$123:$E$138,1),1),ROWS(Tables!$E$123:$E$138)-1))))),(INDEX(Tables!$H$123:$H$138,MAX(1,MIN(IFERROR(MATCH(U13,Tables!$G$123:$G$138,1),1),ROWS(Tables!$G$123:$G$138)-1)))+(U13-INDEX(Tables!$G$123:$G$138,MAX(1,MIN(IFERROR(MATCH(U13,Tables!$G$123:$G$138,1),1),ROWS(Tables!$G$123:$G$138)-1))))*(INDEX(Tables!$H$123:$H$138,MAX(1,MIN(IFERROR(MATCH(U13,Tables!$G$123:$G$138,1),1),ROWS(Tables!$G$123:$G$138)-1))+1)-INDEX(Tables!$H$123:$H$138,MAX(1,MIN(IFERROR(MATCH(U13,Tables!$G$123:$G$138,1),1),ROWS(Tables!$G$123:$G$138)-1))))/(INDEX(Tables!$G$123:$G$138,MAX(1,MIN(IFERROR(MATCH(U13,Tables!$G$123:$G$138,1),1),ROWS(Tables!$G$123:$G$138)-1))+1)-INDEX(Tables!$G$123:$G$138,MAX(1,MIN(IFERROR(MATCH(U13,Tables!$G$123:$G$138,1),1),ROWS(Tables!$G$123:$G$138)-1))))))))</f>
        <v>0.57750000000000001</v>
      </c>
      <c r="AR13" s="181">
        <f>IF(OR(P13&gt;=4,U13&gt;12),VLOOKUP(R13&amp;" "&amp;S13,Tables!$D$143:$F$148,2,FALSE),VLOOKUP(R13&amp;" "&amp;S13,Tables!$A$143:$C$148,2,FALSE))</f>
        <v>0.9</v>
      </c>
      <c r="AS13" s="181">
        <f>IF(OR(P13&gt;=4,U13&gt;12),VLOOKUP(R13&amp;" "&amp;S13,Tables!$D$143:$F$148,3,FALSE),VLOOKUP(R13&amp;" "&amp;S13,Tables!$A$143:$C$148,3,FALSE))</f>
        <v>1</v>
      </c>
      <c r="AT13" s="181">
        <f t="shared" si="8"/>
        <v>627.03108069483346</v>
      </c>
      <c r="AU13" s="181">
        <f>IF(AD13=5000,(INDEX(Tables!$B$244:$B$263,MAX(1,MIN(IFERROR(MATCH(AF13,Tables!$A$244:$A$263,1),1),ROWS(Tables!$A$244:$A$263)-1)))+(AF13-INDEX(Tables!$A$244:$A$263,MAX(1,MIN(IFERROR(MATCH(AF13,Tables!$A$244:$A$263,1),1),ROWS(Tables!$A$244:$A$263)-1))))*(INDEX(Tables!$B$244:$B$263,MAX(1,MIN(IFERROR(MATCH(AF13,Tables!$A$244:$A$263,1),1),ROWS(Tables!$A$244:$A$263)-1))+1)-INDEX(Tables!$B$244:$B$263,MAX(1,MIN(IFERROR(MATCH(AF13,Tables!$A$244:$A$263,1),1),ROWS(Tables!$A$244:$A$263)-1))))/(INDEX(Tables!$A$244:$A$263,MAX(1,MIN(IFERROR(MATCH(AF13,Tables!$A$244:$A$263,1),1),ROWS(Tables!$A$244:$A$263)-1))+1)-INDEX(Tables!$A$244:$A$263,MAX(1,MIN(IFERROR(MATCH(AF13,Tables!$A$244:$A$263,1),1),ROWS(Tables!$A$244:$A$263)-1))))),IF(AD13=10000,(INDEX(Tables!$D$244:$D$263,MAX(1,MIN(IFERROR(MATCH(AF13,Tables!$C$244:$C$263,1),1),ROWS(Tables!$C$244:$C$263)-1)))+(AF13-INDEX(Tables!$C$244:$C$263,MAX(1,MIN(IFERROR(MATCH(AF13,Tables!$C$244:$C$263,1),1),ROWS(Tables!$C$244:$C$263)-1))))*(INDEX(Tables!$D$244:$D$263,MAX(1,MIN(IFERROR(MATCH(AF13,Tables!$C$244:$C$263,1),1),ROWS(Tables!$C$244:$C$263)-1))+1)-INDEX(Tables!$D$244:$D$263,MAX(1,MIN(IFERROR(MATCH(AF13,Tables!$C$244:$C$263,1),1),ROWS(Tables!$C$244:$C$263)-1))))/(INDEX(Tables!$C$244:$C$263,MAX(1,MIN(IFERROR(MATCH(AF13,Tables!$C$244:$C$263,1),1),ROWS(Tables!$C$244:$C$263)-1))+1)-INDEX(Tables!$C$244:$C$263,MAX(1,MIN(IFERROR(MATCH(AF13,Tables!$C$244:$C$263,1),1),ROWS(Tables!$C$244:$C$263)-1))))),(INDEX(Tables!$F$244:$F$263,MAX(1,MIN(IFERROR(MATCH(AF13,Tables!$E$244:$E$263,1),1),ROWS(Tables!$E$244:$E$263)-1)))+(AF13-INDEX(Tables!$E$244:$E$263,MAX(1,MIN(IFERROR(MATCH(AF13,Tables!$E$244:$E$263,1),1),ROWS(Tables!$E$244:$E$263)-1))))*(INDEX(Tables!$F$244:$F$263,MAX(1,MIN(IFERROR(MATCH(AF13,Tables!$E$244:$E$263,1),1),ROWS(Tables!$E$244:$E$263)-1))+1)-INDEX(Tables!$F$244:$F$263,MAX(1,MIN(IFERROR(MATCH(AF13,Tables!$E$244:$E$263,1),1),ROWS(Tables!$E$244:$E$263)-1))))/(INDEX(Tables!$E$244:$E$263,MAX(1,MIN(IFERROR(MATCH(AF13,Tables!$E$244:$E$263,1),1),ROWS(Tables!$E$244:$E$263)-1))+1)-INDEX(Tables!$E$244:$E$263,MAX(1,MIN(IFERROR(MATCH(AF13,Tables!$E$244:$E$263,1),1),ROWS(Tables!$E$244:$E$263)-1)))))))</f>
        <v>9.3508499999999994</v>
      </c>
      <c r="AV13" s="181">
        <f>IF(P13&lt;6,(INDEX(Tables!$B$260:$B$274,MAX(1,MIN(IFERROR(MATCH(U13,Tables!$A$260:$A$274,1),1),ROWS(Tables!$A$260:$A$274)-1)))+(U13-INDEX(Tables!$A$260:$A$274,MAX(1,MIN(IFERROR(MATCH(U13,Tables!$A$260:$A$274,1),1),ROWS(Tables!$A$260:$A$274)-1))))*(INDEX(Tables!$B$260:$B$274,MAX(1,MIN(IFERROR(MATCH(U13,Tables!$A$260:$A$274,1),1),ROWS(Tables!$A$260:$A$274)-1))+1)-INDEX(Tables!$B$260:$B$274,MAX(1,MIN(IFERROR(MATCH(U13,Tables!$A$260:$A$274,1),1),ROWS(Tables!$A$260:$A$274)-1))))/(INDEX(Tables!$A$260:$A$274,MAX(1,MIN(IFERROR(MATCH(U13,Tables!$A$260:$A$274,1),1),ROWS(Tables!$A$260:$A$274)-1))+1)-INDEX(Tables!$A$260:$A$274,MAX(1,MIN(IFERROR(MATCH(U13,Tables!$A$260:$A$274,1),1),ROWS(Tables!$A$260:$A$274)-1))))),IF(P13&lt;8,(INDEX(Tables!$D$260:$D$274,MAX(1,MIN(IFERROR(MATCH(U13,Tables!$C$260:$C$274,1),1),ROWS(Tables!$C$260:$C$274)-1)))+(U13-INDEX(Tables!$C$260:$C$274,MAX(1,MIN(IFERROR(MATCH(U13,Tables!$C$260:$C$274,1),1),ROWS(Tables!$C$260:$C$274)-1))))*(INDEX(Tables!$D$260:$D$274,MAX(1,MIN(IFERROR(MATCH(U13,Tables!$C$260:$C$274,1),1),ROWS(Tables!$C$260:$C$274)-1))+1)-INDEX(Tables!$D$260:$D$274,MAX(1,MIN(IFERROR(MATCH(U13,Tables!$C$260:$C$274,1),1),ROWS(Tables!$C$260:$C$274)-1))))/(INDEX(Tables!$C$260:$C$274,MAX(1,MIN(IFERROR(MATCH(U13,Tables!$C$260:$C$274,1),1),ROWS(Tables!$C$260:$C$274)-1))+1)-INDEX(Tables!$C$260:$C$274,MAX(1,MIN(IFERROR(MATCH(U13,Tables!$C$260:$C$274,1),1),ROWS(Tables!$C$260:$C$274)-1))))),IF(P13&lt;10,(INDEX(Tables!$F$260:$F$274,MAX(1,MIN(IFERROR(MATCH(U13,Tables!$E$260:$E$274,1),1),ROWS(Tables!$E$260:$E$274)-1)))+(U13-INDEX(Tables!$E$260:$E$274,MAX(1,MIN(IFERROR(MATCH(U13,Tables!$E$260:$E$274,1),1),ROWS(Tables!$E$260:$E$274)-1))))*(INDEX(Tables!$F$260:$F$274,MAX(1,MIN(IFERROR(MATCH(U13,Tables!$E$260:$E$274,1),1),ROWS(Tables!$E$260:$E$274)-1))+1)-INDEX(Tables!$F$260:$F$274,MAX(1,MIN(IFERROR(MATCH(U13,Tables!$E$260:$E$274,1),1),ROWS(Tables!$E$260:$E$274)-1))))/(INDEX(Tables!$E$260:$E$274,MAX(1,MIN(IFERROR(MATCH(U13,Tables!$E$260:$E$274,1),1),ROWS(Tables!$E$260:$E$274)-1))+1)-INDEX(Tables!$E$260:$E$274,MAX(1,MIN(IFERROR(MATCH(U13,Tables!$E$260:$E$274,1),1),ROWS(Tables!$E$260:$E$274)-1))))),(INDEX(Tables!$H$260:$H$274,MAX(1,MIN(IFERROR(MATCH(U13,Tables!$G$260:$G$274,1),1),ROWS(Tables!$G$260:$G$274)-1)))+(U13-INDEX(Tables!$G$260:$G$274,MAX(1,MIN(IFERROR(MATCH(U13,Tables!$G$260:$G$274,1),1),ROWS(Tables!$G$260:$G$274)-1))))*(INDEX(Tables!$H$260:$H$274,MAX(1,MIN(IFERROR(MATCH(U13,Tables!$G$260:$G$274,1),1),ROWS(Tables!$G$260:$G$274)-1))+1)-INDEX(Tables!$H$260:$H$274,MAX(1,MIN(IFERROR(MATCH(U13,Tables!$G$260:$G$274,1),1),ROWS(Tables!$G$260:$G$274)-1))))/(INDEX(Tables!$G$260:$G$274,MAX(1,MIN(IFERROR(MATCH(U13,Tables!$G$260:$G$274,1),1),ROWS(Tables!$G$260:$G$274)-1))+1)-INDEX(Tables!$G$260:$G$274,MAX(1,MIN(IFERROR(MATCH(U13,Tables!$G$260:$G$274,1),1),ROWS(Tables!$G$260:$G$274)-1))))))))</f>
        <v>0.64533333333333331</v>
      </c>
      <c r="AW13" s="181">
        <f t="shared" si="9"/>
        <v>510.76357314024392</v>
      </c>
      <c r="AX13" s="181">
        <f t="shared" si="10"/>
        <v>16681.850533807825</v>
      </c>
      <c r="AY13" s="181">
        <f t="shared" si="11"/>
        <v>20607.058255867189</v>
      </c>
      <c r="AZ13" s="181">
        <f t="shared" si="12"/>
        <v>6504.7717256919505</v>
      </c>
      <c r="BA13" s="181">
        <f t="shared" si="13"/>
        <v>-800</v>
      </c>
      <c r="BB13" s="181">
        <f t="shared" si="14"/>
        <v>18848.027993847554</v>
      </c>
      <c r="BC13" s="181">
        <f t="shared" si="15"/>
        <v>46800</v>
      </c>
      <c r="BD13" s="181">
        <f>VLOOKUP(V13&amp;" "&amp;J13,Tables!$A$152:$E$239,4,FALSE)</f>
        <v>12000</v>
      </c>
      <c r="BE13" s="181">
        <f>VLOOKUP(V13&amp;" "&amp;J13,Tables!$A$152:$E$239,5,FALSE)</f>
        <v>23000</v>
      </c>
      <c r="BF13" s="181">
        <f t="shared" si="16"/>
        <v>8640</v>
      </c>
      <c r="BG13" s="181">
        <f t="shared" si="17"/>
        <v>16560</v>
      </c>
      <c r="BH13" s="181">
        <f t="shared" si="18"/>
        <v>17081.850533807828</v>
      </c>
      <c r="BI13" s="181">
        <f t="shared" si="19"/>
        <v>46800</v>
      </c>
      <c r="BJ13" s="181">
        <f t="shared" si="20"/>
        <v>18848.027993847554</v>
      </c>
      <c r="BK13" s="181">
        <f t="shared" si="21"/>
        <v>46800</v>
      </c>
      <c r="BL13" s="181">
        <f t="shared" si="22"/>
        <v>510.76357314024392</v>
      </c>
      <c r="BM13" s="181">
        <f t="shared" si="23"/>
        <v>8640</v>
      </c>
      <c r="BN13" s="181">
        <f t="shared" si="24"/>
        <v>627.03108069483346</v>
      </c>
      <c r="BO13" s="181">
        <f t="shared" si="25"/>
        <v>16560</v>
      </c>
      <c r="BP13" t="str">
        <f t="shared" si="26"/>
        <v>Pass</v>
      </c>
      <c r="BQ13" t="str">
        <f t="shared" si="27"/>
        <v>Pass</v>
      </c>
      <c r="BR13" t="str">
        <f t="shared" si="28"/>
        <v>Pass</v>
      </c>
      <c r="BS13" t="str">
        <f t="shared" si="29"/>
        <v>Pass</v>
      </c>
      <c r="BT13" t="str">
        <f t="shared" si="30"/>
        <v>Pass</v>
      </c>
      <c r="BU13" t="str">
        <f t="shared" si="31"/>
        <v>Effective Stress</v>
      </c>
    </row>
    <row r="14" spans="1:73">
      <c r="A14" t="s">
        <v>606</v>
      </c>
      <c r="B14" s="181">
        <v>12</v>
      </c>
      <c r="C14" t="s">
        <v>594</v>
      </c>
      <c r="D14" s="181">
        <v>36</v>
      </c>
      <c r="E14" s="181">
        <v>0.5</v>
      </c>
      <c r="F14" t="s">
        <v>117</v>
      </c>
      <c r="G14" t="s">
        <v>119</v>
      </c>
      <c r="H14" t="s">
        <v>122</v>
      </c>
      <c r="I14" s="181">
        <v>1</v>
      </c>
      <c r="J14" t="s">
        <v>126</v>
      </c>
      <c r="K14" t="s">
        <v>129</v>
      </c>
      <c r="L14" s="181">
        <v>70</v>
      </c>
      <c r="M14" s="181">
        <v>1000</v>
      </c>
      <c r="N14" t="s">
        <v>141</v>
      </c>
      <c r="O14" s="181">
        <v>120</v>
      </c>
      <c r="P14" s="181">
        <v>14</v>
      </c>
      <c r="Q14" s="181">
        <v>38</v>
      </c>
      <c r="R14" t="s">
        <v>418</v>
      </c>
      <c r="S14" t="s">
        <v>156</v>
      </c>
      <c r="T14" s="181">
        <v>70</v>
      </c>
      <c r="U14" s="181">
        <f>HLOOKUP(D14,'Highway Loading'!$C$155:$AD$156,2,FALSE)</f>
        <v>36</v>
      </c>
      <c r="V14" s="181">
        <f>IF(ISBLANK(G14),"",INDEX('Highway Loading'!$C$216:$AG$216,1,MATCH(G14,'Highway Loading'!$C$215:$AG$215,0)))</f>
        <v>65000</v>
      </c>
      <c r="W14" s="181">
        <f>INDEX('Highway Loading'!$I$245:$L$253,MATCH(H14,'Highway Loading'!$H$245:$H$253,0),MATCH(I14,'Highway Loading'!$I$244:$L$244,0))</f>
        <v>0.72</v>
      </c>
      <c r="X14" s="181">
        <f t="shared" si="0"/>
        <v>1</v>
      </c>
      <c r="Y14" s="181">
        <f>VLOOKUP(K14,'Highway Loading'!$B$283:$E$292,2,FALSE)</f>
        <v>29000000</v>
      </c>
      <c r="Z14" s="181">
        <f>VLOOKUP(K14,'Highway Loading'!$B$283:$E$292,3,FALSE)</f>
        <v>0.3</v>
      </c>
      <c r="AA14" s="181">
        <f>VLOOKUP(K14,'Highway Loading'!$B$283:$E$292,4,FALSE)</f>
        <v>6.4999999999999996E-6</v>
      </c>
      <c r="AB14" s="181">
        <f t="shared" si="1"/>
        <v>1</v>
      </c>
      <c r="AC14" s="181">
        <f>VLOOKUP(N14,'Highway Loading'!$B$256:$D$261,2,FALSE)</f>
        <v>500</v>
      </c>
      <c r="AD14" s="181">
        <f>VLOOKUP(N14,'Highway Loading'!$B$256:$D$261,3,FALSE)</f>
        <v>10000</v>
      </c>
      <c r="AE14" s="181">
        <f>VLOOKUP(S14,'Highway Loading'!$B$340:$C$341,2,FALSE)</f>
        <v>10000</v>
      </c>
      <c r="AF14" s="181">
        <f t="shared" si="2"/>
        <v>1.3888888888888888E-2</v>
      </c>
      <c r="AG14" s="181">
        <f t="shared" si="3"/>
        <v>4.4210526315789478</v>
      </c>
      <c r="AH14" s="181">
        <f t="shared" si="4"/>
        <v>1.0555555555555556</v>
      </c>
      <c r="AI14" s="181">
        <f t="shared" si="5"/>
        <v>36000</v>
      </c>
      <c r="AJ14" s="181">
        <f t="shared" si="6"/>
        <v>46800</v>
      </c>
      <c r="AK14" s="181">
        <f>IF(AC14=200,(INDEX(Tables!$B$17:$B$38,MAX(1,MIN(IFERROR(MATCH(AF14,Tables!$A$17:$A$38,1),1),ROWS(Tables!$A$17:$A$38)-1)))+(AF14-INDEX(Tables!$A$17:$A$38,MAX(1,MIN(IFERROR(MATCH(AF14,Tables!$A$17:$A$38,1),1),ROWS(Tables!$A$17:$A$38)-1))))*(INDEX(Tables!$B$17:$B$38,MAX(1,MIN(IFERROR(MATCH(AF14,Tables!$A$17:$A$38,1),1),ROWS(Tables!$A$17:$A$38)-1))+1)-INDEX(Tables!$B$17:$B$38,MAX(1,MIN(IFERROR(MATCH(AF14,Tables!$A$17:$A$38,1),1),ROWS(Tables!$A$17:$A$38)-1))))/(INDEX(Tables!$A$17:$A$38,MAX(1,MIN(IFERROR(MATCH(AF14,Tables!$A$17:$A$38,1),1),ROWS(Tables!$A$17:$A$38)-1))+1)-INDEX(Tables!$A$17:$A$38,MAX(1,MIN(IFERROR(MATCH(AF14,Tables!$A$17:$A$38,1),1),ROWS(Tables!$A$17:$A$38)-1))))),IF(AC14=500,(INDEX(Tables!$D$17:$D$38,MAX(1,MIN(IFERROR(MATCH(AF14,Tables!$C$17:$C$38,1),1),ROWS(Tables!$C$17:$C$38)-1)))+(AF14-INDEX(Tables!$C$17:$C$38,MAX(1,MIN(IFERROR(MATCH(AF14,Tables!$C$17:$C$38,1),1),ROWS(Tables!$C$17:$C$38)-1))))*(INDEX(Tables!$D$17:$D$38,MAX(1,MIN(IFERROR(MATCH(AF14,Tables!$C$17:$C$38,1),1),ROWS(Tables!$C$17:$C$38)-1))+1)-INDEX(Tables!$D$17:$D$38,MAX(1,MIN(IFERROR(MATCH(AF14,Tables!$C$17:$C$38,1),1),ROWS(Tables!$C$17:$C$38)-1))))/(INDEX(Tables!$C$17:$C$38,MAX(1,MIN(IFERROR(MATCH(AF14,Tables!$C$17:$C$38,1),1),ROWS(Tables!$C$17:$C$38)-1))+1)-INDEX(Tables!$C$17:$C$38,MAX(1,MIN(IFERROR(MATCH(AF14,Tables!$C$17:$C$38,1),1),ROWS(Tables!$C$17:$C$38)-1))))),IF(AC14=1000,(INDEX(Tables!$F$17:$F$38,MAX(1,MIN(IFERROR(MATCH(AF14,Tables!$E$17:$E$38,1),1),ROWS(Tables!$E$17:$E$38)-1)))+(AF14-INDEX(Tables!$E$17:$E$38,MAX(1,MIN(IFERROR(MATCH(AF14,Tables!$E$17:$E$38,1),1),ROWS(Tables!$E$17:$E$38)-1))))*(INDEX(Tables!$F$17:$F$38,MAX(1,MIN(IFERROR(MATCH(AF14,Tables!$E$17:$E$38,1),1),ROWS(Tables!$E$17:$E$38)-1))+1)-INDEX(Tables!$F$17:$F$38,MAX(1,MIN(IFERROR(MATCH(AF14,Tables!$E$17:$E$38,1),1),ROWS(Tables!$E$17:$E$38)-1))))/(INDEX(Tables!$E$17:$E$38,MAX(1,MIN(IFERROR(MATCH(AF14,Tables!$E$17:$E$38,1),1),ROWS(Tables!$E$17:$E$38)-1))+1)-INDEX(Tables!$E$17:$E$38,MAX(1,MIN(IFERROR(MATCH(AF14,Tables!$E$17:$E$38,1),1),ROWS(Tables!$E$17:$E$38)-1))))),(INDEX(Tables!$H$17:$H$38,MAX(1,MIN(IFERROR(MATCH(AF14,Tables!$G$17:$G$38,1),1),ROWS(Tables!$G$17:$G$38)-1)))+(AF14-INDEX(Tables!$G$17:$G$38,MAX(1,MIN(IFERROR(MATCH(AF14,Tables!$G$17:$G$38,1),1),ROWS(Tables!$G$17:$G$38)-1))))*(INDEX(Tables!$H$17:$H$38,MAX(1,MIN(IFERROR(MATCH(AF14,Tables!$G$17:$G$38,1),1),ROWS(Tables!$G$17:$G$38)-1))+1)-INDEX(Tables!$H$17:$H$38,MAX(1,MIN(IFERROR(MATCH(AF14,Tables!$G$17:$G$38,1),1),ROWS(Tables!$G$17:$G$38)-1))))/(INDEX(Tables!$G$17:$G$38,MAX(1,MIN(IFERROR(MATCH(AF14,Tables!$G$17:$G$38,1),1),ROWS(Tables!$G$17:$G$38)-1))+1)-INDEX(Tables!$G$17:$G$38,MAX(1,MIN(IFERROR(MATCH(AF14,Tables!$G$17:$G$38,1),1),ROWS(Tables!$G$17:$G$38)-1))))))))</f>
        <v>4780.1111111111113</v>
      </c>
      <c r="AL14" s="181">
        <f>IF(AC14&lt;1000,(INDEX(Tables!$B$43:$B$76,MAX(1,MIN(IFERROR(MATCH(AG14,Tables!$A$43:$A$76,1),1),ROWS(Tables!$A$43:$A$76)-1)))+(AG14-INDEX(Tables!$A$43:$A$76,MAX(1,MIN(IFERROR(MATCH(AG14,Tables!$A$43:$A$76,1),1),ROWS(Tables!$A$43:$A$76)-1))))*(INDEX(Tables!$B$43:$B$76,MAX(1,MIN(IFERROR(MATCH(AG14,Tables!$A$43:$A$76,1),1),ROWS(Tables!$A$43:$A$76)-1))+1)-INDEX(Tables!$B$43:$B$76,MAX(1,MIN(IFERROR(MATCH(AG14,Tables!$A$43:$A$76,1),1),ROWS(Tables!$A$43:$A$76)-1))))/(INDEX(Tables!$A$43:$A$76,MAX(1,MIN(IFERROR(MATCH(AG14,Tables!$A$43:$A$76,1),1),ROWS(Tables!$A$43:$A$76)-1))+1)-INDEX(Tables!$A$43:$A$76,MAX(1,MIN(IFERROR(MATCH(AG14,Tables!$A$43:$A$76,1),1),ROWS(Tables!$A$43:$A$76)-1))))),(INDEX(Tables!$D$43:$D$76,MAX(1,MIN(IFERROR(MATCH(AG14,Tables!$C$43:$C$76,1),1),ROWS(Tables!$C$43:$C$76)-1)))+(AG14-INDEX(Tables!$C$43:$C$76,MAX(1,MIN(IFERROR(MATCH(AG14,Tables!$C$43:$C$76,1),1),ROWS(Tables!$C$43:$C$76)-1))))*(INDEX(Tables!$D$43:$D$76,MAX(1,MIN(IFERROR(MATCH(AG14,Tables!$C$43:$C$76,1),1),ROWS(Tables!$C$43:$C$76)-1))+1)-INDEX(Tables!$D$43:$D$76,MAX(1,MIN(IFERROR(MATCH(AG14,Tables!$C$43:$C$76,1),1),ROWS(Tables!$C$43:$C$76)-1))))/(INDEX(Tables!$C$43:$C$76,MAX(1,MIN(IFERROR(MATCH(AG14,Tables!$C$43:$C$76,1),1),ROWS(Tables!$C$43:$C$76)-1))+1)-INDEX(Tables!$C$43:$C$76,MAX(1,MIN(IFERROR(MATCH(AG14,Tables!$C$43:$C$76,1),1),ROWS(Tables!$C$43:$C$76)-1))))))</f>
        <v>1.022578947368421</v>
      </c>
      <c r="AM14" s="181">
        <f>(INDEX(Tables!$B$80:$B$87,MAX(1,MIN(IFERROR(MATCH(AH14,Tables!$A$80:$A$87,1),1),ROWS(Tables!$A$80:$A$87)-1)))+(AH14-INDEX(Tables!$A$80:$A$87,MAX(1,MIN(IFERROR(MATCH(AH14,Tables!$A$80:$A$87,1),1),ROWS(Tables!$A$80:$A$87)-1))))*(INDEX(Tables!$B$80:$B$87,MAX(1,MIN(IFERROR(MATCH(AH14,Tables!$A$80:$A$87,1),1),ROWS(Tables!$A$80:$A$87)-1))+1)-INDEX(Tables!$B$80:$B$87,MAX(1,MIN(IFERROR(MATCH(AH14,Tables!$A$80:$A$87,1),1),ROWS(Tables!$A$80:$A$87)-1))))/(INDEX(Tables!$A$80:$A$87,MAX(1,MIN(IFERROR(MATCH(AH14,Tables!$A$80:$A$87,1),1),ROWS(Tables!$A$80:$A$87)-1))+1)-INDEX(Tables!$A$80:$A$87,MAX(1,MIN(IFERROR(MATCH(AH14,Tables!$A$80:$A$87,1),1),ROWS(Tables!$A$80:$A$87)-1)))))</f>
        <v>0.91873333333333329</v>
      </c>
      <c r="AN14" s="181">
        <f t="shared" si="7"/>
        <v>11227.015476636454</v>
      </c>
      <c r="AO14" s="181">
        <f>(INDEX(Tables!$B$91:$B$94,MAX(1,MIN(IFERROR(MATCH(P14,Tables!$A$91:$A$94,1),1),ROWS(Tables!$A$91:$A$94)-1)))+(P14-INDEX(Tables!$A$91:$A$94,MAX(1,MIN(IFERROR(MATCH(P14,Tables!$A$91:$A$94,1),1),ROWS(Tables!$A$91:$A$94)-1))))*(INDEX(Tables!$B$91:$B$94,MAX(1,MIN(IFERROR(MATCH(P14,Tables!$A$91:$A$94,1),1),ROWS(Tables!$A$91:$A$94)-1))+1)-INDEX(Tables!$B$91:$B$94,MAX(1,MIN(IFERROR(MATCH(P14,Tables!$A$91:$A$94,1),1),ROWS(Tables!$A$91:$A$94)-1))))/(INDEX(Tables!$A$91:$A$94,MAX(1,MIN(IFERROR(MATCH(P14,Tables!$A$91:$A$94,1),1),ROWS(Tables!$A$91:$A$94)-1))+1)-INDEX(Tables!$A$91:$A$94,MAX(1,MIN(IFERROR(MATCH(P14,Tables!$A$91:$A$94,1),1),ROWS(Tables!$A$91:$A$94)-1)))))</f>
        <v>1.2323170731707318</v>
      </c>
      <c r="AP14" s="181">
        <f>IF(AD14=5000,(INDEX(Tables!$B$99:$B$118,MAX(1,MIN(IFERROR(MATCH(AF14,Tables!$A$99:$A$118,1),1),ROWS(Tables!$A$99:$A$118)-1)))+(AF14-INDEX(Tables!$A$99:$A$118,MAX(1,MIN(IFERROR(MATCH(AF14,Tables!$A$99:$A$118,1),1),ROWS(Tables!$A$99:$A$118)-1))))*(INDEX(Tables!$B$99:$B$118,MAX(1,MIN(IFERROR(MATCH(AF14,Tables!$A$99:$A$118,1),1),ROWS(Tables!$A$99:$A$118)-1))+1)-INDEX(Tables!$B$99:$B$118,MAX(1,MIN(IFERROR(MATCH(AF14,Tables!$A$99:$A$118,1),1),ROWS(Tables!$A$99:$A$118)-1))))/(INDEX(Tables!$A$99:$A$118,MAX(1,MIN(IFERROR(MATCH(AF14,Tables!$A$99:$A$118,1),1),ROWS(Tables!$A$99:$A$118)-1))+1)-INDEX(Tables!$A$99:$A$118,MAX(1,MIN(IFERROR(MATCH(AF14,Tables!$A$99:$A$118,1),1),ROWS(Tables!$A$99:$A$118)-1))))),IF(AD14=10000,(INDEX(Tables!$D$99:$D$118,MAX(1,MIN(IFERROR(MATCH(AF14,Tables!$C$99:$C$118,1),1),ROWS(Tables!$C$99:$C$118)-1)))+(AF14-INDEX(Tables!$C$99:$C$118,MAX(1,MIN(IFERROR(MATCH(AF14,Tables!$C$99:$C$118,1),1),ROWS(Tables!$C$99:$C$118)-1))))*(INDEX(Tables!$D$99:$D$118,MAX(1,MIN(IFERROR(MATCH(AF14,Tables!$C$99:$C$118,1),1),ROWS(Tables!$C$99:$C$118)-1))+1)-INDEX(Tables!$D$99:$D$118,MAX(1,MIN(IFERROR(MATCH(AF14,Tables!$C$99:$C$118,1),1),ROWS(Tables!$C$99:$C$118)-1))))/(INDEX(Tables!$C$99:$C$118,MAX(1,MIN(IFERROR(MATCH(AF14,Tables!$C$99:$C$118,1),1),ROWS(Tables!$C$99:$C$118)-1))+1)-INDEX(Tables!$C$99:$C$118,MAX(1,MIN(IFERROR(MATCH(AF14,Tables!$C$99:$C$118,1),1),ROWS(Tables!$C$99:$C$118)-1))))),(INDEX(Tables!$F$99:$F$118,MAX(1,MIN(IFERROR(MATCH(AF14,Tables!$E$99:$E$118,1),1),ROWS(Tables!$E$99:$E$118)-1)))+(AF14-INDEX(Tables!$E$99:$E$118,MAX(1,MIN(IFERROR(MATCH(AF14,Tables!$E$99:$E$118,1),1),ROWS(Tables!$E$99:$E$118)-1))))*(INDEX(Tables!$F$99:$F$118,MAX(1,MIN(IFERROR(MATCH(AF14,Tables!$E$99:$E$118,1),1),ROWS(Tables!$E$99:$E$118)-1))+1)-INDEX(Tables!$F$99:$F$118,MAX(1,MIN(IFERROR(MATCH(AF14,Tables!$E$99:$E$118,1),1),ROWS(Tables!$E$99:$E$118)-1))))/(INDEX(Tables!$E$99:$E$118,MAX(1,MIN(IFERROR(MATCH(AF14,Tables!$E$99:$E$118,1),1),ROWS(Tables!$E$99:$E$118)-1))+1)-INDEX(Tables!$E$99:$E$118,MAX(1,MIN(IFERROR(MATCH(AF14,Tables!$E$99:$E$118,1),1),ROWS(Tables!$E$99:$E$118)-1)))))))</f>
        <v>14.587918032786884</v>
      </c>
      <c r="AQ14" s="181">
        <f>IF(P14&lt;6,(INDEX(Tables!$B$123:$B$138,MAX(1,MIN(IFERROR(MATCH(U14,Tables!$A$123:$A$138,1),1),ROWS(Tables!$A$123:$A$138)-1)))+(U14-INDEX(Tables!$A$123:$A$138,MAX(1,MIN(IFERROR(MATCH(U14,Tables!$A$123:$A$138,1),1),ROWS(Tables!$A$123:$A$138)-1))))*(INDEX(Tables!$B$123:$B$138,MAX(1,MIN(IFERROR(MATCH(U14,Tables!$A$123:$A$138,1),1),ROWS(Tables!$A$123:$A$138)-1))+1)-INDEX(Tables!$B$123:$B$138,MAX(1,MIN(IFERROR(MATCH(U14,Tables!$A$123:$A$138,1),1),ROWS(Tables!$A$123:$A$138)-1))))/(INDEX(Tables!$A$123:$A$138,MAX(1,MIN(IFERROR(MATCH(U14,Tables!$A$123:$A$138,1),1),ROWS(Tables!$A$123:$A$138)-1))+1)-INDEX(Tables!$A$123:$A$138,MAX(1,MIN(IFERROR(MATCH(U14,Tables!$A$123:$A$138,1),1),ROWS(Tables!$A$123:$A$138)-1))))),IF(P14&lt;8,(INDEX(Tables!$D$123:$D$138,MAX(1,MIN(IFERROR(MATCH(U14,Tables!$C$123:$C$138,1),1),ROWS(Tables!$C$123:$C$138)-1)))+(U14-INDEX(Tables!$C$123:$C$138,MAX(1,MIN(IFERROR(MATCH(U14,Tables!$C$123:$C$138,1),1),ROWS(Tables!$C$123:$C$138)-1))))*(INDEX(Tables!$D$123:$D$138,MAX(1,MIN(IFERROR(MATCH(U14,Tables!$C$123:$C$138,1),1),ROWS(Tables!$C$123:$C$138)-1))+1)-INDEX(Tables!$D$123:$D$138,MAX(1,MIN(IFERROR(MATCH(U14,Tables!$C$123:$C$138,1),1),ROWS(Tables!$C$123:$C$138)-1))))/(INDEX(Tables!$C$123:$C$138,MAX(1,MIN(IFERROR(MATCH(U14,Tables!$C$123:$C$138,1),1),ROWS(Tables!$C$123:$C$138)-1))+1)-INDEX(Tables!$C$123:$C$138,MAX(1,MIN(IFERROR(MATCH(U14,Tables!$C$123:$C$138,1),1),ROWS(Tables!$C$123:$C$138)-1))))),IF(P14&lt;10,(INDEX(Tables!$F$123:$F$138,MAX(1,MIN(IFERROR(MATCH(U14,Tables!$E$123:$E$138,1),1),ROWS(Tables!$E$123:$E$138)-1)))+(U14-INDEX(Tables!$E$123:$E$138,MAX(1,MIN(IFERROR(MATCH(U14,Tables!$E$123:$E$138,1),1),ROWS(Tables!$E$123:$E$138)-1))))*(INDEX(Tables!$F$123:$F$138,MAX(1,MIN(IFERROR(MATCH(U14,Tables!$E$123:$E$138,1),1),ROWS(Tables!$E$123:$E$138)-1))+1)-INDEX(Tables!$F$123:$F$138,MAX(1,MIN(IFERROR(MATCH(U14,Tables!$E$123:$E$138,1),1),ROWS(Tables!$E$123:$E$138)-1))))/(INDEX(Tables!$E$123:$E$138,MAX(1,MIN(IFERROR(MATCH(U14,Tables!$E$123:$E$138,1),1),ROWS(Tables!$E$123:$E$138)-1))+1)-INDEX(Tables!$E$123:$E$138,MAX(1,MIN(IFERROR(MATCH(U14,Tables!$E$123:$E$138,1),1),ROWS(Tables!$E$123:$E$138)-1))))),(INDEX(Tables!$H$123:$H$138,MAX(1,MIN(IFERROR(MATCH(U14,Tables!$G$123:$G$138,1),1),ROWS(Tables!$G$123:$G$138)-1)))+(U14-INDEX(Tables!$G$123:$G$138,MAX(1,MIN(IFERROR(MATCH(U14,Tables!$G$123:$G$138,1),1),ROWS(Tables!$G$123:$G$138)-1))))*(INDEX(Tables!$H$123:$H$138,MAX(1,MIN(IFERROR(MATCH(U14,Tables!$G$123:$G$138,1),1),ROWS(Tables!$G$123:$G$138)-1))+1)-INDEX(Tables!$H$123:$H$138,MAX(1,MIN(IFERROR(MATCH(U14,Tables!$G$123:$G$138,1),1),ROWS(Tables!$G$123:$G$138)-1))))/(INDEX(Tables!$G$123:$G$138,MAX(1,MIN(IFERROR(MATCH(U14,Tables!$G$123:$G$138,1),1),ROWS(Tables!$G$123:$G$138)-1))+1)-INDEX(Tables!$G$123:$G$138,MAX(1,MIN(IFERROR(MATCH(U14,Tables!$G$123:$G$138,1),1),ROWS(Tables!$G$123:$G$138)-1))))))))</f>
        <v>0.50060000000000004</v>
      </c>
      <c r="AR14" s="181">
        <f>IF(OR(P14&gt;=4,U14&gt;12),VLOOKUP(R14&amp;" "&amp;S14,Tables!$D$143:$F$148,2,FALSE),VLOOKUP(R14&amp;" "&amp;S14,Tables!$A$143:$C$148,2,FALSE))</f>
        <v>0.9</v>
      </c>
      <c r="AS14" s="181">
        <f>IF(OR(P14&gt;=4,U14&gt;12),VLOOKUP(R14&amp;" "&amp;S14,Tables!$D$143:$F$148,3,FALSE),VLOOKUP(R14&amp;" "&amp;S14,Tables!$A$143:$C$148,3,FALSE))</f>
        <v>1</v>
      </c>
      <c r="AT14" s="181">
        <f t="shared" si="8"/>
        <v>562.45352444884554</v>
      </c>
      <c r="AU14" s="181">
        <f>IF(AD14=5000,(INDEX(Tables!$B$244:$B$263,MAX(1,MIN(IFERROR(MATCH(AF14,Tables!$A$244:$A$263,1),1),ROWS(Tables!$A$244:$A$263)-1)))+(AF14-INDEX(Tables!$A$244:$A$263,MAX(1,MIN(IFERROR(MATCH(AF14,Tables!$A$244:$A$263,1),1),ROWS(Tables!$A$244:$A$263)-1))))*(INDEX(Tables!$B$244:$B$263,MAX(1,MIN(IFERROR(MATCH(AF14,Tables!$A$244:$A$263,1),1),ROWS(Tables!$A$244:$A$263)-1))+1)-INDEX(Tables!$B$244:$B$263,MAX(1,MIN(IFERROR(MATCH(AF14,Tables!$A$244:$A$263,1),1),ROWS(Tables!$A$244:$A$263)-1))))/(INDEX(Tables!$A$244:$A$263,MAX(1,MIN(IFERROR(MATCH(AF14,Tables!$A$244:$A$263,1),1),ROWS(Tables!$A$244:$A$263)-1))+1)-INDEX(Tables!$A$244:$A$263,MAX(1,MIN(IFERROR(MATCH(AF14,Tables!$A$244:$A$263,1),1),ROWS(Tables!$A$244:$A$263)-1))))),IF(AD14=10000,(INDEX(Tables!$D$244:$D$263,MAX(1,MIN(IFERROR(MATCH(AF14,Tables!$C$244:$C$263,1),1),ROWS(Tables!$C$244:$C$263)-1)))+(AF14-INDEX(Tables!$C$244:$C$263,MAX(1,MIN(IFERROR(MATCH(AF14,Tables!$C$244:$C$263,1),1),ROWS(Tables!$C$244:$C$263)-1))))*(INDEX(Tables!$D$244:$D$263,MAX(1,MIN(IFERROR(MATCH(AF14,Tables!$C$244:$C$263,1),1),ROWS(Tables!$C$244:$C$263)-1))+1)-INDEX(Tables!$D$244:$D$263,MAX(1,MIN(IFERROR(MATCH(AF14,Tables!$C$244:$C$263,1),1),ROWS(Tables!$C$244:$C$263)-1))))/(INDEX(Tables!$C$244:$C$263,MAX(1,MIN(IFERROR(MATCH(AF14,Tables!$C$244:$C$263,1),1),ROWS(Tables!$C$244:$C$263)-1))+1)-INDEX(Tables!$C$244:$C$263,MAX(1,MIN(IFERROR(MATCH(AF14,Tables!$C$244:$C$263,1),1),ROWS(Tables!$C$244:$C$263)-1))))),(INDEX(Tables!$F$244:$F$263,MAX(1,MIN(IFERROR(MATCH(AF14,Tables!$E$244:$E$263,1),1),ROWS(Tables!$E$244:$E$263)-1)))+(AF14-INDEX(Tables!$E$244:$E$263,MAX(1,MIN(IFERROR(MATCH(AF14,Tables!$E$244:$E$263,1),1),ROWS(Tables!$E$244:$E$263)-1))))*(INDEX(Tables!$F$244:$F$263,MAX(1,MIN(IFERROR(MATCH(AF14,Tables!$E$244:$E$263,1),1),ROWS(Tables!$E$244:$E$263)-1))+1)-INDEX(Tables!$F$244:$F$263,MAX(1,MIN(IFERROR(MATCH(AF14,Tables!$E$244:$E$263,1),1),ROWS(Tables!$E$244:$E$263)-1))))/(INDEX(Tables!$E$244:$E$263,MAX(1,MIN(IFERROR(MATCH(AF14,Tables!$E$244:$E$263,1),1),ROWS(Tables!$E$244:$E$263)-1))+1)-INDEX(Tables!$E$244:$E$263,MAX(1,MIN(IFERROR(MATCH(AF14,Tables!$E$244:$E$263,1),1),ROWS(Tables!$E$244:$E$263)-1)))))))</f>
        <v>9.9424691358024688</v>
      </c>
      <c r="AV14" s="181">
        <f>IF(P14&lt;6,(INDEX(Tables!$B$260:$B$274,MAX(1,MIN(IFERROR(MATCH(U14,Tables!$A$260:$A$274,1),1),ROWS(Tables!$A$260:$A$274)-1)))+(U14-INDEX(Tables!$A$260:$A$274,MAX(1,MIN(IFERROR(MATCH(U14,Tables!$A$260:$A$274,1),1),ROWS(Tables!$A$260:$A$274)-1))))*(INDEX(Tables!$B$260:$B$274,MAX(1,MIN(IFERROR(MATCH(U14,Tables!$A$260:$A$274,1),1),ROWS(Tables!$A$260:$A$274)-1))+1)-INDEX(Tables!$B$260:$B$274,MAX(1,MIN(IFERROR(MATCH(U14,Tables!$A$260:$A$274,1),1),ROWS(Tables!$A$260:$A$274)-1))))/(INDEX(Tables!$A$260:$A$274,MAX(1,MIN(IFERROR(MATCH(U14,Tables!$A$260:$A$274,1),1),ROWS(Tables!$A$260:$A$274)-1))+1)-INDEX(Tables!$A$260:$A$274,MAX(1,MIN(IFERROR(MATCH(U14,Tables!$A$260:$A$274,1),1),ROWS(Tables!$A$260:$A$274)-1))))),IF(P14&lt;8,(INDEX(Tables!$D$260:$D$274,MAX(1,MIN(IFERROR(MATCH(U14,Tables!$C$260:$C$274,1),1),ROWS(Tables!$C$260:$C$274)-1)))+(U14-INDEX(Tables!$C$260:$C$274,MAX(1,MIN(IFERROR(MATCH(U14,Tables!$C$260:$C$274,1),1),ROWS(Tables!$C$260:$C$274)-1))))*(INDEX(Tables!$D$260:$D$274,MAX(1,MIN(IFERROR(MATCH(U14,Tables!$C$260:$C$274,1),1),ROWS(Tables!$C$260:$C$274)-1))+1)-INDEX(Tables!$D$260:$D$274,MAX(1,MIN(IFERROR(MATCH(U14,Tables!$C$260:$C$274,1),1),ROWS(Tables!$C$260:$C$274)-1))))/(INDEX(Tables!$C$260:$C$274,MAX(1,MIN(IFERROR(MATCH(U14,Tables!$C$260:$C$274,1),1),ROWS(Tables!$C$260:$C$274)-1))+1)-INDEX(Tables!$C$260:$C$274,MAX(1,MIN(IFERROR(MATCH(U14,Tables!$C$260:$C$274,1),1),ROWS(Tables!$C$260:$C$274)-1))))),IF(P14&lt;10,(INDEX(Tables!$F$260:$F$274,MAX(1,MIN(IFERROR(MATCH(U14,Tables!$E$260:$E$274,1),1),ROWS(Tables!$E$260:$E$274)-1)))+(U14-INDEX(Tables!$E$260:$E$274,MAX(1,MIN(IFERROR(MATCH(U14,Tables!$E$260:$E$274,1),1),ROWS(Tables!$E$260:$E$274)-1))))*(INDEX(Tables!$F$260:$F$274,MAX(1,MIN(IFERROR(MATCH(U14,Tables!$E$260:$E$274,1),1),ROWS(Tables!$E$260:$E$274)-1))+1)-INDEX(Tables!$F$260:$F$274,MAX(1,MIN(IFERROR(MATCH(U14,Tables!$E$260:$E$274,1),1),ROWS(Tables!$E$260:$E$274)-1))))/(INDEX(Tables!$E$260:$E$274,MAX(1,MIN(IFERROR(MATCH(U14,Tables!$E$260:$E$274,1),1),ROWS(Tables!$E$260:$E$274)-1))+1)-INDEX(Tables!$E$260:$E$274,MAX(1,MIN(IFERROR(MATCH(U14,Tables!$E$260:$E$274,1),1),ROWS(Tables!$E$260:$E$274)-1))))),(INDEX(Tables!$H$260:$H$274,MAX(1,MIN(IFERROR(MATCH(U14,Tables!$G$260:$G$274,1),1),ROWS(Tables!$G$260:$G$274)-1)))+(U14-INDEX(Tables!$G$260:$G$274,MAX(1,MIN(IFERROR(MATCH(U14,Tables!$G$260:$G$274,1),1),ROWS(Tables!$G$260:$G$274)-1))))*(INDEX(Tables!$H$260:$H$274,MAX(1,MIN(IFERROR(MATCH(U14,Tables!$G$260:$G$274,1),1),ROWS(Tables!$G$260:$G$274)-1))+1)-INDEX(Tables!$H$260:$H$274,MAX(1,MIN(IFERROR(MATCH(U14,Tables!$G$260:$G$274,1),1),ROWS(Tables!$G$260:$G$274)-1))))/(INDEX(Tables!$G$260:$G$274,MAX(1,MIN(IFERROR(MATCH(U14,Tables!$G$260:$G$274,1),1),ROWS(Tables!$G$260:$G$274)-1))+1)-INDEX(Tables!$G$260:$G$274,MAX(1,MIN(IFERROR(MATCH(U14,Tables!$G$260:$G$274,1),1),ROWS(Tables!$G$260:$G$274)-1))))))))</f>
        <v>0.51828571428571424</v>
      </c>
      <c r="AW14" s="181">
        <f t="shared" si="9"/>
        <v>396.88617643674451</v>
      </c>
      <c r="AX14" s="181">
        <f t="shared" si="10"/>
        <v>35500</v>
      </c>
      <c r="AY14" s="181">
        <f t="shared" si="11"/>
        <v>47289.469001085301</v>
      </c>
      <c r="AZ14" s="181">
        <f t="shared" si="12"/>
        <v>14414.990819427681</v>
      </c>
      <c r="BA14" s="181">
        <f t="shared" si="13"/>
        <v>-1000</v>
      </c>
      <c r="BB14" s="181">
        <f t="shared" si="14"/>
        <v>42721.341704621715</v>
      </c>
      <c r="BC14" s="181">
        <f t="shared" si="15"/>
        <v>46800</v>
      </c>
      <c r="BD14" s="181">
        <f>VLOOKUP(V14&amp;" "&amp;J14,Tables!$A$152:$E$239,4,FALSE)</f>
        <v>12000</v>
      </c>
      <c r="BE14" s="181">
        <f>VLOOKUP(V14&amp;" "&amp;J14,Tables!$A$152:$E$239,5,FALSE)</f>
        <v>23000</v>
      </c>
      <c r="BF14" s="181">
        <f t="shared" si="16"/>
        <v>8640</v>
      </c>
      <c r="BG14" s="181">
        <f t="shared" si="17"/>
        <v>16560</v>
      </c>
      <c r="BH14" s="181">
        <f t="shared" si="18"/>
        <v>36000</v>
      </c>
      <c r="BI14" s="181">
        <f t="shared" si="19"/>
        <v>46800</v>
      </c>
      <c r="BJ14" s="181">
        <f t="shared" si="20"/>
        <v>42721.341704621715</v>
      </c>
      <c r="BK14" s="181">
        <f t="shared" si="21"/>
        <v>46800</v>
      </c>
      <c r="BL14" s="181">
        <f t="shared" si="22"/>
        <v>396.88617643674451</v>
      </c>
      <c r="BM14" s="181">
        <f t="shared" si="23"/>
        <v>8640</v>
      </c>
      <c r="BN14" s="181">
        <f t="shared" si="24"/>
        <v>562.45352444884554</v>
      </c>
      <c r="BO14" s="181">
        <f t="shared" si="25"/>
        <v>16560</v>
      </c>
      <c r="BP14" t="str">
        <f t="shared" si="26"/>
        <v>Pass</v>
      </c>
      <c r="BQ14" t="str">
        <f t="shared" si="27"/>
        <v>Pass</v>
      </c>
      <c r="BR14" t="str">
        <f t="shared" si="28"/>
        <v>Pass</v>
      </c>
      <c r="BS14" t="str">
        <f t="shared" si="29"/>
        <v>Pass</v>
      </c>
      <c r="BT14" t="str">
        <f t="shared" si="30"/>
        <v>Pass</v>
      </c>
      <c r="BU14" t="str">
        <f t="shared" si="31"/>
        <v>Effective Stress</v>
      </c>
    </row>
    <row r="15" spans="1:73">
      <c r="A15" t="s">
        <v>607</v>
      </c>
      <c r="B15" s="181">
        <v>13</v>
      </c>
      <c r="C15" t="s">
        <v>594</v>
      </c>
      <c r="D15" s="181">
        <v>48</v>
      </c>
      <c r="E15" s="181">
        <v>0.5</v>
      </c>
      <c r="F15" t="s">
        <v>117</v>
      </c>
      <c r="G15" t="s">
        <v>119</v>
      </c>
      <c r="H15" t="s">
        <v>122</v>
      </c>
      <c r="I15" s="181">
        <v>1</v>
      </c>
      <c r="J15" t="s">
        <v>126</v>
      </c>
      <c r="K15" t="s">
        <v>129</v>
      </c>
      <c r="L15" s="181">
        <v>70</v>
      </c>
      <c r="M15" s="181">
        <v>1000</v>
      </c>
      <c r="N15" t="s">
        <v>141</v>
      </c>
      <c r="O15" s="181">
        <v>120</v>
      </c>
      <c r="P15" s="181">
        <v>30</v>
      </c>
      <c r="Q15" s="181">
        <v>50</v>
      </c>
      <c r="R15" t="s">
        <v>418</v>
      </c>
      <c r="S15" t="s">
        <v>156</v>
      </c>
      <c r="T15" s="181">
        <v>70</v>
      </c>
      <c r="U15" s="181">
        <f>HLOOKUP(D15,'Highway Loading'!$C$155:$AD$156,2,FALSE)</f>
        <v>48</v>
      </c>
      <c r="V15" s="181">
        <f>IF(ISBLANK(G15),"",INDEX('Highway Loading'!$C$216:$AG$216,1,MATCH(G15,'Highway Loading'!$C$215:$AG$215,0)))</f>
        <v>65000</v>
      </c>
      <c r="W15" s="181">
        <f>INDEX('Highway Loading'!$I$245:$L$253,MATCH(H15,'Highway Loading'!$H$245:$H$253,0),MATCH(I15,'Highway Loading'!$I$244:$L$244,0))</f>
        <v>0.72</v>
      </c>
      <c r="X15" s="181">
        <f t="shared" si="0"/>
        <v>1</v>
      </c>
      <c r="Y15" s="181">
        <f>VLOOKUP(K15,'Highway Loading'!$B$283:$E$292,2,FALSE)</f>
        <v>29000000</v>
      </c>
      <c r="Z15" s="181">
        <f>VLOOKUP(K15,'Highway Loading'!$B$283:$E$292,3,FALSE)</f>
        <v>0.3</v>
      </c>
      <c r="AA15" s="181">
        <f>VLOOKUP(K15,'Highway Loading'!$B$283:$E$292,4,FALSE)</f>
        <v>6.4999999999999996E-6</v>
      </c>
      <c r="AB15" s="181">
        <f t="shared" si="1"/>
        <v>1</v>
      </c>
      <c r="AC15" s="181">
        <f>VLOOKUP(N15,'Highway Loading'!$B$256:$D$261,2,FALSE)</f>
        <v>500</v>
      </c>
      <c r="AD15" s="181">
        <f>VLOOKUP(N15,'Highway Loading'!$B$256:$D$261,3,FALSE)</f>
        <v>10000</v>
      </c>
      <c r="AE15" s="181">
        <f>VLOOKUP(S15,'Highway Loading'!$B$340:$C$341,2,FALSE)</f>
        <v>10000</v>
      </c>
      <c r="AF15" s="181">
        <f t="shared" si="2"/>
        <v>1.0416666666666666E-2</v>
      </c>
      <c r="AG15" s="181">
        <f t="shared" si="3"/>
        <v>7.2</v>
      </c>
      <c r="AH15" s="181">
        <f t="shared" si="4"/>
        <v>1.0416666666666667</v>
      </c>
      <c r="AI15" s="181">
        <f t="shared" si="5"/>
        <v>48000</v>
      </c>
      <c r="AJ15" s="181">
        <f t="shared" si="6"/>
        <v>46800</v>
      </c>
      <c r="AK15" s="181">
        <f>IF(AC15=200,(INDEX(Tables!$B$17:$B$38,MAX(1,MIN(IFERROR(MATCH(AF15,Tables!$A$17:$A$38,1),1),ROWS(Tables!$A$17:$A$38)-1)))+(AF15-INDEX(Tables!$A$17:$A$38,MAX(1,MIN(IFERROR(MATCH(AF15,Tables!$A$17:$A$38,1),1),ROWS(Tables!$A$17:$A$38)-1))))*(INDEX(Tables!$B$17:$B$38,MAX(1,MIN(IFERROR(MATCH(AF15,Tables!$A$17:$A$38,1),1),ROWS(Tables!$A$17:$A$38)-1))+1)-INDEX(Tables!$B$17:$B$38,MAX(1,MIN(IFERROR(MATCH(AF15,Tables!$A$17:$A$38,1),1),ROWS(Tables!$A$17:$A$38)-1))))/(INDEX(Tables!$A$17:$A$38,MAX(1,MIN(IFERROR(MATCH(AF15,Tables!$A$17:$A$38,1),1),ROWS(Tables!$A$17:$A$38)-1))+1)-INDEX(Tables!$A$17:$A$38,MAX(1,MIN(IFERROR(MATCH(AF15,Tables!$A$17:$A$38,1),1),ROWS(Tables!$A$17:$A$38)-1))))),IF(AC15=500,(INDEX(Tables!$D$17:$D$38,MAX(1,MIN(IFERROR(MATCH(AF15,Tables!$C$17:$C$38,1),1),ROWS(Tables!$C$17:$C$38)-1)))+(AF15-INDEX(Tables!$C$17:$C$38,MAX(1,MIN(IFERROR(MATCH(AF15,Tables!$C$17:$C$38,1),1),ROWS(Tables!$C$17:$C$38)-1))))*(INDEX(Tables!$D$17:$D$38,MAX(1,MIN(IFERROR(MATCH(AF15,Tables!$C$17:$C$38,1),1),ROWS(Tables!$C$17:$C$38)-1))+1)-INDEX(Tables!$D$17:$D$38,MAX(1,MIN(IFERROR(MATCH(AF15,Tables!$C$17:$C$38,1),1),ROWS(Tables!$C$17:$C$38)-1))))/(INDEX(Tables!$C$17:$C$38,MAX(1,MIN(IFERROR(MATCH(AF15,Tables!$C$17:$C$38,1),1),ROWS(Tables!$C$17:$C$38)-1))+1)-INDEX(Tables!$C$17:$C$38,MAX(1,MIN(IFERROR(MATCH(AF15,Tables!$C$17:$C$38,1),1),ROWS(Tables!$C$17:$C$38)-1))))),IF(AC15=1000,(INDEX(Tables!$F$17:$F$38,MAX(1,MIN(IFERROR(MATCH(AF15,Tables!$E$17:$E$38,1),1),ROWS(Tables!$E$17:$E$38)-1)))+(AF15-INDEX(Tables!$E$17:$E$38,MAX(1,MIN(IFERROR(MATCH(AF15,Tables!$E$17:$E$38,1),1),ROWS(Tables!$E$17:$E$38)-1))))*(INDEX(Tables!$F$17:$F$38,MAX(1,MIN(IFERROR(MATCH(AF15,Tables!$E$17:$E$38,1),1),ROWS(Tables!$E$17:$E$38)-1))+1)-INDEX(Tables!$F$17:$F$38,MAX(1,MIN(IFERROR(MATCH(AF15,Tables!$E$17:$E$38,1),1),ROWS(Tables!$E$17:$E$38)-1))))/(INDEX(Tables!$E$17:$E$38,MAX(1,MIN(IFERROR(MATCH(AF15,Tables!$E$17:$E$38,1),1),ROWS(Tables!$E$17:$E$38)-1))+1)-INDEX(Tables!$E$17:$E$38,MAX(1,MIN(IFERROR(MATCH(AF15,Tables!$E$17:$E$38,1),1),ROWS(Tables!$E$17:$E$38)-1))))),(INDEX(Tables!$H$17:$H$38,MAX(1,MIN(IFERROR(MATCH(AF15,Tables!$G$17:$G$38,1),1),ROWS(Tables!$G$17:$G$38)-1)))+(AF15-INDEX(Tables!$G$17:$G$38,MAX(1,MIN(IFERROR(MATCH(AF15,Tables!$G$17:$G$38,1),1),ROWS(Tables!$G$17:$G$38)-1))))*(INDEX(Tables!$H$17:$H$38,MAX(1,MIN(IFERROR(MATCH(AF15,Tables!$G$17:$G$38,1),1),ROWS(Tables!$G$17:$G$38)-1))+1)-INDEX(Tables!$H$17:$H$38,MAX(1,MIN(IFERROR(MATCH(AF15,Tables!$G$17:$G$38,1),1),ROWS(Tables!$G$17:$G$38)-1))))/(INDEX(Tables!$G$17:$G$38,MAX(1,MIN(IFERROR(MATCH(AF15,Tables!$G$17:$G$38,1),1),ROWS(Tables!$G$17:$G$38)-1))+1)-INDEX(Tables!$G$17:$G$38,MAX(1,MIN(IFERROR(MATCH(AF15,Tables!$G$17:$G$38,1),1),ROWS(Tables!$G$17:$G$38)-1))))))))</f>
        <v>6129</v>
      </c>
      <c r="AL15" s="181">
        <f>IF(AC15&lt;1000,(INDEX(Tables!$B$43:$B$76,MAX(1,MIN(IFERROR(MATCH(AG15,Tables!$A$43:$A$76,1),1),ROWS(Tables!$A$43:$A$76)-1)))+(AG15-INDEX(Tables!$A$43:$A$76,MAX(1,MIN(IFERROR(MATCH(AG15,Tables!$A$43:$A$76,1),1),ROWS(Tables!$A$43:$A$76)-1))))*(INDEX(Tables!$B$43:$B$76,MAX(1,MIN(IFERROR(MATCH(AG15,Tables!$A$43:$A$76,1),1),ROWS(Tables!$A$43:$A$76)-1))+1)-INDEX(Tables!$B$43:$B$76,MAX(1,MIN(IFERROR(MATCH(AG15,Tables!$A$43:$A$76,1),1),ROWS(Tables!$A$43:$A$76)-1))))/(INDEX(Tables!$A$43:$A$76,MAX(1,MIN(IFERROR(MATCH(AG15,Tables!$A$43:$A$76,1),1),ROWS(Tables!$A$43:$A$76)-1))+1)-INDEX(Tables!$A$43:$A$76,MAX(1,MIN(IFERROR(MATCH(AG15,Tables!$A$43:$A$76,1),1),ROWS(Tables!$A$43:$A$76)-1))))),(INDEX(Tables!$D$43:$D$76,MAX(1,MIN(IFERROR(MATCH(AG15,Tables!$C$43:$C$76,1),1),ROWS(Tables!$C$43:$C$76)-1)))+(AG15-INDEX(Tables!$C$43:$C$76,MAX(1,MIN(IFERROR(MATCH(AG15,Tables!$C$43:$C$76,1),1),ROWS(Tables!$C$43:$C$76)-1))))*(INDEX(Tables!$D$43:$D$76,MAX(1,MIN(IFERROR(MATCH(AG15,Tables!$C$43:$C$76,1),1),ROWS(Tables!$C$43:$C$76)-1))+1)-INDEX(Tables!$D$43:$D$76,MAX(1,MIN(IFERROR(MATCH(AG15,Tables!$C$43:$C$76,1),1),ROWS(Tables!$C$43:$C$76)-1))))/(INDEX(Tables!$C$43:$C$76,MAX(1,MIN(IFERROR(MATCH(AG15,Tables!$C$43:$C$76,1),1),ROWS(Tables!$C$43:$C$76)-1))+1)-INDEX(Tables!$C$43:$C$76,MAX(1,MIN(IFERROR(MATCH(AG15,Tables!$C$43:$C$76,1),1),ROWS(Tables!$C$43:$C$76)-1))))))</f>
        <v>1.224</v>
      </c>
      <c r="AM15" s="181">
        <f>(INDEX(Tables!$B$80:$B$87,MAX(1,MIN(IFERROR(MATCH(AH15,Tables!$A$80:$A$87,1),1),ROWS(Tables!$A$80:$A$87)-1)))+(AH15-INDEX(Tables!$A$80:$A$87,MAX(1,MIN(IFERROR(MATCH(AH15,Tables!$A$80:$A$87,1),1),ROWS(Tables!$A$80:$A$87)-1))))*(INDEX(Tables!$B$80:$B$87,MAX(1,MIN(IFERROR(MATCH(AH15,Tables!$A$80:$A$87,1),1),ROWS(Tables!$A$80:$A$87)-1))+1)-INDEX(Tables!$B$80:$B$87,MAX(1,MIN(IFERROR(MATCH(AH15,Tables!$A$80:$A$87,1),1),ROWS(Tables!$A$80:$A$87)-1))))/(INDEX(Tables!$A$80:$A$87,MAX(1,MIN(IFERROR(MATCH(AH15,Tables!$A$80:$A$87,1),1),ROWS(Tables!$A$80:$A$87)-1))+1)-INDEX(Tables!$A$80:$A$87,MAX(1,MIN(IFERROR(MATCH(AH15,Tables!$A$80:$A$87,1),1),ROWS(Tables!$A$80:$A$87)-1)))))</f>
        <v>0.89595000000000002</v>
      </c>
      <c r="AN15" s="181">
        <f t="shared" si="7"/>
        <v>22404.412404000002</v>
      </c>
      <c r="AO15" s="181">
        <f>(INDEX(Tables!$B$91:$B$94,MAX(1,MIN(IFERROR(MATCH(P15,Tables!$A$91:$A$94,1),1),ROWS(Tables!$A$91:$A$94)-1)))+(P15-INDEX(Tables!$A$91:$A$94,MAX(1,MIN(IFERROR(MATCH(P15,Tables!$A$91:$A$94,1),1),ROWS(Tables!$A$91:$A$94)-1))))*(INDEX(Tables!$B$91:$B$94,MAX(1,MIN(IFERROR(MATCH(P15,Tables!$A$91:$A$94,1),1),ROWS(Tables!$A$91:$A$94)-1))+1)-INDEX(Tables!$B$91:$B$94,MAX(1,MIN(IFERROR(MATCH(P15,Tables!$A$91:$A$94,1),1),ROWS(Tables!$A$91:$A$94)-1))))/(INDEX(Tables!$A$91:$A$94,MAX(1,MIN(IFERROR(MATCH(P15,Tables!$A$91:$A$94,1),1),ROWS(Tables!$A$91:$A$94)-1))+1)-INDEX(Tables!$A$91:$A$94,MAX(1,MIN(IFERROR(MATCH(P15,Tables!$A$91:$A$94,1),1),ROWS(Tables!$A$91:$A$94)-1)))))</f>
        <v>1</v>
      </c>
      <c r="AP15" s="181">
        <f>IF(AD15=5000,(INDEX(Tables!$B$99:$B$118,MAX(1,MIN(IFERROR(MATCH(AF15,Tables!$A$99:$A$118,1),1),ROWS(Tables!$A$99:$A$118)-1)))+(AF15-INDEX(Tables!$A$99:$A$118,MAX(1,MIN(IFERROR(MATCH(AF15,Tables!$A$99:$A$118,1),1),ROWS(Tables!$A$99:$A$118)-1))))*(INDEX(Tables!$B$99:$B$118,MAX(1,MIN(IFERROR(MATCH(AF15,Tables!$A$99:$A$118,1),1),ROWS(Tables!$A$99:$A$118)-1))+1)-INDEX(Tables!$B$99:$B$118,MAX(1,MIN(IFERROR(MATCH(AF15,Tables!$A$99:$A$118,1),1),ROWS(Tables!$A$99:$A$118)-1))))/(INDEX(Tables!$A$99:$A$118,MAX(1,MIN(IFERROR(MATCH(AF15,Tables!$A$99:$A$118,1),1),ROWS(Tables!$A$99:$A$118)-1))+1)-INDEX(Tables!$A$99:$A$118,MAX(1,MIN(IFERROR(MATCH(AF15,Tables!$A$99:$A$118,1),1),ROWS(Tables!$A$99:$A$118)-1))))),IF(AD15=10000,(INDEX(Tables!$D$99:$D$118,MAX(1,MIN(IFERROR(MATCH(AF15,Tables!$C$99:$C$118,1),1),ROWS(Tables!$C$99:$C$118)-1)))+(AF15-INDEX(Tables!$C$99:$C$118,MAX(1,MIN(IFERROR(MATCH(AF15,Tables!$C$99:$C$118,1),1),ROWS(Tables!$C$99:$C$118)-1))))*(INDEX(Tables!$D$99:$D$118,MAX(1,MIN(IFERROR(MATCH(AF15,Tables!$C$99:$C$118,1),1),ROWS(Tables!$C$99:$C$118)-1))+1)-INDEX(Tables!$D$99:$D$118,MAX(1,MIN(IFERROR(MATCH(AF15,Tables!$C$99:$C$118,1),1),ROWS(Tables!$C$99:$C$118)-1))))/(INDEX(Tables!$C$99:$C$118,MAX(1,MIN(IFERROR(MATCH(AF15,Tables!$C$99:$C$118,1),1),ROWS(Tables!$C$99:$C$118)-1))+1)-INDEX(Tables!$C$99:$C$118,MAX(1,MIN(IFERROR(MATCH(AF15,Tables!$C$99:$C$118,1),1),ROWS(Tables!$C$99:$C$118)-1))))),(INDEX(Tables!$F$99:$F$118,MAX(1,MIN(IFERROR(MATCH(AF15,Tables!$E$99:$E$118,1),1),ROWS(Tables!$E$99:$E$118)-1)))+(AF15-INDEX(Tables!$E$99:$E$118,MAX(1,MIN(IFERROR(MATCH(AF15,Tables!$E$99:$E$118,1),1),ROWS(Tables!$E$99:$E$118)-1))))*(INDEX(Tables!$F$99:$F$118,MAX(1,MIN(IFERROR(MATCH(AF15,Tables!$E$99:$E$118,1),1),ROWS(Tables!$E$99:$E$118)-1))+1)-INDEX(Tables!$F$99:$F$118,MAX(1,MIN(IFERROR(MATCH(AF15,Tables!$E$99:$E$118,1),1),ROWS(Tables!$E$99:$E$118)-1))))/(INDEX(Tables!$E$99:$E$118,MAX(1,MIN(IFERROR(MATCH(AF15,Tables!$E$99:$E$118,1),1),ROWS(Tables!$E$99:$E$118)-1))+1)-INDEX(Tables!$E$99:$E$118,MAX(1,MIN(IFERROR(MATCH(AF15,Tables!$E$99:$E$118,1),1),ROWS(Tables!$E$99:$E$118)-1)))))))</f>
        <v>12.907736434108527</v>
      </c>
      <c r="AQ15" s="181">
        <f>IF(P15&lt;6,(INDEX(Tables!$B$123:$B$138,MAX(1,MIN(IFERROR(MATCH(U15,Tables!$A$123:$A$138,1),1),ROWS(Tables!$A$123:$A$138)-1)))+(U15-INDEX(Tables!$A$123:$A$138,MAX(1,MIN(IFERROR(MATCH(U15,Tables!$A$123:$A$138,1),1),ROWS(Tables!$A$123:$A$138)-1))))*(INDEX(Tables!$B$123:$B$138,MAX(1,MIN(IFERROR(MATCH(U15,Tables!$A$123:$A$138,1),1),ROWS(Tables!$A$123:$A$138)-1))+1)-INDEX(Tables!$B$123:$B$138,MAX(1,MIN(IFERROR(MATCH(U15,Tables!$A$123:$A$138,1),1),ROWS(Tables!$A$123:$A$138)-1))))/(INDEX(Tables!$A$123:$A$138,MAX(1,MIN(IFERROR(MATCH(U15,Tables!$A$123:$A$138,1),1),ROWS(Tables!$A$123:$A$138)-1))+1)-INDEX(Tables!$A$123:$A$138,MAX(1,MIN(IFERROR(MATCH(U15,Tables!$A$123:$A$138,1),1),ROWS(Tables!$A$123:$A$138)-1))))),IF(P15&lt;8,(INDEX(Tables!$D$123:$D$138,MAX(1,MIN(IFERROR(MATCH(U15,Tables!$C$123:$C$138,1),1),ROWS(Tables!$C$123:$C$138)-1)))+(U15-INDEX(Tables!$C$123:$C$138,MAX(1,MIN(IFERROR(MATCH(U15,Tables!$C$123:$C$138,1),1),ROWS(Tables!$C$123:$C$138)-1))))*(INDEX(Tables!$D$123:$D$138,MAX(1,MIN(IFERROR(MATCH(U15,Tables!$C$123:$C$138,1),1),ROWS(Tables!$C$123:$C$138)-1))+1)-INDEX(Tables!$D$123:$D$138,MAX(1,MIN(IFERROR(MATCH(U15,Tables!$C$123:$C$138,1),1),ROWS(Tables!$C$123:$C$138)-1))))/(INDEX(Tables!$C$123:$C$138,MAX(1,MIN(IFERROR(MATCH(U15,Tables!$C$123:$C$138,1),1),ROWS(Tables!$C$123:$C$138)-1))+1)-INDEX(Tables!$C$123:$C$138,MAX(1,MIN(IFERROR(MATCH(U15,Tables!$C$123:$C$138,1),1),ROWS(Tables!$C$123:$C$138)-1))))),IF(P15&lt;10,(INDEX(Tables!$F$123:$F$138,MAX(1,MIN(IFERROR(MATCH(U15,Tables!$E$123:$E$138,1),1),ROWS(Tables!$E$123:$E$138)-1)))+(U15-INDEX(Tables!$E$123:$E$138,MAX(1,MIN(IFERROR(MATCH(U15,Tables!$E$123:$E$138,1),1),ROWS(Tables!$E$123:$E$138)-1))))*(INDEX(Tables!$F$123:$F$138,MAX(1,MIN(IFERROR(MATCH(U15,Tables!$E$123:$E$138,1),1),ROWS(Tables!$E$123:$E$138)-1))+1)-INDEX(Tables!$F$123:$F$138,MAX(1,MIN(IFERROR(MATCH(U15,Tables!$E$123:$E$138,1),1),ROWS(Tables!$E$123:$E$138)-1))))/(INDEX(Tables!$E$123:$E$138,MAX(1,MIN(IFERROR(MATCH(U15,Tables!$E$123:$E$138,1),1),ROWS(Tables!$E$123:$E$138)-1))+1)-INDEX(Tables!$E$123:$E$138,MAX(1,MIN(IFERROR(MATCH(U15,Tables!$E$123:$E$138,1),1),ROWS(Tables!$E$123:$E$138)-1))))),(INDEX(Tables!$H$123:$H$138,MAX(1,MIN(IFERROR(MATCH(U15,Tables!$G$123:$G$138,1),1),ROWS(Tables!$G$123:$G$138)-1)))+(U15-INDEX(Tables!$G$123:$G$138,MAX(1,MIN(IFERROR(MATCH(U15,Tables!$G$123:$G$138,1),1),ROWS(Tables!$G$123:$G$138)-1))))*(INDEX(Tables!$H$123:$H$138,MAX(1,MIN(IFERROR(MATCH(U15,Tables!$G$123:$G$138,1),1),ROWS(Tables!$G$123:$G$138)-1))+1)-INDEX(Tables!$H$123:$H$138,MAX(1,MIN(IFERROR(MATCH(U15,Tables!$G$123:$G$138,1),1),ROWS(Tables!$G$123:$G$138)-1))))/(INDEX(Tables!$G$123:$G$138,MAX(1,MIN(IFERROR(MATCH(U15,Tables!$G$123:$G$138,1),1),ROWS(Tables!$G$123:$G$138)-1))+1)-INDEX(Tables!$G$123:$G$138,MAX(1,MIN(IFERROR(MATCH(U15,Tables!$G$123:$G$138,1),1),ROWS(Tables!$G$123:$G$138)-1))))))))</f>
        <v>0.46899999999999997</v>
      </c>
      <c r="AR15" s="181">
        <f>IF(OR(P15&gt;=4,U15&gt;12),VLOOKUP(R15&amp;" "&amp;S15,Tables!$D$143:$F$148,2,FALSE),VLOOKUP(R15&amp;" "&amp;S15,Tables!$A$143:$C$148,2,FALSE))</f>
        <v>0.9</v>
      </c>
      <c r="AS15" s="181">
        <f>IF(OR(P15&gt;=4,U15&gt;12),VLOOKUP(R15&amp;" "&amp;S15,Tables!$D$143:$F$148,3,FALSE),VLOOKUP(R15&amp;" "&amp;S15,Tables!$A$143:$C$148,3,FALSE))</f>
        <v>1</v>
      </c>
      <c r="AT15" s="181">
        <f t="shared" si="8"/>
        <v>378.35802422480617</v>
      </c>
      <c r="AU15" s="181">
        <f>IF(AD15=5000,(INDEX(Tables!$B$244:$B$263,MAX(1,MIN(IFERROR(MATCH(AF15,Tables!$A$244:$A$263,1),1),ROWS(Tables!$A$244:$A$263)-1)))+(AF15-INDEX(Tables!$A$244:$A$263,MAX(1,MIN(IFERROR(MATCH(AF15,Tables!$A$244:$A$263,1),1),ROWS(Tables!$A$244:$A$263)-1))))*(INDEX(Tables!$B$244:$B$263,MAX(1,MIN(IFERROR(MATCH(AF15,Tables!$A$244:$A$263,1),1),ROWS(Tables!$A$244:$A$263)-1))+1)-INDEX(Tables!$B$244:$B$263,MAX(1,MIN(IFERROR(MATCH(AF15,Tables!$A$244:$A$263,1),1),ROWS(Tables!$A$244:$A$263)-1))))/(INDEX(Tables!$A$244:$A$263,MAX(1,MIN(IFERROR(MATCH(AF15,Tables!$A$244:$A$263,1),1),ROWS(Tables!$A$244:$A$263)-1))+1)-INDEX(Tables!$A$244:$A$263,MAX(1,MIN(IFERROR(MATCH(AF15,Tables!$A$244:$A$263,1),1),ROWS(Tables!$A$244:$A$263)-1))))),IF(AD15=10000,(INDEX(Tables!$D$244:$D$263,MAX(1,MIN(IFERROR(MATCH(AF15,Tables!$C$244:$C$263,1),1),ROWS(Tables!$C$244:$C$263)-1)))+(AF15-INDEX(Tables!$C$244:$C$263,MAX(1,MIN(IFERROR(MATCH(AF15,Tables!$C$244:$C$263,1),1),ROWS(Tables!$C$244:$C$263)-1))))*(INDEX(Tables!$D$244:$D$263,MAX(1,MIN(IFERROR(MATCH(AF15,Tables!$C$244:$C$263,1),1),ROWS(Tables!$C$244:$C$263)-1))+1)-INDEX(Tables!$D$244:$D$263,MAX(1,MIN(IFERROR(MATCH(AF15,Tables!$C$244:$C$263,1),1),ROWS(Tables!$C$244:$C$263)-1))))/(INDEX(Tables!$C$244:$C$263,MAX(1,MIN(IFERROR(MATCH(AF15,Tables!$C$244:$C$263,1),1),ROWS(Tables!$C$244:$C$263)-1))+1)-INDEX(Tables!$C$244:$C$263,MAX(1,MIN(IFERROR(MATCH(AF15,Tables!$C$244:$C$263,1),1),ROWS(Tables!$C$244:$C$263)-1))))),(INDEX(Tables!$F$244:$F$263,MAX(1,MIN(IFERROR(MATCH(AF15,Tables!$E$244:$E$263,1),1),ROWS(Tables!$E$244:$E$263)-1)))+(AF15-INDEX(Tables!$E$244:$E$263,MAX(1,MIN(IFERROR(MATCH(AF15,Tables!$E$244:$E$263,1),1),ROWS(Tables!$E$244:$E$263)-1))))*(INDEX(Tables!$F$244:$F$263,MAX(1,MIN(IFERROR(MATCH(AF15,Tables!$E$244:$E$263,1),1),ROWS(Tables!$E$244:$E$263)-1))+1)-INDEX(Tables!$F$244:$F$263,MAX(1,MIN(IFERROR(MATCH(AF15,Tables!$E$244:$E$263,1),1),ROWS(Tables!$E$244:$E$263)-1))))/(INDEX(Tables!$E$244:$E$263,MAX(1,MIN(IFERROR(MATCH(AF15,Tables!$E$244:$E$263,1),1),ROWS(Tables!$E$244:$E$263)-1))+1)-INDEX(Tables!$E$244:$E$263,MAX(1,MIN(IFERROR(MATCH(AF15,Tables!$E$244:$E$263,1),1),ROWS(Tables!$E$244:$E$263)-1)))))))</f>
        <v>9.7669999999999995</v>
      </c>
      <c r="AV15" s="181">
        <f>IF(P15&lt;6,(INDEX(Tables!$B$260:$B$274,MAX(1,MIN(IFERROR(MATCH(U15,Tables!$A$260:$A$274,1),1),ROWS(Tables!$A$260:$A$274)-1)))+(U15-INDEX(Tables!$A$260:$A$274,MAX(1,MIN(IFERROR(MATCH(U15,Tables!$A$260:$A$274,1),1),ROWS(Tables!$A$260:$A$274)-1))))*(INDEX(Tables!$B$260:$B$274,MAX(1,MIN(IFERROR(MATCH(U15,Tables!$A$260:$A$274,1),1),ROWS(Tables!$A$260:$A$274)-1))+1)-INDEX(Tables!$B$260:$B$274,MAX(1,MIN(IFERROR(MATCH(U15,Tables!$A$260:$A$274,1),1),ROWS(Tables!$A$260:$A$274)-1))))/(INDEX(Tables!$A$260:$A$274,MAX(1,MIN(IFERROR(MATCH(U15,Tables!$A$260:$A$274,1),1),ROWS(Tables!$A$260:$A$274)-1))+1)-INDEX(Tables!$A$260:$A$274,MAX(1,MIN(IFERROR(MATCH(U15,Tables!$A$260:$A$274,1),1),ROWS(Tables!$A$260:$A$274)-1))))),IF(P15&lt;8,(INDEX(Tables!$D$260:$D$274,MAX(1,MIN(IFERROR(MATCH(U15,Tables!$C$260:$C$274,1),1),ROWS(Tables!$C$260:$C$274)-1)))+(U15-INDEX(Tables!$C$260:$C$274,MAX(1,MIN(IFERROR(MATCH(U15,Tables!$C$260:$C$274,1),1),ROWS(Tables!$C$260:$C$274)-1))))*(INDEX(Tables!$D$260:$D$274,MAX(1,MIN(IFERROR(MATCH(U15,Tables!$C$260:$C$274,1),1),ROWS(Tables!$C$260:$C$274)-1))+1)-INDEX(Tables!$D$260:$D$274,MAX(1,MIN(IFERROR(MATCH(U15,Tables!$C$260:$C$274,1),1),ROWS(Tables!$C$260:$C$274)-1))))/(INDEX(Tables!$C$260:$C$274,MAX(1,MIN(IFERROR(MATCH(U15,Tables!$C$260:$C$274,1),1),ROWS(Tables!$C$260:$C$274)-1))+1)-INDEX(Tables!$C$260:$C$274,MAX(1,MIN(IFERROR(MATCH(U15,Tables!$C$260:$C$274,1),1),ROWS(Tables!$C$260:$C$274)-1))))),IF(P15&lt;10,(INDEX(Tables!$F$260:$F$274,MAX(1,MIN(IFERROR(MATCH(U15,Tables!$E$260:$E$274,1),1),ROWS(Tables!$E$260:$E$274)-1)))+(U15-INDEX(Tables!$E$260:$E$274,MAX(1,MIN(IFERROR(MATCH(U15,Tables!$E$260:$E$274,1),1),ROWS(Tables!$E$260:$E$274)-1))))*(INDEX(Tables!$F$260:$F$274,MAX(1,MIN(IFERROR(MATCH(U15,Tables!$E$260:$E$274,1),1),ROWS(Tables!$E$260:$E$274)-1))+1)-INDEX(Tables!$F$260:$F$274,MAX(1,MIN(IFERROR(MATCH(U15,Tables!$E$260:$E$274,1),1),ROWS(Tables!$E$260:$E$274)-1))))/(INDEX(Tables!$E$260:$E$274,MAX(1,MIN(IFERROR(MATCH(U15,Tables!$E$260:$E$274,1),1),ROWS(Tables!$E$260:$E$274)-1))+1)-INDEX(Tables!$E$260:$E$274,MAX(1,MIN(IFERROR(MATCH(U15,Tables!$E$260:$E$274,1),1),ROWS(Tables!$E$260:$E$274)-1))))),(INDEX(Tables!$H$260:$H$274,MAX(1,MIN(IFERROR(MATCH(U15,Tables!$G$260:$G$274,1),1),ROWS(Tables!$G$260:$G$274)-1)))+(U15-INDEX(Tables!$G$260:$G$274,MAX(1,MIN(IFERROR(MATCH(U15,Tables!$G$260:$G$274,1),1),ROWS(Tables!$G$260:$G$274)-1))))*(INDEX(Tables!$H$260:$H$274,MAX(1,MIN(IFERROR(MATCH(U15,Tables!$G$260:$G$274,1),1),ROWS(Tables!$G$260:$G$274)-1))+1)-INDEX(Tables!$H$260:$H$274,MAX(1,MIN(IFERROR(MATCH(U15,Tables!$G$260:$G$274,1),1),ROWS(Tables!$G$260:$G$274)-1))))/(INDEX(Tables!$G$260:$G$274,MAX(1,MIN(IFERROR(MATCH(U15,Tables!$G$260:$G$274,1),1),ROWS(Tables!$G$260:$G$274)-1))+1)-INDEX(Tables!$G$260:$G$274,MAX(1,MIN(IFERROR(MATCH(U15,Tables!$G$260:$G$274,1),1),ROWS(Tables!$G$260:$G$274)-1))))))))</f>
        <v>0.45700000000000002</v>
      </c>
      <c r="AW15" s="181">
        <f t="shared" si="9"/>
        <v>278.96993750000001</v>
      </c>
      <c r="AX15" s="181">
        <f t="shared" si="10"/>
        <v>47500</v>
      </c>
      <c r="AY15" s="181">
        <f t="shared" si="11"/>
        <v>70282.770428224816</v>
      </c>
      <c r="AZ15" s="181">
        <f t="shared" si="12"/>
        <v>21250.2936587</v>
      </c>
      <c r="BA15" s="181">
        <f t="shared" si="13"/>
        <v>-1000</v>
      </c>
      <c r="BB15" s="181">
        <f t="shared" si="14"/>
        <v>63168.396789753097</v>
      </c>
      <c r="BC15" s="181">
        <f t="shared" si="15"/>
        <v>46800</v>
      </c>
      <c r="BD15" s="181">
        <f>VLOOKUP(V15&amp;" "&amp;J15,Tables!$A$152:$E$239,4,FALSE)</f>
        <v>12000</v>
      </c>
      <c r="BE15" s="181">
        <f>VLOOKUP(V15&amp;" "&amp;J15,Tables!$A$152:$E$239,5,FALSE)</f>
        <v>23000</v>
      </c>
      <c r="BF15" s="181">
        <f t="shared" si="16"/>
        <v>8640</v>
      </c>
      <c r="BG15" s="181">
        <f t="shared" si="17"/>
        <v>16560</v>
      </c>
      <c r="BH15" s="181">
        <f t="shared" si="18"/>
        <v>48000</v>
      </c>
      <c r="BI15" s="181">
        <f t="shared" si="19"/>
        <v>46800</v>
      </c>
      <c r="BJ15" s="181">
        <f t="shared" si="20"/>
        <v>63168.396789753097</v>
      </c>
      <c r="BK15" s="181">
        <f t="shared" si="21"/>
        <v>46800</v>
      </c>
      <c r="BL15" s="181">
        <f t="shared" si="22"/>
        <v>278.96993750000001</v>
      </c>
      <c r="BM15" s="181">
        <f t="shared" si="23"/>
        <v>8640</v>
      </c>
      <c r="BN15" s="181">
        <f t="shared" si="24"/>
        <v>378.35802422480617</v>
      </c>
      <c r="BO15" s="181">
        <f t="shared" si="25"/>
        <v>16560</v>
      </c>
      <c r="BP15" t="str">
        <f t="shared" si="26"/>
        <v>Fail</v>
      </c>
      <c r="BQ15" t="str">
        <f t="shared" si="27"/>
        <v>Fail</v>
      </c>
      <c r="BR15" t="str">
        <f t="shared" si="28"/>
        <v>Pass</v>
      </c>
      <c r="BS15" t="str">
        <f t="shared" si="29"/>
        <v>Pass</v>
      </c>
      <c r="BT15" t="str">
        <f t="shared" si="30"/>
        <v>Fail</v>
      </c>
      <c r="BU15" t="str">
        <f t="shared" si="31"/>
        <v>Effective Stress</v>
      </c>
    </row>
    <row r="16" spans="1:73">
      <c r="A16" t="s">
        <v>608</v>
      </c>
      <c r="B16" s="181">
        <v>14</v>
      </c>
      <c r="C16" t="s">
        <v>594</v>
      </c>
      <c r="D16" s="181">
        <v>6</v>
      </c>
      <c r="E16" s="181">
        <v>0.86399999999999999</v>
      </c>
      <c r="F16" t="s">
        <v>117</v>
      </c>
      <c r="G16" t="s">
        <v>119</v>
      </c>
      <c r="H16" t="s">
        <v>122</v>
      </c>
      <c r="I16" s="181">
        <v>1</v>
      </c>
      <c r="J16" t="s">
        <v>126</v>
      </c>
      <c r="K16" t="s">
        <v>129</v>
      </c>
      <c r="L16" s="181">
        <v>70</v>
      </c>
      <c r="M16" s="181">
        <v>1000</v>
      </c>
      <c r="N16" t="s">
        <v>141</v>
      </c>
      <c r="O16" s="181">
        <v>120</v>
      </c>
      <c r="P16" s="181">
        <v>1</v>
      </c>
      <c r="Q16" s="181">
        <v>8.625</v>
      </c>
      <c r="R16" t="s">
        <v>417</v>
      </c>
      <c r="S16" t="s">
        <v>156</v>
      </c>
      <c r="T16" s="181">
        <v>70</v>
      </c>
      <c r="U16" s="181">
        <f>HLOOKUP(D16,'Highway Loading'!$C$155:$AD$156,2,FALSE)</f>
        <v>6.625</v>
      </c>
      <c r="V16" s="181">
        <f>IF(ISBLANK(G16),"",INDEX('Highway Loading'!$C$216:$AG$216,1,MATCH(G16,'Highway Loading'!$C$215:$AG$215,0)))</f>
        <v>65000</v>
      </c>
      <c r="W16" s="181">
        <f>INDEX('Highway Loading'!$I$245:$L$253,MATCH(H16,'Highway Loading'!$H$245:$H$253,0),MATCH(I16,'Highway Loading'!$I$244:$L$244,0))</f>
        <v>0.72</v>
      </c>
      <c r="X16" s="181">
        <f t="shared" si="0"/>
        <v>1</v>
      </c>
      <c r="Y16" s="181">
        <f>VLOOKUP(K16,'Highway Loading'!$B$283:$E$292,2,FALSE)</f>
        <v>29000000</v>
      </c>
      <c r="Z16" s="181">
        <f>VLOOKUP(K16,'Highway Loading'!$B$283:$E$292,3,FALSE)</f>
        <v>0.3</v>
      </c>
      <c r="AA16" s="181">
        <f>VLOOKUP(K16,'Highway Loading'!$B$283:$E$292,4,FALSE)</f>
        <v>6.4999999999999996E-6</v>
      </c>
      <c r="AB16" s="181">
        <f t="shared" si="1"/>
        <v>1</v>
      </c>
      <c r="AC16" s="181">
        <f>VLOOKUP(N16,'Highway Loading'!$B$256:$D$261,2,FALSE)</f>
        <v>500</v>
      </c>
      <c r="AD16" s="181">
        <f>VLOOKUP(N16,'Highway Loading'!$B$256:$D$261,3,FALSE)</f>
        <v>10000</v>
      </c>
      <c r="AE16" s="181">
        <f>VLOOKUP(S16,'Highway Loading'!$B$340:$C$341,2,FALSE)</f>
        <v>10000</v>
      </c>
      <c r="AF16" s="181">
        <f t="shared" si="2"/>
        <v>0.13041509433962264</v>
      </c>
      <c r="AG16" s="181">
        <f t="shared" si="3"/>
        <v>1.3913043478260869</v>
      </c>
      <c r="AH16" s="181">
        <f t="shared" si="4"/>
        <v>1.3018867924528301</v>
      </c>
      <c r="AI16" s="181">
        <f t="shared" si="5"/>
        <v>3833.912037037037</v>
      </c>
      <c r="AJ16" s="181">
        <f t="shared" si="6"/>
        <v>46800</v>
      </c>
      <c r="AK16" s="181">
        <f>IF(AC16=200,(INDEX(Tables!$B$17:$B$38,MAX(1,MIN(IFERROR(MATCH(AF16,Tables!$A$17:$A$38,1),1),ROWS(Tables!$A$17:$A$38)-1)))+(AF16-INDEX(Tables!$A$17:$A$38,MAX(1,MIN(IFERROR(MATCH(AF16,Tables!$A$17:$A$38,1),1),ROWS(Tables!$A$17:$A$38)-1))))*(INDEX(Tables!$B$17:$B$38,MAX(1,MIN(IFERROR(MATCH(AF16,Tables!$A$17:$A$38,1),1),ROWS(Tables!$A$17:$A$38)-1))+1)-INDEX(Tables!$B$17:$B$38,MAX(1,MIN(IFERROR(MATCH(AF16,Tables!$A$17:$A$38,1),1),ROWS(Tables!$A$17:$A$38)-1))))/(INDEX(Tables!$A$17:$A$38,MAX(1,MIN(IFERROR(MATCH(AF16,Tables!$A$17:$A$38,1),1),ROWS(Tables!$A$17:$A$38)-1))+1)-INDEX(Tables!$A$17:$A$38,MAX(1,MIN(IFERROR(MATCH(AF16,Tables!$A$17:$A$38,1),1),ROWS(Tables!$A$17:$A$38)-1))))),IF(AC16=500,(INDEX(Tables!$D$17:$D$38,MAX(1,MIN(IFERROR(MATCH(AF16,Tables!$C$17:$C$38,1),1),ROWS(Tables!$C$17:$C$38)-1)))+(AF16-INDEX(Tables!$C$17:$C$38,MAX(1,MIN(IFERROR(MATCH(AF16,Tables!$C$17:$C$38,1),1),ROWS(Tables!$C$17:$C$38)-1))))*(INDEX(Tables!$D$17:$D$38,MAX(1,MIN(IFERROR(MATCH(AF16,Tables!$C$17:$C$38,1),1),ROWS(Tables!$C$17:$C$38)-1))+1)-INDEX(Tables!$D$17:$D$38,MAX(1,MIN(IFERROR(MATCH(AF16,Tables!$C$17:$C$38,1),1),ROWS(Tables!$C$17:$C$38)-1))))/(INDEX(Tables!$C$17:$C$38,MAX(1,MIN(IFERROR(MATCH(AF16,Tables!$C$17:$C$38,1),1),ROWS(Tables!$C$17:$C$38)-1))+1)-INDEX(Tables!$C$17:$C$38,MAX(1,MIN(IFERROR(MATCH(AF16,Tables!$C$17:$C$38,1),1),ROWS(Tables!$C$17:$C$38)-1))))),IF(AC16=1000,(INDEX(Tables!$F$17:$F$38,MAX(1,MIN(IFERROR(MATCH(AF16,Tables!$E$17:$E$38,1),1),ROWS(Tables!$E$17:$E$38)-1)))+(AF16-INDEX(Tables!$E$17:$E$38,MAX(1,MIN(IFERROR(MATCH(AF16,Tables!$E$17:$E$38,1),1),ROWS(Tables!$E$17:$E$38)-1))))*(INDEX(Tables!$F$17:$F$38,MAX(1,MIN(IFERROR(MATCH(AF16,Tables!$E$17:$E$38,1),1),ROWS(Tables!$E$17:$E$38)-1))+1)-INDEX(Tables!$F$17:$F$38,MAX(1,MIN(IFERROR(MATCH(AF16,Tables!$E$17:$E$38,1),1),ROWS(Tables!$E$17:$E$38)-1))))/(INDEX(Tables!$E$17:$E$38,MAX(1,MIN(IFERROR(MATCH(AF16,Tables!$E$17:$E$38,1),1),ROWS(Tables!$E$17:$E$38)-1))+1)-INDEX(Tables!$E$17:$E$38,MAX(1,MIN(IFERROR(MATCH(AF16,Tables!$E$17:$E$38,1),1),ROWS(Tables!$E$17:$E$38)-1))))),(INDEX(Tables!$H$17:$H$38,MAX(1,MIN(IFERROR(MATCH(AF16,Tables!$G$17:$G$38,1),1),ROWS(Tables!$G$17:$G$38)-1)))+(AF16-INDEX(Tables!$G$17:$G$38,MAX(1,MIN(IFERROR(MATCH(AF16,Tables!$G$17:$G$38,1),1),ROWS(Tables!$G$17:$G$38)-1))))*(INDEX(Tables!$H$17:$H$38,MAX(1,MIN(IFERROR(MATCH(AF16,Tables!$G$17:$G$38,1),1),ROWS(Tables!$G$17:$G$38)-1))+1)-INDEX(Tables!$H$17:$H$38,MAX(1,MIN(IFERROR(MATCH(AF16,Tables!$G$17:$G$38,1),1),ROWS(Tables!$G$17:$G$38)-1))))/(INDEX(Tables!$G$17:$G$38,MAX(1,MIN(IFERROR(MATCH(AF16,Tables!$G$17:$G$38,1),1),ROWS(Tables!$G$17:$G$38)-1))+1)-INDEX(Tables!$G$17:$G$38,MAX(1,MIN(IFERROR(MATCH(AF16,Tables!$G$17:$G$38,1),1),ROWS(Tables!$G$17:$G$38)-1))))))))</f>
        <v>88</v>
      </c>
      <c r="AL16" s="181">
        <f>IF(AC16&lt;1000,(INDEX(Tables!$B$43:$B$76,MAX(1,MIN(IFERROR(MATCH(AG16,Tables!$A$43:$A$76,1),1),ROWS(Tables!$A$43:$A$76)-1)))+(AG16-INDEX(Tables!$A$43:$A$76,MAX(1,MIN(IFERROR(MATCH(AG16,Tables!$A$43:$A$76,1),1),ROWS(Tables!$A$43:$A$76)-1))))*(INDEX(Tables!$B$43:$B$76,MAX(1,MIN(IFERROR(MATCH(AG16,Tables!$A$43:$A$76,1),1),ROWS(Tables!$A$43:$A$76)-1))+1)-INDEX(Tables!$B$43:$B$76,MAX(1,MIN(IFERROR(MATCH(AG16,Tables!$A$43:$A$76,1),1),ROWS(Tables!$A$43:$A$76)-1))))/(INDEX(Tables!$A$43:$A$76,MAX(1,MIN(IFERROR(MATCH(AG16,Tables!$A$43:$A$76,1),1),ROWS(Tables!$A$43:$A$76)-1))+1)-INDEX(Tables!$A$43:$A$76,MAX(1,MIN(IFERROR(MATCH(AG16,Tables!$A$43:$A$76,1),1),ROWS(Tables!$A$43:$A$76)-1))))),(INDEX(Tables!$D$43:$D$76,MAX(1,MIN(IFERROR(MATCH(AG16,Tables!$C$43:$C$76,1),1),ROWS(Tables!$C$43:$C$76)-1)))+(AG16-INDEX(Tables!$C$43:$C$76,MAX(1,MIN(IFERROR(MATCH(AG16,Tables!$C$43:$C$76,1),1),ROWS(Tables!$C$43:$C$76)-1))))*(INDEX(Tables!$D$43:$D$76,MAX(1,MIN(IFERROR(MATCH(AG16,Tables!$C$43:$C$76,1),1),ROWS(Tables!$C$43:$C$76)-1))+1)-INDEX(Tables!$D$43:$D$76,MAX(1,MIN(IFERROR(MATCH(AG16,Tables!$C$43:$C$76,1),1),ROWS(Tables!$C$43:$C$76)-1))))/(INDEX(Tables!$C$43:$C$76,MAX(1,MIN(IFERROR(MATCH(AG16,Tables!$C$43:$C$76,1),1),ROWS(Tables!$C$43:$C$76)-1))+1)-INDEX(Tables!$C$43:$C$76,MAX(1,MIN(IFERROR(MATCH(AG16,Tables!$C$43:$C$76,1),1),ROWS(Tables!$C$43:$C$76)-1))))))</f>
        <v>0.44739130434782609</v>
      </c>
      <c r="AM16" s="181">
        <f>(INDEX(Tables!$B$80:$B$87,MAX(1,MIN(IFERROR(MATCH(AH16,Tables!$A$80:$A$87,1),1),ROWS(Tables!$A$80:$A$87)-1)))+(AH16-INDEX(Tables!$A$80:$A$87,MAX(1,MIN(IFERROR(MATCH(AH16,Tables!$A$80:$A$87,1),1),ROWS(Tables!$A$80:$A$87)-1))))*(INDEX(Tables!$B$80:$B$87,MAX(1,MIN(IFERROR(MATCH(AH16,Tables!$A$80:$A$87,1),1),ROWS(Tables!$A$80:$A$87)-1))+1)-INDEX(Tables!$B$80:$B$87,MAX(1,MIN(IFERROR(MATCH(AH16,Tables!$A$80:$A$87,1),1),ROWS(Tables!$A$80:$A$87)-1))))/(INDEX(Tables!$A$80:$A$87,MAX(1,MIN(IFERROR(MATCH(AH16,Tables!$A$80:$A$87,1),1),ROWS(Tables!$A$80:$A$87)-1))+1)-INDEX(Tables!$A$80:$A$87,MAX(1,MIN(IFERROR(MATCH(AH16,Tables!$A$80:$A$87,1),1),ROWS(Tables!$A$80:$A$87)-1)))))</f>
        <v>1.403996226415094</v>
      </c>
      <c r="AN16" s="181">
        <f t="shared" si="7"/>
        <v>25.430771865942024</v>
      </c>
      <c r="AO16" s="181">
        <f>(INDEX(Tables!$B$91:$B$94,MAX(1,MIN(IFERROR(MATCH(P16,Tables!$A$91:$A$94,1),1),ROWS(Tables!$A$91:$A$94)-1)))+(P16-INDEX(Tables!$A$91:$A$94,MAX(1,MIN(IFERROR(MATCH(P16,Tables!$A$91:$A$94,1),1),ROWS(Tables!$A$91:$A$94)-1))))*(INDEX(Tables!$B$91:$B$94,MAX(1,MIN(IFERROR(MATCH(P16,Tables!$A$91:$A$94,1),1),ROWS(Tables!$A$91:$A$94)-1))+1)-INDEX(Tables!$B$91:$B$94,MAX(1,MIN(IFERROR(MATCH(P16,Tables!$A$91:$A$94,1),1),ROWS(Tables!$A$91:$A$94)-1))))/(INDEX(Tables!$A$91:$A$94,MAX(1,MIN(IFERROR(MATCH(P16,Tables!$A$91:$A$94,1),1),ROWS(Tables!$A$91:$A$94)-1))+1)-INDEX(Tables!$A$91:$A$94,MAX(1,MIN(IFERROR(MATCH(P16,Tables!$A$91:$A$94,1),1),ROWS(Tables!$A$91:$A$94)-1)))))</f>
        <v>1.5</v>
      </c>
      <c r="AP16" s="181">
        <f>IF(AD16=5000,(INDEX(Tables!$B$99:$B$118,MAX(1,MIN(IFERROR(MATCH(AF16,Tables!$A$99:$A$118,1),1),ROWS(Tables!$A$99:$A$118)-1)))+(AF16-INDEX(Tables!$A$99:$A$118,MAX(1,MIN(IFERROR(MATCH(AF16,Tables!$A$99:$A$118,1),1),ROWS(Tables!$A$99:$A$118)-1))))*(INDEX(Tables!$B$99:$B$118,MAX(1,MIN(IFERROR(MATCH(AF16,Tables!$A$99:$A$118,1),1),ROWS(Tables!$A$99:$A$118)-1))+1)-INDEX(Tables!$B$99:$B$118,MAX(1,MIN(IFERROR(MATCH(AF16,Tables!$A$99:$A$118,1),1),ROWS(Tables!$A$99:$A$118)-1))))/(INDEX(Tables!$A$99:$A$118,MAX(1,MIN(IFERROR(MATCH(AF16,Tables!$A$99:$A$118,1),1),ROWS(Tables!$A$99:$A$118)-1))+1)-INDEX(Tables!$A$99:$A$118,MAX(1,MIN(IFERROR(MATCH(AF16,Tables!$A$99:$A$118,1),1),ROWS(Tables!$A$99:$A$118)-1))))),IF(AD16=10000,(INDEX(Tables!$D$99:$D$118,MAX(1,MIN(IFERROR(MATCH(AF16,Tables!$C$99:$C$118,1),1),ROWS(Tables!$C$99:$C$118)-1)))+(AF16-INDEX(Tables!$C$99:$C$118,MAX(1,MIN(IFERROR(MATCH(AF16,Tables!$C$99:$C$118,1),1),ROWS(Tables!$C$99:$C$118)-1))))*(INDEX(Tables!$D$99:$D$118,MAX(1,MIN(IFERROR(MATCH(AF16,Tables!$C$99:$C$118,1),1),ROWS(Tables!$C$99:$C$118)-1))+1)-INDEX(Tables!$D$99:$D$118,MAX(1,MIN(IFERROR(MATCH(AF16,Tables!$C$99:$C$118,1),1),ROWS(Tables!$C$99:$C$118)-1))))/(INDEX(Tables!$C$99:$C$118,MAX(1,MIN(IFERROR(MATCH(AF16,Tables!$C$99:$C$118,1),1),ROWS(Tables!$C$99:$C$118)-1))+1)-INDEX(Tables!$C$99:$C$118,MAX(1,MIN(IFERROR(MATCH(AF16,Tables!$C$99:$C$118,1),1),ROWS(Tables!$C$99:$C$118)-1))))),(INDEX(Tables!$F$99:$F$118,MAX(1,MIN(IFERROR(MATCH(AF16,Tables!$E$99:$E$118,1),1),ROWS(Tables!$E$99:$E$118)-1)))+(AF16-INDEX(Tables!$E$99:$E$118,MAX(1,MIN(IFERROR(MATCH(AF16,Tables!$E$99:$E$118,1),1),ROWS(Tables!$E$99:$E$118)-1))))*(INDEX(Tables!$F$99:$F$118,MAX(1,MIN(IFERROR(MATCH(AF16,Tables!$E$99:$E$118,1),1),ROWS(Tables!$E$99:$E$118)-1))+1)-INDEX(Tables!$F$99:$F$118,MAX(1,MIN(IFERROR(MATCH(AF16,Tables!$E$99:$E$118,1),1),ROWS(Tables!$E$99:$E$118)-1))))/(INDEX(Tables!$E$99:$E$118,MAX(1,MIN(IFERROR(MATCH(AF16,Tables!$E$99:$E$118,1),1),ROWS(Tables!$E$99:$E$118)-1))+1)-INDEX(Tables!$E$99:$E$118,MAX(1,MIN(IFERROR(MATCH(AF16,Tables!$E$99:$E$118,1),1),ROWS(Tables!$E$99:$E$118)-1)))))))</f>
        <v>1.605</v>
      </c>
      <c r="AQ16" s="181">
        <f>IF(P16&lt;6,(INDEX(Tables!$B$123:$B$138,MAX(1,MIN(IFERROR(MATCH(U16,Tables!$A$123:$A$138,1),1),ROWS(Tables!$A$123:$A$138)-1)))+(U16-INDEX(Tables!$A$123:$A$138,MAX(1,MIN(IFERROR(MATCH(U16,Tables!$A$123:$A$138,1),1),ROWS(Tables!$A$123:$A$138)-1))))*(INDEX(Tables!$B$123:$B$138,MAX(1,MIN(IFERROR(MATCH(U16,Tables!$A$123:$A$138,1),1),ROWS(Tables!$A$123:$A$138)-1))+1)-INDEX(Tables!$B$123:$B$138,MAX(1,MIN(IFERROR(MATCH(U16,Tables!$A$123:$A$138,1),1),ROWS(Tables!$A$123:$A$138)-1))))/(INDEX(Tables!$A$123:$A$138,MAX(1,MIN(IFERROR(MATCH(U16,Tables!$A$123:$A$138,1),1),ROWS(Tables!$A$123:$A$138)-1))+1)-INDEX(Tables!$A$123:$A$138,MAX(1,MIN(IFERROR(MATCH(U16,Tables!$A$123:$A$138,1),1),ROWS(Tables!$A$123:$A$138)-1))))),IF(P16&lt;8,(INDEX(Tables!$D$123:$D$138,MAX(1,MIN(IFERROR(MATCH(U16,Tables!$C$123:$C$138,1),1),ROWS(Tables!$C$123:$C$138)-1)))+(U16-INDEX(Tables!$C$123:$C$138,MAX(1,MIN(IFERROR(MATCH(U16,Tables!$C$123:$C$138,1),1),ROWS(Tables!$C$123:$C$138)-1))))*(INDEX(Tables!$D$123:$D$138,MAX(1,MIN(IFERROR(MATCH(U16,Tables!$C$123:$C$138,1),1),ROWS(Tables!$C$123:$C$138)-1))+1)-INDEX(Tables!$D$123:$D$138,MAX(1,MIN(IFERROR(MATCH(U16,Tables!$C$123:$C$138,1),1),ROWS(Tables!$C$123:$C$138)-1))))/(INDEX(Tables!$C$123:$C$138,MAX(1,MIN(IFERROR(MATCH(U16,Tables!$C$123:$C$138,1),1),ROWS(Tables!$C$123:$C$138)-1))+1)-INDEX(Tables!$C$123:$C$138,MAX(1,MIN(IFERROR(MATCH(U16,Tables!$C$123:$C$138,1),1),ROWS(Tables!$C$123:$C$138)-1))))),IF(P16&lt;10,(INDEX(Tables!$F$123:$F$138,MAX(1,MIN(IFERROR(MATCH(U16,Tables!$E$123:$E$138,1),1),ROWS(Tables!$E$123:$E$138)-1)))+(U16-INDEX(Tables!$E$123:$E$138,MAX(1,MIN(IFERROR(MATCH(U16,Tables!$E$123:$E$138,1),1),ROWS(Tables!$E$123:$E$138)-1))))*(INDEX(Tables!$F$123:$F$138,MAX(1,MIN(IFERROR(MATCH(U16,Tables!$E$123:$E$138,1),1),ROWS(Tables!$E$123:$E$138)-1))+1)-INDEX(Tables!$F$123:$F$138,MAX(1,MIN(IFERROR(MATCH(U16,Tables!$E$123:$E$138,1),1),ROWS(Tables!$E$123:$E$138)-1))))/(INDEX(Tables!$E$123:$E$138,MAX(1,MIN(IFERROR(MATCH(U16,Tables!$E$123:$E$138,1),1),ROWS(Tables!$E$123:$E$138)-1))+1)-INDEX(Tables!$E$123:$E$138,MAX(1,MIN(IFERROR(MATCH(U16,Tables!$E$123:$E$138,1),1),ROWS(Tables!$E$123:$E$138)-1))))),(INDEX(Tables!$H$123:$H$138,MAX(1,MIN(IFERROR(MATCH(U16,Tables!$G$123:$G$138,1),1),ROWS(Tables!$G$123:$G$138)-1)))+(U16-INDEX(Tables!$G$123:$G$138,MAX(1,MIN(IFERROR(MATCH(U16,Tables!$G$123:$G$138,1),1),ROWS(Tables!$G$123:$G$138)-1))))*(INDEX(Tables!$H$123:$H$138,MAX(1,MIN(IFERROR(MATCH(U16,Tables!$G$123:$G$138,1),1),ROWS(Tables!$G$123:$G$138)-1))+1)-INDEX(Tables!$H$123:$H$138,MAX(1,MIN(IFERROR(MATCH(U16,Tables!$G$123:$G$138,1),1),ROWS(Tables!$G$123:$G$138)-1))))/(INDEX(Tables!$G$123:$G$138,MAX(1,MIN(IFERROR(MATCH(U16,Tables!$G$123:$G$138,1),1),ROWS(Tables!$G$123:$G$138)-1))+1)-INDEX(Tables!$G$123:$G$138,MAX(1,MIN(IFERROR(MATCH(U16,Tables!$G$123:$G$138,1),1),ROWS(Tables!$G$123:$G$138)-1))))))))</f>
        <v>1.4501250000000001</v>
      </c>
      <c r="AR16" s="181">
        <f>IF(OR(P16&gt;=4,U16&gt;12),VLOOKUP(R16&amp;" "&amp;S16,Tables!$D$143:$F$148,2,FALSE),VLOOKUP(R16&amp;" "&amp;S16,Tables!$A$143:$C$148,2,FALSE))</f>
        <v>1.1000000000000001</v>
      </c>
      <c r="AS16" s="181">
        <f>IF(OR(P16&gt;=4,U16&gt;12),VLOOKUP(R16&amp;" "&amp;S16,Tables!$D$143:$F$148,3,FALSE),VLOOKUP(R16&amp;" "&amp;S16,Tables!$A$143:$C$148,3,FALSE))</f>
        <v>1</v>
      </c>
      <c r="AT16" s="181">
        <f t="shared" si="8"/>
        <v>266.68705078125004</v>
      </c>
      <c r="AU16" s="181">
        <f>IF(AD16=5000,(INDEX(Tables!$B$244:$B$263,MAX(1,MIN(IFERROR(MATCH(AF16,Tables!$A$244:$A$263,1),1),ROWS(Tables!$A$244:$A$263)-1)))+(AF16-INDEX(Tables!$A$244:$A$263,MAX(1,MIN(IFERROR(MATCH(AF16,Tables!$A$244:$A$263,1),1),ROWS(Tables!$A$244:$A$263)-1))))*(INDEX(Tables!$B$244:$B$263,MAX(1,MIN(IFERROR(MATCH(AF16,Tables!$A$244:$A$263,1),1),ROWS(Tables!$A$244:$A$263)-1))+1)-INDEX(Tables!$B$244:$B$263,MAX(1,MIN(IFERROR(MATCH(AF16,Tables!$A$244:$A$263,1),1),ROWS(Tables!$A$244:$A$263)-1))))/(INDEX(Tables!$A$244:$A$263,MAX(1,MIN(IFERROR(MATCH(AF16,Tables!$A$244:$A$263,1),1),ROWS(Tables!$A$244:$A$263)-1))+1)-INDEX(Tables!$A$244:$A$263,MAX(1,MIN(IFERROR(MATCH(AF16,Tables!$A$244:$A$263,1),1),ROWS(Tables!$A$244:$A$263)-1))))),IF(AD16=10000,(INDEX(Tables!$D$244:$D$263,MAX(1,MIN(IFERROR(MATCH(AF16,Tables!$C$244:$C$263,1),1),ROWS(Tables!$C$244:$C$263)-1)))+(AF16-INDEX(Tables!$C$244:$C$263,MAX(1,MIN(IFERROR(MATCH(AF16,Tables!$C$244:$C$263,1),1),ROWS(Tables!$C$244:$C$263)-1))))*(INDEX(Tables!$D$244:$D$263,MAX(1,MIN(IFERROR(MATCH(AF16,Tables!$C$244:$C$263,1),1),ROWS(Tables!$C$244:$C$263)-1))+1)-INDEX(Tables!$D$244:$D$263,MAX(1,MIN(IFERROR(MATCH(AF16,Tables!$C$244:$C$263,1),1),ROWS(Tables!$C$244:$C$263)-1))))/(INDEX(Tables!$C$244:$C$263,MAX(1,MIN(IFERROR(MATCH(AF16,Tables!$C$244:$C$263,1),1),ROWS(Tables!$C$244:$C$263)-1))+1)-INDEX(Tables!$C$244:$C$263,MAX(1,MIN(IFERROR(MATCH(AF16,Tables!$C$244:$C$263,1),1),ROWS(Tables!$C$244:$C$263)-1))))),(INDEX(Tables!$F$244:$F$263,MAX(1,MIN(IFERROR(MATCH(AF16,Tables!$E$244:$E$263,1),1),ROWS(Tables!$E$244:$E$263)-1)))+(AF16-INDEX(Tables!$E$244:$E$263,MAX(1,MIN(IFERROR(MATCH(AF16,Tables!$E$244:$E$263,1),1),ROWS(Tables!$E$244:$E$263)-1))))*(INDEX(Tables!$F$244:$F$263,MAX(1,MIN(IFERROR(MATCH(AF16,Tables!$E$244:$E$263,1),1),ROWS(Tables!$E$244:$E$263)-1))+1)-INDEX(Tables!$F$244:$F$263,MAX(1,MIN(IFERROR(MATCH(AF16,Tables!$E$244:$E$263,1),1),ROWS(Tables!$E$244:$E$263)-1))))/(INDEX(Tables!$E$244:$E$263,MAX(1,MIN(IFERROR(MATCH(AF16,Tables!$E$244:$E$263,1),1),ROWS(Tables!$E$244:$E$263)-1))+1)-INDEX(Tables!$E$244:$E$263,MAX(1,MIN(IFERROR(MATCH(AF16,Tables!$E$244:$E$263,1),1),ROWS(Tables!$E$244:$E$263)-1)))))))</f>
        <v>2.5920000000000001</v>
      </c>
      <c r="AV16" s="181">
        <f>IF(P16&lt;6,(INDEX(Tables!$B$260:$B$274,MAX(1,MIN(IFERROR(MATCH(U16,Tables!$A$260:$A$274,1),1),ROWS(Tables!$A$260:$A$274)-1)))+(U16-INDEX(Tables!$A$260:$A$274,MAX(1,MIN(IFERROR(MATCH(U16,Tables!$A$260:$A$274,1),1),ROWS(Tables!$A$260:$A$274)-1))))*(INDEX(Tables!$B$260:$B$274,MAX(1,MIN(IFERROR(MATCH(U16,Tables!$A$260:$A$274,1),1),ROWS(Tables!$A$260:$A$274)-1))+1)-INDEX(Tables!$B$260:$B$274,MAX(1,MIN(IFERROR(MATCH(U16,Tables!$A$260:$A$274,1),1),ROWS(Tables!$A$260:$A$274)-1))))/(INDEX(Tables!$A$260:$A$274,MAX(1,MIN(IFERROR(MATCH(U16,Tables!$A$260:$A$274,1),1),ROWS(Tables!$A$260:$A$274)-1))+1)-INDEX(Tables!$A$260:$A$274,MAX(1,MIN(IFERROR(MATCH(U16,Tables!$A$260:$A$274,1),1),ROWS(Tables!$A$260:$A$274)-1))))),IF(P16&lt;8,(INDEX(Tables!$D$260:$D$274,MAX(1,MIN(IFERROR(MATCH(U16,Tables!$C$260:$C$274,1),1),ROWS(Tables!$C$260:$C$274)-1)))+(U16-INDEX(Tables!$C$260:$C$274,MAX(1,MIN(IFERROR(MATCH(U16,Tables!$C$260:$C$274,1),1),ROWS(Tables!$C$260:$C$274)-1))))*(INDEX(Tables!$D$260:$D$274,MAX(1,MIN(IFERROR(MATCH(U16,Tables!$C$260:$C$274,1),1),ROWS(Tables!$C$260:$C$274)-1))+1)-INDEX(Tables!$D$260:$D$274,MAX(1,MIN(IFERROR(MATCH(U16,Tables!$C$260:$C$274,1),1),ROWS(Tables!$C$260:$C$274)-1))))/(INDEX(Tables!$C$260:$C$274,MAX(1,MIN(IFERROR(MATCH(U16,Tables!$C$260:$C$274,1),1),ROWS(Tables!$C$260:$C$274)-1))+1)-INDEX(Tables!$C$260:$C$274,MAX(1,MIN(IFERROR(MATCH(U16,Tables!$C$260:$C$274,1),1),ROWS(Tables!$C$260:$C$274)-1))))),IF(P16&lt;10,(INDEX(Tables!$F$260:$F$274,MAX(1,MIN(IFERROR(MATCH(U16,Tables!$E$260:$E$274,1),1),ROWS(Tables!$E$260:$E$274)-1)))+(U16-INDEX(Tables!$E$260:$E$274,MAX(1,MIN(IFERROR(MATCH(U16,Tables!$E$260:$E$274,1),1),ROWS(Tables!$E$260:$E$274)-1))))*(INDEX(Tables!$F$260:$F$274,MAX(1,MIN(IFERROR(MATCH(U16,Tables!$E$260:$E$274,1),1),ROWS(Tables!$E$260:$E$274)-1))+1)-INDEX(Tables!$F$260:$F$274,MAX(1,MIN(IFERROR(MATCH(U16,Tables!$E$260:$E$274,1),1),ROWS(Tables!$E$260:$E$274)-1))))/(INDEX(Tables!$E$260:$E$274,MAX(1,MIN(IFERROR(MATCH(U16,Tables!$E$260:$E$274,1),1),ROWS(Tables!$E$260:$E$274)-1))+1)-INDEX(Tables!$E$260:$E$274,MAX(1,MIN(IFERROR(MATCH(U16,Tables!$E$260:$E$274,1),1),ROWS(Tables!$E$260:$E$274)-1))))),(INDEX(Tables!$H$260:$H$274,MAX(1,MIN(IFERROR(MATCH(U16,Tables!$G$260:$G$274,1),1),ROWS(Tables!$G$260:$G$274)-1)))+(U16-INDEX(Tables!$G$260:$G$274,MAX(1,MIN(IFERROR(MATCH(U16,Tables!$G$260:$G$274,1),1),ROWS(Tables!$G$260:$G$274)-1))))*(INDEX(Tables!$H$260:$H$274,MAX(1,MIN(IFERROR(MATCH(U16,Tables!$G$260:$G$274,1),1),ROWS(Tables!$G$260:$G$274)-1))+1)-INDEX(Tables!$H$260:$H$274,MAX(1,MIN(IFERROR(MATCH(U16,Tables!$G$260:$G$274,1),1),ROWS(Tables!$G$260:$G$274)-1))))/(INDEX(Tables!$G$260:$G$274,MAX(1,MIN(IFERROR(MATCH(U16,Tables!$G$260:$G$274,1),1),ROWS(Tables!$G$260:$G$274)-1))+1)-INDEX(Tables!$G$260:$G$274,MAX(1,MIN(IFERROR(MATCH(U16,Tables!$G$260:$G$274,1),1),ROWS(Tables!$G$260:$G$274)-1))))))))</f>
        <v>1.4965000000000002</v>
      </c>
      <c r="AW16" s="181">
        <f t="shared" si="9"/>
        <v>444.46050000000014</v>
      </c>
      <c r="AX16" s="181">
        <f t="shared" si="10"/>
        <v>3333.912037037037</v>
      </c>
      <c r="AY16" s="181">
        <f t="shared" si="11"/>
        <v>3626.029859684229</v>
      </c>
      <c r="AZ16" s="181">
        <f t="shared" si="12"/>
        <v>1452.2633426708937</v>
      </c>
      <c r="BA16" s="181">
        <f t="shared" si="13"/>
        <v>-1000</v>
      </c>
      <c r="BB16" s="181">
        <f t="shared" si="14"/>
        <v>4008.6786248704075</v>
      </c>
      <c r="BC16" s="181">
        <f t="shared" si="15"/>
        <v>46800</v>
      </c>
      <c r="BD16" s="181">
        <f>VLOOKUP(V16&amp;" "&amp;J16,Tables!$A$152:$E$239,4,FALSE)</f>
        <v>12000</v>
      </c>
      <c r="BE16" s="181">
        <f>VLOOKUP(V16&amp;" "&amp;J16,Tables!$A$152:$E$239,5,FALSE)</f>
        <v>23000</v>
      </c>
      <c r="BF16" s="181">
        <f t="shared" si="16"/>
        <v>8640</v>
      </c>
      <c r="BG16" s="181">
        <f t="shared" si="17"/>
        <v>16560</v>
      </c>
      <c r="BH16" s="181">
        <f t="shared" si="18"/>
        <v>3833.912037037037</v>
      </c>
      <c r="BI16" s="181">
        <f t="shared" si="19"/>
        <v>46800</v>
      </c>
      <c r="BJ16" s="181">
        <f t="shared" si="20"/>
        <v>4008.6786248704075</v>
      </c>
      <c r="BK16" s="181">
        <f t="shared" si="21"/>
        <v>46800</v>
      </c>
      <c r="BL16" s="181">
        <f t="shared" si="22"/>
        <v>444.46050000000014</v>
      </c>
      <c r="BM16" s="181">
        <f t="shared" si="23"/>
        <v>8640</v>
      </c>
      <c r="BN16" s="181">
        <f t="shared" si="24"/>
        <v>266.68705078125004</v>
      </c>
      <c r="BO16" s="181">
        <f t="shared" si="25"/>
        <v>16560</v>
      </c>
      <c r="BP16" t="str">
        <f t="shared" si="26"/>
        <v>Pass</v>
      </c>
      <c r="BQ16" t="str">
        <f t="shared" si="27"/>
        <v>Pass</v>
      </c>
      <c r="BR16" t="str">
        <f t="shared" si="28"/>
        <v>Pass</v>
      </c>
      <c r="BS16" t="str">
        <f t="shared" si="29"/>
        <v>Pass</v>
      </c>
      <c r="BT16" t="str">
        <f t="shared" si="30"/>
        <v>Pass</v>
      </c>
      <c r="BU16" t="str">
        <f t="shared" si="31"/>
        <v>Effective Stress</v>
      </c>
    </row>
    <row r="17" spans="1:73">
      <c r="A17" t="s">
        <v>609</v>
      </c>
      <c r="B17" s="181">
        <v>15</v>
      </c>
      <c r="C17" t="s">
        <v>594</v>
      </c>
      <c r="D17" s="181">
        <v>8</v>
      </c>
      <c r="E17" s="181">
        <v>0.90600000000000003</v>
      </c>
      <c r="F17" t="s">
        <v>117</v>
      </c>
      <c r="G17" t="s">
        <v>119</v>
      </c>
      <c r="H17" t="s">
        <v>122</v>
      </c>
      <c r="I17" s="181">
        <v>1</v>
      </c>
      <c r="J17" t="s">
        <v>126</v>
      </c>
      <c r="K17" t="s">
        <v>129</v>
      </c>
      <c r="L17" s="181">
        <v>70</v>
      </c>
      <c r="M17" s="181">
        <v>1440</v>
      </c>
      <c r="N17" t="s">
        <v>390</v>
      </c>
      <c r="O17" s="181">
        <v>120</v>
      </c>
      <c r="P17" s="181">
        <v>3</v>
      </c>
      <c r="Q17" s="181">
        <v>10.625</v>
      </c>
      <c r="R17" t="s">
        <v>417</v>
      </c>
      <c r="S17" t="s">
        <v>156</v>
      </c>
      <c r="T17" s="181">
        <v>70</v>
      </c>
      <c r="U17" s="181">
        <f>HLOOKUP(D17,'Highway Loading'!$C$155:$AD$156,2,FALSE)</f>
        <v>8.625</v>
      </c>
      <c r="V17" s="181">
        <f>IF(ISBLANK(G17),"",INDEX('Highway Loading'!$C$216:$AG$216,1,MATCH(G17,'Highway Loading'!$C$215:$AG$215,0)))</f>
        <v>65000</v>
      </c>
      <c r="W17" s="181">
        <f>INDEX('Highway Loading'!$I$245:$L$253,MATCH(H17,'Highway Loading'!$H$245:$H$253,0),MATCH(I17,'Highway Loading'!$I$244:$L$244,0))</f>
        <v>0.72</v>
      </c>
      <c r="X17" s="181">
        <f t="shared" si="0"/>
        <v>1</v>
      </c>
      <c r="Y17" s="181">
        <f>VLOOKUP(K17,'Highway Loading'!$B$283:$E$292,2,FALSE)</f>
        <v>29000000</v>
      </c>
      <c r="Z17" s="181">
        <f>VLOOKUP(K17,'Highway Loading'!$B$283:$E$292,3,FALSE)</f>
        <v>0.3</v>
      </c>
      <c r="AA17" s="181">
        <f>VLOOKUP(K17,'Highway Loading'!$B$283:$E$292,4,FALSE)</f>
        <v>6.4999999999999996E-6</v>
      </c>
      <c r="AB17" s="181">
        <f t="shared" si="1"/>
        <v>1</v>
      </c>
      <c r="AC17" s="181">
        <f>VLOOKUP(N17,'Highway Loading'!$B$256:$D$261,2,FALSE)</f>
        <v>1000</v>
      </c>
      <c r="AD17" s="181">
        <f>VLOOKUP(N17,'Highway Loading'!$B$256:$D$261,3,FALSE)</f>
        <v>10000</v>
      </c>
      <c r="AE17" s="181">
        <f>VLOOKUP(S17,'Highway Loading'!$B$340:$C$341,2,FALSE)</f>
        <v>10000</v>
      </c>
      <c r="AF17" s="181">
        <f t="shared" si="2"/>
        <v>0.10504347826086957</v>
      </c>
      <c r="AG17" s="181">
        <f t="shared" si="3"/>
        <v>3.388235294117647</v>
      </c>
      <c r="AH17" s="181">
        <f t="shared" si="4"/>
        <v>1.2318840579710144</v>
      </c>
      <c r="AI17" s="181">
        <f t="shared" si="5"/>
        <v>6854.3046357615895</v>
      </c>
      <c r="AJ17" s="181">
        <f t="shared" si="6"/>
        <v>46800</v>
      </c>
      <c r="AK17" s="181">
        <f>IF(AC17=200,(INDEX(Tables!$B$17:$B$38,MAX(1,MIN(IFERROR(MATCH(AF17,Tables!$A$17:$A$38,1),1),ROWS(Tables!$A$17:$A$38)-1)))+(AF17-INDEX(Tables!$A$17:$A$38,MAX(1,MIN(IFERROR(MATCH(AF17,Tables!$A$17:$A$38,1),1),ROWS(Tables!$A$17:$A$38)-1))))*(INDEX(Tables!$B$17:$B$38,MAX(1,MIN(IFERROR(MATCH(AF17,Tables!$A$17:$A$38,1),1),ROWS(Tables!$A$17:$A$38)-1))+1)-INDEX(Tables!$B$17:$B$38,MAX(1,MIN(IFERROR(MATCH(AF17,Tables!$A$17:$A$38,1),1),ROWS(Tables!$A$17:$A$38)-1))))/(INDEX(Tables!$A$17:$A$38,MAX(1,MIN(IFERROR(MATCH(AF17,Tables!$A$17:$A$38,1),1),ROWS(Tables!$A$17:$A$38)-1))+1)-INDEX(Tables!$A$17:$A$38,MAX(1,MIN(IFERROR(MATCH(AF17,Tables!$A$17:$A$38,1),1),ROWS(Tables!$A$17:$A$38)-1))))),IF(AC17=500,(INDEX(Tables!$D$17:$D$38,MAX(1,MIN(IFERROR(MATCH(AF17,Tables!$C$17:$C$38,1),1),ROWS(Tables!$C$17:$C$38)-1)))+(AF17-INDEX(Tables!$C$17:$C$38,MAX(1,MIN(IFERROR(MATCH(AF17,Tables!$C$17:$C$38,1),1),ROWS(Tables!$C$17:$C$38)-1))))*(INDEX(Tables!$D$17:$D$38,MAX(1,MIN(IFERROR(MATCH(AF17,Tables!$C$17:$C$38,1),1),ROWS(Tables!$C$17:$C$38)-1))+1)-INDEX(Tables!$D$17:$D$38,MAX(1,MIN(IFERROR(MATCH(AF17,Tables!$C$17:$C$38,1),1),ROWS(Tables!$C$17:$C$38)-1))))/(INDEX(Tables!$C$17:$C$38,MAX(1,MIN(IFERROR(MATCH(AF17,Tables!$C$17:$C$38,1),1),ROWS(Tables!$C$17:$C$38)-1))+1)-INDEX(Tables!$C$17:$C$38,MAX(1,MIN(IFERROR(MATCH(AF17,Tables!$C$17:$C$38,1),1),ROWS(Tables!$C$17:$C$38)-1))))),IF(AC17=1000,(INDEX(Tables!$F$17:$F$38,MAX(1,MIN(IFERROR(MATCH(AF17,Tables!$E$17:$E$38,1),1),ROWS(Tables!$E$17:$E$38)-1)))+(AF17-INDEX(Tables!$E$17:$E$38,MAX(1,MIN(IFERROR(MATCH(AF17,Tables!$E$17:$E$38,1),1),ROWS(Tables!$E$17:$E$38)-1))))*(INDEX(Tables!$F$17:$F$38,MAX(1,MIN(IFERROR(MATCH(AF17,Tables!$E$17:$E$38,1),1),ROWS(Tables!$E$17:$E$38)-1))+1)-INDEX(Tables!$F$17:$F$38,MAX(1,MIN(IFERROR(MATCH(AF17,Tables!$E$17:$E$38,1),1),ROWS(Tables!$E$17:$E$38)-1))))/(INDEX(Tables!$E$17:$E$38,MAX(1,MIN(IFERROR(MATCH(AF17,Tables!$E$17:$E$38,1),1),ROWS(Tables!$E$17:$E$38)-1))+1)-INDEX(Tables!$E$17:$E$38,MAX(1,MIN(IFERROR(MATCH(AF17,Tables!$E$17:$E$38,1),1),ROWS(Tables!$E$17:$E$38)-1))))),(INDEX(Tables!$H$17:$H$38,MAX(1,MIN(IFERROR(MATCH(AF17,Tables!$G$17:$G$38,1),1),ROWS(Tables!$G$17:$G$38)-1)))+(AF17-INDEX(Tables!$G$17:$G$38,MAX(1,MIN(IFERROR(MATCH(AF17,Tables!$G$17:$G$38,1),1),ROWS(Tables!$G$17:$G$38)-1))))*(INDEX(Tables!$H$17:$H$38,MAX(1,MIN(IFERROR(MATCH(AF17,Tables!$G$17:$G$38,1),1),ROWS(Tables!$G$17:$G$38)-1))+1)-INDEX(Tables!$H$17:$H$38,MAX(1,MIN(IFERROR(MATCH(AF17,Tables!$G$17:$G$38,1),1),ROWS(Tables!$G$17:$G$38)-1))))/(INDEX(Tables!$G$17:$G$38,MAX(1,MIN(IFERROR(MATCH(AF17,Tables!$G$17:$G$38,1),1),ROWS(Tables!$G$17:$G$38)-1))+1)-INDEX(Tables!$G$17:$G$38,MAX(1,MIN(IFERROR(MATCH(AF17,Tables!$G$17:$G$38,1),1),ROWS(Tables!$G$17:$G$38)-1))))))))</f>
        <v>88</v>
      </c>
      <c r="AL17" s="181">
        <f>IF(AC17&lt;1000,(INDEX(Tables!$B$43:$B$76,MAX(1,MIN(IFERROR(MATCH(AG17,Tables!$A$43:$A$76,1),1),ROWS(Tables!$A$43:$A$76)-1)))+(AG17-INDEX(Tables!$A$43:$A$76,MAX(1,MIN(IFERROR(MATCH(AG17,Tables!$A$43:$A$76,1),1),ROWS(Tables!$A$43:$A$76)-1))))*(INDEX(Tables!$B$43:$B$76,MAX(1,MIN(IFERROR(MATCH(AG17,Tables!$A$43:$A$76,1),1),ROWS(Tables!$A$43:$A$76)-1))+1)-INDEX(Tables!$B$43:$B$76,MAX(1,MIN(IFERROR(MATCH(AG17,Tables!$A$43:$A$76,1),1),ROWS(Tables!$A$43:$A$76)-1))))/(INDEX(Tables!$A$43:$A$76,MAX(1,MIN(IFERROR(MATCH(AG17,Tables!$A$43:$A$76,1),1),ROWS(Tables!$A$43:$A$76)-1))+1)-INDEX(Tables!$A$43:$A$76,MAX(1,MIN(IFERROR(MATCH(AG17,Tables!$A$43:$A$76,1),1),ROWS(Tables!$A$43:$A$76)-1))))),(INDEX(Tables!$D$43:$D$76,MAX(1,MIN(IFERROR(MATCH(AG17,Tables!$C$43:$C$76,1),1),ROWS(Tables!$C$43:$C$76)-1)))+(AG17-INDEX(Tables!$C$43:$C$76,MAX(1,MIN(IFERROR(MATCH(AG17,Tables!$C$43:$C$76,1),1),ROWS(Tables!$C$43:$C$76)-1))))*(INDEX(Tables!$D$43:$D$76,MAX(1,MIN(IFERROR(MATCH(AG17,Tables!$C$43:$C$76,1),1),ROWS(Tables!$C$43:$C$76)-1))+1)-INDEX(Tables!$D$43:$D$76,MAX(1,MIN(IFERROR(MATCH(AG17,Tables!$C$43:$C$76,1),1),ROWS(Tables!$C$43:$C$76)-1))))/(INDEX(Tables!$C$43:$C$76,MAX(1,MIN(IFERROR(MATCH(AG17,Tables!$C$43:$C$76,1),1),ROWS(Tables!$C$43:$C$76)-1))+1)-INDEX(Tables!$C$43:$C$76,MAX(1,MIN(IFERROR(MATCH(AG17,Tables!$C$43:$C$76,1),1),ROWS(Tables!$C$43:$C$76)-1))))))</f>
        <v>0.82142352941176466</v>
      </c>
      <c r="AM17" s="181">
        <f>(INDEX(Tables!$B$80:$B$87,MAX(1,MIN(IFERROR(MATCH(AH17,Tables!$A$80:$A$87,1),1),ROWS(Tables!$A$80:$A$87)-1)))+(AH17-INDEX(Tables!$A$80:$A$87,MAX(1,MIN(IFERROR(MATCH(AH17,Tables!$A$80:$A$87,1),1),ROWS(Tables!$A$80:$A$87)-1))))*(INDEX(Tables!$B$80:$B$87,MAX(1,MIN(IFERROR(MATCH(AH17,Tables!$A$80:$A$87,1),1),ROWS(Tables!$A$80:$A$87)-1))+1)-INDEX(Tables!$B$80:$B$87,MAX(1,MIN(IFERROR(MATCH(AH17,Tables!$A$80:$A$87,1),1),ROWS(Tables!$A$80:$A$87)-1))))/(INDEX(Tables!$A$80:$A$87,MAX(1,MIN(IFERROR(MATCH(AH17,Tables!$A$80:$A$87,1),1),ROWS(Tables!$A$80:$A$87)-1))+1)-INDEX(Tables!$A$80:$A$87,MAX(1,MIN(IFERROR(MATCH(AH17,Tables!$A$80:$A$87,1),1),ROWS(Tables!$A$80:$A$87)-1)))))</f>
        <v>1.2567086956521738</v>
      </c>
      <c r="AN17" s="181">
        <f t="shared" si="7"/>
        <v>54.410290277696078</v>
      </c>
      <c r="AO17" s="181">
        <f>(INDEX(Tables!$B$91:$B$94,MAX(1,MIN(IFERROR(MATCH(P17,Tables!$A$91:$A$94,1),1),ROWS(Tables!$A$91:$A$94)-1)))+(P17-INDEX(Tables!$A$91:$A$94,MAX(1,MIN(IFERROR(MATCH(P17,Tables!$A$91:$A$94,1),1),ROWS(Tables!$A$91:$A$94)-1))))*(INDEX(Tables!$B$91:$B$94,MAX(1,MIN(IFERROR(MATCH(P17,Tables!$A$91:$A$94,1),1),ROWS(Tables!$A$91:$A$94)-1))+1)-INDEX(Tables!$B$91:$B$94,MAX(1,MIN(IFERROR(MATCH(P17,Tables!$A$91:$A$94,1),1),ROWS(Tables!$A$91:$A$94)-1))))/(INDEX(Tables!$A$91:$A$94,MAX(1,MIN(IFERROR(MATCH(P17,Tables!$A$91:$A$94,1),1),ROWS(Tables!$A$91:$A$94)-1))+1)-INDEX(Tables!$A$91:$A$94,MAX(1,MIN(IFERROR(MATCH(P17,Tables!$A$91:$A$94,1),1),ROWS(Tables!$A$91:$A$94)-1)))))</f>
        <v>1.5</v>
      </c>
      <c r="AP17" s="181">
        <f>IF(AD17=5000,(INDEX(Tables!$B$99:$B$118,MAX(1,MIN(IFERROR(MATCH(AF17,Tables!$A$99:$A$118,1),1),ROWS(Tables!$A$99:$A$118)-1)))+(AF17-INDEX(Tables!$A$99:$A$118,MAX(1,MIN(IFERROR(MATCH(AF17,Tables!$A$99:$A$118,1),1),ROWS(Tables!$A$99:$A$118)-1))))*(INDEX(Tables!$B$99:$B$118,MAX(1,MIN(IFERROR(MATCH(AF17,Tables!$A$99:$A$118,1),1),ROWS(Tables!$A$99:$A$118)-1))+1)-INDEX(Tables!$B$99:$B$118,MAX(1,MIN(IFERROR(MATCH(AF17,Tables!$A$99:$A$118,1),1),ROWS(Tables!$A$99:$A$118)-1))))/(INDEX(Tables!$A$99:$A$118,MAX(1,MIN(IFERROR(MATCH(AF17,Tables!$A$99:$A$118,1),1),ROWS(Tables!$A$99:$A$118)-1))+1)-INDEX(Tables!$A$99:$A$118,MAX(1,MIN(IFERROR(MATCH(AF17,Tables!$A$99:$A$118,1),1),ROWS(Tables!$A$99:$A$118)-1))))),IF(AD17=10000,(INDEX(Tables!$D$99:$D$118,MAX(1,MIN(IFERROR(MATCH(AF17,Tables!$C$99:$C$118,1),1),ROWS(Tables!$C$99:$C$118)-1)))+(AF17-INDEX(Tables!$C$99:$C$118,MAX(1,MIN(IFERROR(MATCH(AF17,Tables!$C$99:$C$118,1),1),ROWS(Tables!$C$99:$C$118)-1))))*(INDEX(Tables!$D$99:$D$118,MAX(1,MIN(IFERROR(MATCH(AF17,Tables!$C$99:$C$118,1),1),ROWS(Tables!$C$99:$C$118)-1))+1)-INDEX(Tables!$D$99:$D$118,MAX(1,MIN(IFERROR(MATCH(AF17,Tables!$C$99:$C$118,1),1),ROWS(Tables!$C$99:$C$118)-1))))/(INDEX(Tables!$C$99:$C$118,MAX(1,MIN(IFERROR(MATCH(AF17,Tables!$C$99:$C$118,1),1),ROWS(Tables!$C$99:$C$118)-1))+1)-INDEX(Tables!$C$99:$C$118,MAX(1,MIN(IFERROR(MATCH(AF17,Tables!$C$99:$C$118,1),1),ROWS(Tables!$C$99:$C$118)-1))))),(INDEX(Tables!$F$99:$F$118,MAX(1,MIN(IFERROR(MATCH(AF17,Tables!$E$99:$E$118,1),1),ROWS(Tables!$E$99:$E$118)-1)))+(AF17-INDEX(Tables!$E$99:$E$118,MAX(1,MIN(IFERROR(MATCH(AF17,Tables!$E$99:$E$118,1),1),ROWS(Tables!$E$99:$E$118)-1))))*(INDEX(Tables!$F$99:$F$118,MAX(1,MIN(IFERROR(MATCH(AF17,Tables!$E$99:$E$118,1),1),ROWS(Tables!$E$99:$E$118)-1))+1)-INDEX(Tables!$F$99:$F$118,MAX(1,MIN(IFERROR(MATCH(AF17,Tables!$E$99:$E$118,1),1),ROWS(Tables!$E$99:$E$118)-1))))/(INDEX(Tables!$E$99:$E$118,MAX(1,MIN(IFERROR(MATCH(AF17,Tables!$E$99:$E$118,1),1),ROWS(Tables!$E$99:$E$118)-1))+1)-INDEX(Tables!$E$99:$E$118,MAX(1,MIN(IFERROR(MATCH(AF17,Tables!$E$99:$E$118,1),1),ROWS(Tables!$E$99:$E$118)-1)))))))</f>
        <v>1.605</v>
      </c>
      <c r="AQ17" s="181">
        <f>IF(P17&lt;6,(INDEX(Tables!$B$123:$B$138,MAX(1,MIN(IFERROR(MATCH(U17,Tables!$A$123:$A$138,1),1),ROWS(Tables!$A$123:$A$138)-1)))+(U17-INDEX(Tables!$A$123:$A$138,MAX(1,MIN(IFERROR(MATCH(U17,Tables!$A$123:$A$138,1),1),ROWS(Tables!$A$123:$A$138)-1))))*(INDEX(Tables!$B$123:$B$138,MAX(1,MIN(IFERROR(MATCH(U17,Tables!$A$123:$A$138,1),1),ROWS(Tables!$A$123:$A$138)-1))+1)-INDEX(Tables!$B$123:$B$138,MAX(1,MIN(IFERROR(MATCH(U17,Tables!$A$123:$A$138,1),1),ROWS(Tables!$A$123:$A$138)-1))))/(INDEX(Tables!$A$123:$A$138,MAX(1,MIN(IFERROR(MATCH(U17,Tables!$A$123:$A$138,1),1),ROWS(Tables!$A$123:$A$138)-1))+1)-INDEX(Tables!$A$123:$A$138,MAX(1,MIN(IFERROR(MATCH(U17,Tables!$A$123:$A$138,1),1),ROWS(Tables!$A$123:$A$138)-1))))),IF(P17&lt;8,(INDEX(Tables!$D$123:$D$138,MAX(1,MIN(IFERROR(MATCH(U17,Tables!$C$123:$C$138,1),1),ROWS(Tables!$C$123:$C$138)-1)))+(U17-INDEX(Tables!$C$123:$C$138,MAX(1,MIN(IFERROR(MATCH(U17,Tables!$C$123:$C$138,1),1),ROWS(Tables!$C$123:$C$138)-1))))*(INDEX(Tables!$D$123:$D$138,MAX(1,MIN(IFERROR(MATCH(U17,Tables!$C$123:$C$138,1),1),ROWS(Tables!$C$123:$C$138)-1))+1)-INDEX(Tables!$D$123:$D$138,MAX(1,MIN(IFERROR(MATCH(U17,Tables!$C$123:$C$138,1),1),ROWS(Tables!$C$123:$C$138)-1))))/(INDEX(Tables!$C$123:$C$138,MAX(1,MIN(IFERROR(MATCH(U17,Tables!$C$123:$C$138,1),1),ROWS(Tables!$C$123:$C$138)-1))+1)-INDEX(Tables!$C$123:$C$138,MAX(1,MIN(IFERROR(MATCH(U17,Tables!$C$123:$C$138,1),1),ROWS(Tables!$C$123:$C$138)-1))))),IF(P17&lt;10,(INDEX(Tables!$F$123:$F$138,MAX(1,MIN(IFERROR(MATCH(U17,Tables!$E$123:$E$138,1),1),ROWS(Tables!$E$123:$E$138)-1)))+(U17-INDEX(Tables!$E$123:$E$138,MAX(1,MIN(IFERROR(MATCH(U17,Tables!$E$123:$E$138,1),1),ROWS(Tables!$E$123:$E$138)-1))))*(INDEX(Tables!$F$123:$F$138,MAX(1,MIN(IFERROR(MATCH(U17,Tables!$E$123:$E$138,1),1),ROWS(Tables!$E$123:$E$138)-1))+1)-INDEX(Tables!$F$123:$F$138,MAX(1,MIN(IFERROR(MATCH(U17,Tables!$E$123:$E$138,1),1),ROWS(Tables!$E$123:$E$138)-1))))/(INDEX(Tables!$E$123:$E$138,MAX(1,MIN(IFERROR(MATCH(U17,Tables!$E$123:$E$138,1),1),ROWS(Tables!$E$123:$E$138)-1))+1)-INDEX(Tables!$E$123:$E$138,MAX(1,MIN(IFERROR(MATCH(U17,Tables!$E$123:$E$138,1),1),ROWS(Tables!$E$123:$E$138)-1))))),(INDEX(Tables!$H$123:$H$138,MAX(1,MIN(IFERROR(MATCH(U17,Tables!$G$123:$G$138,1),1),ROWS(Tables!$G$123:$G$138)-1)))+(U17-INDEX(Tables!$G$123:$G$138,MAX(1,MIN(IFERROR(MATCH(U17,Tables!$G$123:$G$138,1),1),ROWS(Tables!$G$123:$G$138)-1))))*(INDEX(Tables!$H$123:$H$138,MAX(1,MIN(IFERROR(MATCH(U17,Tables!$G$123:$G$138,1),1),ROWS(Tables!$G$123:$G$138)-1))+1)-INDEX(Tables!$H$123:$H$138,MAX(1,MIN(IFERROR(MATCH(U17,Tables!$G$123:$G$138,1),1),ROWS(Tables!$G$123:$G$138)-1))))/(INDEX(Tables!$G$123:$G$138,MAX(1,MIN(IFERROR(MATCH(U17,Tables!$G$123:$G$138,1),1),ROWS(Tables!$G$123:$G$138)-1))+1)-INDEX(Tables!$G$123:$G$138,MAX(1,MIN(IFERROR(MATCH(U17,Tables!$G$123:$G$138,1),1),ROWS(Tables!$G$123:$G$138)-1))))))))</f>
        <v>1.389875</v>
      </c>
      <c r="AR17" s="181">
        <f>IF(OR(P17&gt;=4,U17&gt;12),VLOOKUP(R17&amp;" "&amp;S17,Tables!$D$143:$F$148,2,FALSE),VLOOKUP(R17&amp;" "&amp;S17,Tables!$A$143:$C$148,2,FALSE))</f>
        <v>1.1000000000000001</v>
      </c>
      <c r="AS17" s="181">
        <f>IF(OR(P17&gt;=4,U17&gt;12),VLOOKUP(R17&amp;" "&amp;S17,Tables!$D$143:$F$148,3,FALSE),VLOOKUP(R17&amp;" "&amp;S17,Tables!$A$143:$C$148,3,FALSE))</f>
        <v>1</v>
      </c>
      <c r="AT17" s="181">
        <f t="shared" si="8"/>
        <v>255.60669921875004</v>
      </c>
      <c r="AU17" s="181">
        <f>IF(AD17=5000,(INDEX(Tables!$B$244:$B$263,MAX(1,MIN(IFERROR(MATCH(AF17,Tables!$A$244:$A$263,1),1),ROWS(Tables!$A$244:$A$263)-1)))+(AF17-INDEX(Tables!$A$244:$A$263,MAX(1,MIN(IFERROR(MATCH(AF17,Tables!$A$244:$A$263,1),1),ROWS(Tables!$A$244:$A$263)-1))))*(INDEX(Tables!$B$244:$B$263,MAX(1,MIN(IFERROR(MATCH(AF17,Tables!$A$244:$A$263,1),1),ROWS(Tables!$A$244:$A$263)-1))+1)-INDEX(Tables!$B$244:$B$263,MAX(1,MIN(IFERROR(MATCH(AF17,Tables!$A$244:$A$263,1),1),ROWS(Tables!$A$244:$A$263)-1))))/(INDEX(Tables!$A$244:$A$263,MAX(1,MIN(IFERROR(MATCH(AF17,Tables!$A$244:$A$263,1),1),ROWS(Tables!$A$244:$A$263)-1))+1)-INDEX(Tables!$A$244:$A$263,MAX(1,MIN(IFERROR(MATCH(AF17,Tables!$A$244:$A$263,1),1),ROWS(Tables!$A$244:$A$263)-1))))),IF(AD17=10000,(INDEX(Tables!$D$244:$D$263,MAX(1,MIN(IFERROR(MATCH(AF17,Tables!$C$244:$C$263,1),1),ROWS(Tables!$C$244:$C$263)-1)))+(AF17-INDEX(Tables!$C$244:$C$263,MAX(1,MIN(IFERROR(MATCH(AF17,Tables!$C$244:$C$263,1),1),ROWS(Tables!$C$244:$C$263)-1))))*(INDEX(Tables!$D$244:$D$263,MAX(1,MIN(IFERROR(MATCH(AF17,Tables!$C$244:$C$263,1),1),ROWS(Tables!$C$244:$C$263)-1))+1)-INDEX(Tables!$D$244:$D$263,MAX(1,MIN(IFERROR(MATCH(AF17,Tables!$C$244:$C$263,1),1),ROWS(Tables!$C$244:$C$263)-1))))/(INDEX(Tables!$C$244:$C$263,MAX(1,MIN(IFERROR(MATCH(AF17,Tables!$C$244:$C$263,1),1),ROWS(Tables!$C$244:$C$263)-1))+1)-INDEX(Tables!$C$244:$C$263,MAX(1,MIN(IFERROR(MATCH(AF17,Tables!$C$244:$C$263,1),1),ROWS(Tables!$C$244:$C$263)-1))))),(INDEX(Tables!$F$244:$F$263,MAX(1,MIN(IFERROR(MATCH(AF17,Tables!$E$244:$E$263,1),1),ROWS(Tables!$E$244:$E$263)-1)))+(AF17-INDEX(Tables!$E$244:$E$263,MAX(1,MIN(IFERROR(MATCH(AF17,Tables!$E$244:$E$263,1),1),ROWS(Tables!$E$244:$E$263)-1))))*(INDEX(Tables!$F$244:$F$263,MAX(1,MIN(IFERROR(MATCH(AF17,Tables!$E$244:$E$263,1),1),ROWS(Tables!$E$244:$E$263)-1))+1)-INDEX(Tables!$F$244:$F$263,MAX(1,MIN(IFERROR(MATCH(AF17,Tables!$E$244:$E$263,1),1),ROWS(Tables!$E$244:$E$263)-1))))/(INDEX(Tables!$E$244:$E$263,MAX(1,MIN(IFERROR(MATCH(AF17,Tables!$E$244:$E$263,1),1),ROWS(Tables!$E$244:$E$263)-1))+1)-INDEX(Tables!$E$244:$E$263,MAX(1,MIN(IFERROR(MATCH(AF17,Tables!$E$244:$E$263,1),1),ROWS(Tables!$E$244:$E$263)-1)))))))</f>
        <v>2.5920000000000001</v>
      </c>
      <c r="AV17" s="181">
        <f>IF(P17&lt;6,(INDEX(Tables!$B$260:$B$274,MAX(1,MIN(IFERROR(MATCH(U17,Tables!$A$260:$A$274,1),1),ROWS(Tables!$A$260:$A$274)-1)))+(U17-INDEX(Tables!$A$260:$A$274,MAX(1,MIN(IFERROR(MATCH(U17,Tables!$A$260:$A$274,1),1),ROWS(Tables!$A$260:$A$274)-1))))*(INDEX(Tables!$B$260:$B$274,MAX(1,MIN(IFERROR(MATCH(U17,Tables!$A$260:$A$274,1),1),ROWS(Tables!$A$260:$A$274)-1))+1)-INDEX(Tables!$B$260:$B$274,MAX(1,MIN(IFERROR(MATCH(U17,Tables!$A$260:$A$274,1),1),ROWS(Tables!$A$260:$A$274)-1))))/(INDEX(Tables!$A$260:$A$274,MAX(1,MIN(IFERROR(MATCH(U17,Tables!$A$260:$A$274,1),1),ROWS(Tables!$A$260:$A$274)-1))+1)-INDEX(Tables!$A$260:$A$274,MAX(1,MIN(IFERROR(MATCH(U17,Tables!$A$260:$A$274,1),1),ROWS(Tables!$A$260:$A$274)-1))))),IF(P17&lt;8,(INDEX(Tables!$D$260:$D$274,MAX(1,MIN(IFERROR(MATCH(U17,Tables!$C$260:$C$274,1),1),ROWS(Tables!$C$260:$C$274)-1)))+(U17-INDEX(Tables!$C$260:$C$274,MAX(1,MIN(IFERROR(MATCH(U17,Tables!$C$260:$C$274,1),1),ROWS(Tables!$C$260:$C$274)-1))))*(INDEX(Tables!$D$260:$D$274,MAX(1,MIN(IFERROR(MATCH(U17,Tables!$C$260:$C$274,1),1),ROWS(Tables!$C$260:$C$274)-1))+1)-INDEX(Tables!$D$260:$D$274,MAX(1,MIN(IFERROR(MATCH(U17,Tables!$C$260:$C$274,1),1),ROWS(Tables!$C$260:$C$274)-1))))/(INDEX(Tables!$C$260:$C$274,MAX(1,MIN(IFERROR(MATCH(U17,Tables!$C$260:$C$274,1),1),ROWS(Tables!$C$260:$C$274)-1))+1)-INDEX(Tables!$C$260:$C$274,MAX(1,MIN(IFERROR(MATCH(U17,Tables!$C$260:$C$274,1),1),ROWS(Tables!$C$260:$C$274)-1))))),IF(P17&lt;10,(INDEX(Tables!$F$260:$F$274,MAX(1,MIN(IFERROR(MATCH(U17,Tables!$E$260:$E$274,1),1),ROWS(Tables!$E$260:$E$274)-1)))+(U17-INDEX(Tables!$E$260:$E$274,MAX(1,MIN(IFERROR(MATCH(U17,Tables!$E$260:$E$274,1),1),ROWS(Tables!$E$260:$E$274)-1))))*(INDEX(Tables!$F$260:$F$274,MAX(1,MIN(IFERROR(MATCH(U17,Tables!$E$260:$E$274,1),1),ROWS(Tables!$E$260:$E$274)-1))+1)-INDEX(Tables!$F$260:$F$274,MAX(1,MIN(IFERROR(MATCH(U17,Tables!$E$260:$E$274,1),1),ROWS(Tables!$E$260:$E$274)-1))))/(INDEX(Tables!$E$260:$E$274,MAX(1,MIN(IFERROR(MATCH(U17,Tables!$E$260:$E$274,1),1),ROWS(Tables!$E$260:$E$274)-1))+1)-INDEX(Tables!$E$260:$E$274,MAX(1,MIN(IFERROR(MATCH(U17,Tables!$E$260:$E$274,1),1),ROWS(Tables!$E$260:$E$274)-1))))),(INDEX(Tables!$H$260:$H$274,MAX(1,MIN(IFERROR(MATCH(U17,Tables!$G$260:$G$274,1),1),ROWS(Tables!$G$260:$G$274)-1)))+(U17-INDEX(Tables!$G$260:$G$274,MAX(1,MIN(IFERROR(MATCH(U17,Tables!$G$260:$G$274,1),1),ROWS(Tables!$G$260:$G$274)-1))))*(INDEX(Tables!$H$260:$H$274,MAX(1,MIN(IFERROR(MATCH(U17,Tables!$G$260:$G$274,1),1),ROWS(Tables!$G$260:$G$274)-1))+1)-INDEX(Tables!$H$260:$H$274,MAX(1,MIN(IFERROR(MATCH(U17,Tables!$G$260:$G$274,1),1),ROWS(Tables!$G$260:$G$274)-1))))/(INDEX(Tables!$G$260:$G$274,MAX(1,MIN(IFERROR(MATCH(U17,Tables!$G$260:$G$274,1),1),ROWS(Tables!$G$260:$G$274)-1))+1)-INDEX(Tables!$G$260:$G$274,MAX(1,MIN(IFERROR(MATCH(U17,Tables!$G$260:$G$274,1),1),ROWS(Tables!$G$260:$G$274)-1))))))))</f>
        <v>1.3123750000000001</v>
      </c>
      <c r="AW17" s="181">
        <f t="shared" si="9"/>
        <v>389.77537500000005</v>
      </c>
      <c r="AX17" s="181">
        <f t="shared" si="10"/>
        <v>6134.3046357615895</v>
      </c>
      <c r="AY17" s="181">
        <f t="shared" si="11"/>
        <v>6444.321625258036</v>
      </c>
      <c r="AZ17" s="181">
        <f t="shared" si="12"/>
        <v>2246.3898528117857</v>
      </c>
      <c r="BA17" s="181">
        <f t="shared" si="13"/>
        <v>-1440</v>
      </c>
      <c r="BB17" s="181">
        <f t="shared" si="14"/>
        <v>6832.8116029764396</v>
      </c>
      <c r="BC17" s="181">
        <f t="shared" si="15"/>
        <v>46800</v>
      </c>
      <c r="BD17" s="181">
        <f>VLOOKUP(V17&amp;" "&amp;J17,Tables!$A$152:$E$239,4,FALSE)</f>
        <v>12000</v>
      </c>
      <c r="BE17" s="181">
        <f>VLOOKUP(V17&amp;" "&amp;J17,Tables!$A$152:$E$239,5,FALSE)</f>
        <v>23000</v>
      </c>
      <c r="BF17" s="181">
        <f t="shared" si="16"/>
        <v>8640</v>
      </c>
      <c r="BG17" s="181">
        <f t="shared" si="17"/>
        <v>16560</v>
      </c>
      <c r="BH17" s="181">
        <f t="shared" si="18"/>
        <v>6854.3046357615895</v>
      </c>
      <c r="BI17" s="181">
        <f t="shared" si="19"/>
        <v>46800</v>
      </c>
      <c r="BJ17" s="181">
        <f t="shared" si="20"/>
        <v>6832.8116029764396</v>
      </c>
      <c r="BK17" s="181">
        <f t="shared" si="21"/>
        <v>46800</v>
      </c>
      <c r="BL17" s="181">
        <f t="shared" si="22"/>
        <v>389.77537500000005</v>
      </c>
      <c r="BM17" s="181">
        <f t="shared" si="23"/>
        <v>8640</v>
      </c>
      <c r="BN17" s="181">
        <f t="shared" si="24"/>
        <v>255.60669921875004</v>
      </c>
      <c r="BO17" s="181">
        <f t="shared" si="25"/>
        <v>16560</v>
      </c>
      <c r="BP17" t="str">
        <f t="shared" si="26"/>
        <v>Pass</v>
      </c>
      <c r="BQ17" t="str">
        <f t="shared" si="27"/>
        <v>Pass</v>
      </c>
      <c r="BR17" t="str">
        <f t="shared" si="28"/>
        <v>Pass</v>
      </c>
      <c r="BS17" t="str">
        <f t="shared" si="29"/>
        <v>Pass</v>
      </c>
      <c r="BT17" t="str">
        <f t="shared" si="30"/>
        <v>Pass</v>
      </c>
      <c r="BU17" t="str">
        <f t="shared" si="31"/>
        <v>Barlow Stress</v>
      </c>
    </row>
    <row r="18" spans="1:73">
      <c r="A18" t="s">
        <v>610</v>
      </c>
      <c r="B18" s="181">
        <v>16</v>
      </c>
      <c r="C18" t="s">
        <v>594</v>
      </c>
      <c r="D18" s="181">
        <v>12</v>
      </c>
      <c r="E18" s="181">
        <v>1.3120000000000001</v>
      </c>
      <c r="F18" t="s">
        <v>117</v>
      </c>
      <c r="G18" t="s">
        <v>119</v>
      </c>
      <c r="H18" t="s">
        <v>122</v>
      </c>
      <c r="I18" s="181">
        <v>1</v>
      </c>
      <c r="J18" t="s">
        <v>126</v>
      </c>
      <c r="K18" t="s">
        <v>129</v>
      </c>
      <c r="L18" s="181">
        <v>70</v>
      </c>
      <c r="M18" s="181">
        <v>1440</v>
      </c>
      <c r="N18" t="s">
        <v>390</v>
      </c>
      <c r="O18" s="181">
        <v>120</v>
      </c>
      <c r="P18" s="181">
        <v>6</v>
      </c>
      <c r="Q18" s="181">
        <v>14.75</v>
      </c>
      <c r="R18" t="s">
        <v>417</v>
      </c>
      <c r="S18" t="s">
        <v>156</v>
      </c>
      <c r="T18" s="181">
        <v>70</v>
      </c>
      <c r="U18" s="181">
        <f>HLOOKUP(D18,'Highway Loading'!$C$155:$AD$156,2,FALSE)</f>
        <v>12.75</v>
      </c>
      <c r="V18" s="181">
        <f>IF(ISBLANK(G18),"",INDEX('Highway Loading'!$C$216:$AG$216,1,MATCH(G18,'Highway Loading'!$C$215:$AG$215,0)))</f>
        <v>65000</v>
      </c>
      <c r="W18" s="181">
        <f>INDEX('Highway Loading'!$I$245:$L$253,MATCH(H18,'Highway Loading'!$H$245:$H$253,0),MATCH(I18,'Highway Loading'!$I$244:$L$244,0))</f>
        <v>0.72</v>
      </c>
      <c r="X18" s="181">
        <f t="shared" si="0"/>
        <v>1</v>
      </c>
      <c r="Y18" s="181">
        <f>VLOOKUP(K18,'Highway Loading'!$B$283:$E$292,2,FALSE)</f>
        <v>29000000</v>
      </c>
      <c r="Z18" s="181">
        <f>VLOOKUP(K18,'Highway Loading'!$B$283:$E$292,3,FALSE)</f>
        <v>0.3</v>
      </c>
      <c r="AA18" s="181">
        <f>VLOOKUP(K18,'Highway Loading'!$B$283:$E$292,4,FALSE)</f>
        <v>6.4999999999999996E-6</v>
      </c>
      <c r="AB18" s="181">
        <f t="shared" si="1"/>
        <v>1</v>
      </c>
      <c r="AC18" s="181">
        <f>VLOOKUP(N18,'Highway Loading'!$B$256:$D$261,2,FALSE)</f>
        <v>1000</v>
      </c>
      <c r="AD18" s="181">
        <f>VLOOKUP(N18,'Highway Loading'!$B$256:$D$261,3,FALSE)</f>
        <v>10000</v>
      </c>
      <c r="AE18" s="181">
        <f>VLOOKUP(S18,'Highway Loading'!$B$340:$C$341,2,FALSE)</f>
        <v>10000</v>
      </c>
      <c r="AF18" s="181">
        <f t="shared" si="2"/>
        <v>0.10290196078431373</v>
      </c>
      <c r="AG18" s="181">
        <f t="shared" si="3"/>
        <v>4.8813559322033901</v>
      </c>
      <c r="AH18" s="181">
        <f t="shared" si="4"/>
        <v>1.1568627450980393</v>
      </c>
      <c r="AI18" s="181">
        <f t="shared" si="5"/>
        <v>6996.9512195121952</v>
      </c>
      <c r="AJ18" s="181">
        <f t="shared" si="6"/>
        <v>46800</v>
      </c>
      <c r="AK18" s="181">
        <f>IF(AC18=200,(INDEX(Tables!$B$17:$B$38,MAX(1,MIN(IFERROR(MATCH(AF18,Tables!$A$17:$A$38,1),1),ROWS(Tables!$A$17:$A$38)-1)))+(AF18-INDEX(Tables!$A$17:$A$38,MAX(1,MIN(IFERROR(MATCH(AF18,Tables!$A$17:$A$38,1),1),ROWS(Tables!$A$17:$A$38)-1))))*(INDEX(Tables!$B$17:$B$38,MAX(1,MIN(IFERROR(MATCH(AF18,Tables!$A$17:$A$38,1),1),ROWS(Tables!$A$17:$A$38)-1))+1)-INDEX(Tables!$B$17:$B$38,MAX(1,MIN(IFERROR(MATCH(AF18,Tables!$A$17:$A$38,1),1),ROWS(Tables!$A$17:$A$38)-1))))/(INDEX(Tables!$A$17:$A$38,MAX(1,MIN(IFERROR(MATCH(AF18,Tables!$A$17:$A$38,1),1),ROWS(Tables!$A$17:$A$38)-1))+1)-INDEX(Tables!$A$17:$A$38,MAX(1,MIN(IFERROR(MATCH(AF18,Tables!$A$17:$A$38,1),1),ROWS(Tables!$A$17:$A$38)-1))))),IF(AC18=500,(INDEX(Tables!$D$17:$D$38,MAX(1,MIN(IFERROR(MATCH(AF18,Tables!$C$17:$C$38,1),1),ROWS(Tables!$C$17:$C$38)-1)))+(AF18-INDEX(Tables!$C$17:$C$38,MAX(1,MIN(IFERROR(MATCH(AF18,Tables!$C$17:$C$38,1),1),ROWS(Tables!$C$17:$C$38)-1))))*(INDEX(Tables!$D$17:$D$38,MAX(1,MIN(IFERROR(MATCH(AF18,Tables!$C$17:$C$38,1),1),ROWS(Tables!$C$17:$C$38)-1))+1)-INDEX(Tables!$D$17:$D$38,MAX(1,MIN(IFERROR(MATCH(AF18,Tables!$C$17:$C$38,1),1),ROWS(Tables!$C$17:$C$38)-1))))/(INDEX(Tables!$C$17:$C$38,MAX(1,MIN(IFERROR(MATCH(AF18,Tables!$C$17:$C$38,1),1),ROWS(Tables!$C$17:$C$38)-1))+1)-INDEX(Tables!$C$17:$C$38,MAX(1,MIN(IFERROR(MATCH(AF18,Tables!$C$17:$C$38,1),1),ROWS(Tables!$C$17:$C$38)-1))))),IF(AC18=1000,(INDEX(Tables!$F$17:$F$38,MAX(1,MIN(IFERROR(MATCH(AF18,Tables!$E$17:$E$38,1),1),ROWS(Tables!$E$17:$E$38)-1)))+(AF18-INDEX(Tables!$E$17:$E$38,MAX(1,MIN(IFERROR(MATCH(AF18,Tables!$E$17:$E$38,1),1),ROWS(Tables!$E$17:$E$38)-1))))*(INDEX(Tables!$F$17:$F$38,MAX(1,MIN(IFERROR(MATCH(AF18,Tables!$E$17:$E$38,1),1),ROWS(Tables!$E$17:$E$38)-1))+1)-INDEX(Tables!$F$17:$F$38,MAX(1,MIN(IFERROR(MATCH(AF18,Tables!$E$17:$E$38,1),1),ROWS(Tables!$E$17:$E$38)-1))))/(INDEX(Tables!$E$17:$E$38,MAX(1,MIN(IFERROR(MATCH(AF18,Tables!$E$17:$E$38,1),1),ROWS(Tables!$E$17:$E$38)-1))+1)-INDEX(Tables!$E$17:$E$38,MAX(1,MIN(IFERROR(MATCH(AF18,Tables!$E$17:$E$38,1),1),ROWS(Tables!$E$17:$E$38)-1))))),(INDEX(Tables!$H$17:$H$38,MAX(1,MIN(IFERROR(MATCH(AF18,Tables!$G$17:$G$38,1),1),ROWS(Tables!$G$17:$G$38)-1)))+(AF18-INDEX(Tables!$G$17:$G$38,MAX(1,MIN(IFERROR(MATCH(AF18,Tables!$G$17:$G$38,1),1),ROWS(Tables!$G$17:$G$38)-1))))*(INDEX(Tables!$H$17:$H$38,MAX(1,MIN(IFERROR(MATCH(AF18,Tables!$G$17:$G$38,1),1),ROWS(Tables!$G$17:$G$38)-1))+1)-INDEX(Tables!$H$17:$H$38,MAX(1,MIN(IFERROR(MATCH(AF18,Tables!$G$17:$G$38,1),1),ROWS(Tables!$G$17:$G$38)-1))))/(INDEX(Tables!$G$17:$G$38,MAX(1,MIN(IFERROR(MATCH(AF18,Tables!$G$17:$G$38,1),1),ROWS(Tables!$G$17:$G$38)-1))+1)-INDEX(Tables!$G$17:$G$38,MAX(1,MIN(IFERROR(MATCH(AF18,Tables!$G$17:$G$38,1),1),ROWS(Tables!$G$17:$G$38)-1))))))))</f>
        <v>88</v>
      </c>
      <c r="AL18" s="181">
        <f>IF(AC18&lt;1000,(INDEX(Tables!$B$43:$B$76,MAX(1,MIN(IFERROR(MATCH(AG18,Tables!$A$43:$A$76,1),1),ROWS(Tables!$A$43:$A$76)-1)))+(AG18-INDEX(Tables!$A$43:$A$76,MAX(1,MIN(IFERROR(MATCH(AG18,Tables!$A$43:$A$76,1),1),ROWS(Tables!$A$43:$A$76)-1))))*(INDEX(Tables!$B$43:$B$76,MAX(1,MIN(IFERROR(MATCH(AG18,Tables!$A$43:$A$76,1),1),ROWS(Tables!$A$43:$A$76)-1))+1)-INDEX(Tables!$B$43:$B$76,MAX(1,MIN(IFERROR(MATCH(AG18,Tables!$A$43:$A$76,1),1),ROWS(Tables!$A$43:$A$76)-1))))/(INDEX(Tables!$A$43:$A$76,MAX(1,MIN(IFERROR(MATCH(AG18,Tables!$A$43:$A$76,1),1),ROWS(Tables!$A$43:$A$76)-1))+1)-INDEX(Tables!$A$43:$A$76,MAX(1,MIN(IFERROR(MATCH(AG18,Tables!$A$43:$A$76,1),1),ROWS(Tables!$A$43:$A$76)-1))))),(INDEX(Tables!$D$43:$D$76,MAX(1,MIN(IFERROR(MATCH(AG18,Tables!$C$43:$C$76,1),1),ROWS(Tables!$C$43:$C$76)-1)))+(AG18-INDEX(Tables!$C$43:$C$76,MAX(1,MIN(IFERROR(MATCH(AG18,Tables!$C$43:$C$76,1),1),ROWS(Tables!$C$43:$C$76)-1))))*(INDEX(Tables!$D$43:$D$76,MAX(1,MIN(IFERROR(MATCH(AG18,Tables!$C$43:$C$76,1),1),ROWS(Tables!$C$43:$C$76)-1))+1)-INDEX(Tables!$D$43:$D$76,MAX(1,MIN(IFERROR(MATCH(AG18,Tables!$C$43:$C$76,1),1),ROWS(Tables!$C$43:$C$76)-1))))/(INDEX(Tables!$C$43:$C$76,MAX(1,MIN(IFERROR(MATCH(AG18,Tables!$C$43:$C$76,1),1),ROWS(Tables!$C$43:$C$76)-1))+1)-INDEX(Tables!$C$43:$C$76,MAX(1,MIN(IFERROR(MATCH(AG18,Tables!$C$43:$C$76,1),1),ROWS(Tables!$C$43:$C$76)-1))))))</f>
        <v>0.95557627118644062</v>
      </c>
      <c r="AM18" s="181">
        <f>(INDEX(Tables!$B$80:$B$87,MAX(1,MIN(IFERROR(MATCH(AH18,Tables!$A$80:$A$87,1),1),ROWS(Tables!$A$80:$A$87)-1)))+(AH18-INDEX(Tables!$A$80:$A$87,MAX(1,MIN(IFERROR(MATCH(AH18,Tables!$A$80:$A$87,1),1),ROWS(Tables!$A$80:$A$87)-1))))*(INDEX(Tables!$B$80:$B$87,MAX(1,MIN(IFERROR(MATCH(AH18,Tables!$A$80:$A$87,1),1),ROWS(Tables!$A$80:$A$87)-1))+1)-INDEX(Tables!$B$80:$B$87,MAX(1,MIN(IFERROR(MATCH(AH18,Tables!$A$80:$A$87,1),1),ROWS(Tables!$A$80:$A$87)-1))))/(INDEX(Tables!$A$80:$A$87,MAX(1,MIN(IFERROR(MATCH(AH18,Tables!$A$80:$A$87,1),1),ROWS(Tables!$A$80:$A$87)-1))+1)-INDEX(Tables!$A$80:$A$87,MAX(1,MIN(IFERROR(MATCH(AH18,Tables!$A$80:$A$87,1),1),ROWS(Tables!$A$80:$A$87)-1)))))</f>
        <v>1.1041078431372553</v>
      </c>
      <c r="AN18" s="181">
        <f t="shared" si="7"/>
        <v>82.206700342514154</v>
      </c>
      <c r="AO18" s="181">
        <f>(INDEX(Tables!$B$91:$B$94,MAX(1,MIN(IFERROR(MATCH(P18,Tables!$A$91:$A$94,1),1),ROWS(Tables!$A$91:$A$94)-1)))+(P18-INDEX(Tables!$A$91:$A$94,MAX(1,MIN(IFERROR(MATCH(P18,Tables!$A$91:$A$94,1),1),ROWS(Tables!$A$91:$A$94)-1))))*(INDEX(Tables!$B$91:$B$94,MAX(1,MIN(IFERROR(MATCH(P18,Tables!$A$91:$A$94,1),1),ROWS(Tables!$A$91:$A$94)-1))+1)-INDEX(Tables!$B$91:$B$94,MAX(1,MIN(IFERROR(MATCH(P18,Tables!$A$91:$A$94,1),1),ROWS(Tables!$A$91:$A$94)-1))))/(INDEX(Tables!$A$91:$A$94,MAX(1,MIN(IFERROR(MATCH(P18,Tables!$A$91:$A$94,1),1),ROWS(Tables!$A$91:$A$94)-1))+1)-INDEX(Tables!$A$91:$A$94,MAX(1,MIN(IFERROR(MATCH(P18,Tables!$A$91:$A$94,1),1),ROWS(Tables!$A$91:$A$94)-1)))))</f>
        <v>1.476219512195122</v>
      </c>
      <c r="AP18" s="181">
        <f>IF(AD18=5000,(INDEX(Tables!$B$99:$B$118,MAX(1,MIN(IFERROR(MATCH(AF18,Tables!$A$99:$A$118,1),1),ROWS(Tables!$A$99:$A$118)-1)))+(AF18-INDEX(Tables!$A$99:$A$118,MAX(1,MIN(IFERROR(MATCH(AF18,Tables!$A$99:$A$118,1),1),ROWS(Tables!$A$99:$A$118)-1))))*(INDEX(Tables!$B$99:$B$118,MAX(1,MIN(IFERROR(MATCH(AF18,Tables!$A$99:$A$118,1),1),ROWS(Tables!$A$99:$A$118)-1))+1)-INDEX(Tables!$B$99:$B$118,MAX(1,MIN(IFERROR(MATCH(AF18,Tables!$A$99:$A$118,1),1),ROWS(Tables!$A$99:$A$118)-1))))/(INDEX(Tables!$A$99:$A$118,MAX(1,MIN(IFERROR(MATCH(AF18,Tables!$A$99:$A$118,1),1),ROWS(Tables!$A$99:$A$118)-1))+1)-INDEX(Tables!$A$99:$A$118,MAX(1,MIN(IFERROR(MATCH(AF18,Tables!$A$99:$A$118,1),1),ROWS(Tables!$A$99:$A$118)-1))))),IF(AD18=10000,(INDEX(Tables!$D$99:$D$118,MAX(1,MIN(IFERROR(MATCH(AF18,Tables!$C$99:$C$118,1),1),ROWS(Tables!$C$99:$C$118)-1)))+(AF18-INDEX(Tables!$C$99:$C$118,MAX(1,MIN(IFERROR(MATCH(AF18,Tables!$C$99:$C$118,1),1),ROWS(Tables!$C$99:$C$118)-1))))*(INDEX(Tables!$D$99:$D$118,MAX(1,MIN(IFERROR(MATCH(AF18,Tables!$C$99:$C$118,1),1),ROWS(Tables!$C$99:$C$118)-1))+1)-INDEX(Tables!$D$99:$D$118,MAX(1,MIN(IFERROR(MATCH(AF18,Tables!$C$99:$C$118,1),1),ROWS(Tables!$C$99:$C$118)-1))))/(INDEX(Tables!$C$99:$C$118,MAX(1,MIN(IFERROR(MATCH(AF18,Tables!$C$99:$C$118,1),1),ROWS(Tables!$C$99:$C$118)-1))+1)-INDEX(Tables!$C$99:$C$118,MAX(1,MIN(IFERROR(MATCH(AF18,Tables!$C$99:$C$118,1),1),ROWS(Tables!$C$99:$C$118)-1))))),(INDEX(Tables!$F$99:$F$118,MAX(1,MIN(IFERROR(MATCH(AF18,Tables!$E$99:$E$118,1),1),ROWS(Tables!$E$99:$E$118)-1)))+(AF18-INDEX(Tables!$E$99:$E$118,MAX(1,MIN(IFERROR(MATCH(AF18,Tables!$E$99:$E$118,1),1),ROWS(Tables!$E$99:$E$118)-1))))*(INDEX(Tables!$F$99:$F$118,MAX(1,MIN(IFERROR(MATCH(AF18,Tables!$E$99:$E$118,1),1),ROWS(Tables!$E$99:$E$118)-1))+1)-INDEX(Tables!$F$99:$F$118,MAX(1,MIN(IFERROR(MATCH(AF18,Tables!$E$99:$E$118,1),1),ROWS(Tables!$E$99:$E$118)-1))))/(INDEX(Tables!$E$99:$E$118,MAX(1,MIN(IFERROR(MATCH(AF18,Tables!$E$99:$E$118,1),1),ROWS(Tables!$E$99:$E$118)-1))+1)-INDEX(Tables!$E$99:$E$118,MAX(1,MIN(IFERROR(MATCH(AF18,Tables!$E$99:$E$118,1),1),ROWS(Tables!$E$99:$E$118)-1)))))))</f>
        <v>1.605</v>
      </c>
      <c r="AQ18" s="181">
        <f>IF(P18&lt;6,(INDEX(Tables!$B$123:$B$138,MAX(1,MIN(IFERROR(MATCH(U18,Tables!$A$123:$A$138,1),1),ROWS(Tables!$A$123:$A$138)-1)))+(U18-INDEX(Tables!$A$123:$A$138,MAX(1,MIN(IFERROR(MATCH(U18,Tables!$A$123:$A$138,1),1),ROWS(Tables!$A$123:$A$138)-1))))*(INDEX(Tables!$B$123:$B$138,MAX(1,MIN(IFERROR(MATCH(U18,Tables!$A$123:$A$138,1),1),ROWS(Tables!$A$123:$A$138)-1))+1)-INDEX(Tables!$B$123:$B$138,MAX(1,MIN(IFERROR(MATCH(U18,Tables!$A$123:$A$138,1),1),ROWS(Tables!$A$123:$A$138)-1))))/(INDEX(Tables!$A$123:$A$138,MAX(1,MIN(IFERROR(MATCH(U18,Tables!$A$123:$A$138,1),1),ROWS(Tables!$A$123:$A$138)-1))+1)-INDEX(Tables!$A$123:$A$138,MAX(1,MIN(IFERROR(MATCH(U18,Tables!$A$123:$A$138,1),1),ROWS(Tables!$A$123:$A$138)-1))))),IF(P18&lt;8,(INDEX(Tables!$D$123:$D$138,MAX(1,MIN(IFERROR(MATCH(U18,Tables!$C$123:$C$138,1),1),ROWS(Tables!$C$123:$C$138)-1)))+(U18-INDEX(Tables!$C$123:$C$138,MAX(1,MIN(IFERROR(MATCH(U18,Tables!$C$123:$C$138,1),1),ROWS(Tables!$C$123:$C$138)-1))))*(INDEX(Tables!$D$123:$D$138,MAX(1,MIN(IFERROR(MATCH(U18,Tables!$C$123:$C$138,1),1),ROWS(Tables!$C$123:$C$138)-1))+1)-INDEX(Tables!$D$123:$D$138,MAX(1,MIN(IFERROR(MATCH(U18,Tables!$C$123:$C$138,1),1),ROWS(Tables!$C$123:$C$138)-1))))/(INDEX(Tables!$C$123:$C$138,MAX(1,MIN(IFERROR(MATCH(U18,Tables!$C$123:$C$138,1),1),ROWS(Tables!$C$123:$C$138)-1))+1)-INDEX(Tables!$C$123:$C$138,MAX(1,MIN(IFERROR(MATCH(U18,Tables!$C$123:$C$138,1),1),ROWS(Tables!$C$123:$C$138)-1))))),IF(P18&lt;10,(INDEX(Tables!$F$123:$F$138,MAX(1,MIN(IFERROR(MATCH(U18,Tables!$E$123:$E$138,1),1),ROWS(Tables!$E$123:$E$138)-1)))+(U18-INDEX(Tables!$E$123:$E$138,MAX(1,MIN(IFERROR(MATCH(U18,Tables!$E$123:$E$138,1),1),ROWS(Tables!$E$123:$E$138)-1))))*(INDEX(Tables!$F$123:$F$138,MAX(1,MIN(IFERROR(MATCH(U18,Tables!$E$123:$E$138,1),1),ROWS(Tables!$E$123:$E$138)-1))+1)-INDEX(Tables!$F$123:$F$138,MAX(1,MIN(IFERROR(MATCH(U18,Tables!$E$123:$E$138,1),1),ROWS(Tables!$E$123:$E$138)-1))))/(INDEX(Tables!$E$123:$E$138,MAX(1,MIN(IFERROR(MATCH(U18,Tables!$E$123:$E$138,1),1),ROWS(Tables!$E$123:$E$138)-1))+1)-INDEX(Tables!$E$123:$E$138,MAX(1,MIN(IFERROR(MATCH(U18,Tables!$E$123:$E$138,1),1),ROWS(Tables!$E$123:$E$138)-1))))),(INDEX(Tables!$H$123:$H$138,MAX(1,MIN(IFERROR(MATCH(U18,Tables!$G$123:$G$138,1),1),ROWS(Tables!$G$123:$G$138)-1)))+(U18-INDEX(Tables!$G$123:$G$138,MAX(1,MIN(IFERROR(MATCH(U18,Tables!$G$123:$G$138,1),1),ROWS(Tables!$G$123:$G$138)-1))))*(INDEX(Tables!$H$123:$H$138,MAX(1,MIN(IFERROR(MATCH(U18,Tables!$G$123:$G$138,1),1),ROWS(Tables!$G$123:$G$138)-1))+1)-INDEX(Tables!$H$123:$H$138,MAX(1,MIN(IFERROR(MATCH(U18,Tables!$G$123:$G$138,1),1),ROWS(Tables!$G$123:$G$138)-1))))/(INDEX(Tables!$G$123:$G$138,MAX(1,MIN(IFERROR(MATCH(U18,Tables!$G$123:$G$138,1),1),ROWS(Tables!$G$123:$G$138)-1))+1)-INDEX(Tables!$G$123:$G$138,MAX(1,MIN(IFERROR(MATCH(U18,Tables!$G$123:$G$138,1),1),ROWS(Tables!$G$123:$G$138)-1))))))))</f>
        <v>1.01675</v>
      </c>
      <c r="AR18" s="181">
        <f>IF(OR(P18&gt;=4,U18&gt;12),VLOOKUP(R18&amp;" "&amp;S18,Tables!$D$143:$F$148,2,FALSE),VLOOKUP(R18&amp;" "&amp;S18,Tables!$A$143:$C$148,2,FALSE))</f>
        <v>1.1000000000000001</v>
      </c>
      <c r="AS18" s="181">
        <f>IF(OR(P18&gt;=4,U18&gt;12),VLOOKUP(R18&amp;" "&amp;S18,Tables!$D$143:$F$148,3,FALSE),VLOOKUP(R18&amp;" "&amp;S18,Tables!$A$143:$C$148,3,FALSE))</f>
        <v>1</v>
      </c>
      <c r="AT18" s="181">
        <f t="shared" si="8"/>
        <v>184.02225671684451</v>
      </c>
      <c r="AU18" s="181">
        <f>IF(AD18=5000,(INDEX(Tables!$B$244:$B$263,MAX(1,MIN(IFERROR(MATCH(AF18,Tables!$A$244:$A$263,1),1),ROWS(Tables!$A$244:$A$263)-1)))+(AF18-INDEX(Tables!$A$244:$A$263,MAX(1,MIN(IFERROR(MATCH(AF18,Tables!$A$244:$A$263,1),1),ROWS(Tables!$A$244:$A$263)-1))))*(INDEX(Tables!$B$244:$B$263,MAX(1,MIN(IFERROR(MATCH(AF18,Tables!$A$244:$A$263,1),1),ROWS(Tables!$A$244:$A$263)-1))+1)-INDEX(Tables!$B$244:$B$263,MAX(1,MIN(IFERROR(MATCH(AF18,Tables!$A$244:$A$263,1),1),ROWS(Tables!$A$244:$A$263)-1))))/(INDEX(Tables!$A$244:$A$263,MAX(1,MIN(IFERROR(MATCH(AF18,Tables!$A$244:$A$263,1),1),ROWS(Tables!$A$244:$A$263)-1))+1)-INDEX(Tables!$A$244:$A$263,MAX(1,MIN(IFERROR(MATCH(AF18,Tables!$A$244:$A$263,1),1),ROWS(Tables!$A$244:$A$263)-1))))),IF(AD18=10000,(INDEX(Tables!$D$244:$D$263,MAX(1,MIN(IFERROR(MATCH(AF18,Tables!$C$244:$C$263,1),1),ROWS(Tables!$C$244:$C$263)-1)))+(AF18-INDEX(Tables!$C$244:$C$263,MAX(1,MIN(IFERROR(MATCH(AF18,Tables!$C$244:$C$263,1),1),ROWS(Tables!$C$244:$C$263)-1))))*(INDEX(Tables!$D$244:$D$263,MAX(1,MIN(IFERROR(MATCH(AF18,Tables!$C$244:$C$263,1),1),ROWS(Tables!$C$244:$C$263)-1))+1)-INDEX(Tables!$D$244:$D$263,MAX(1,MIN(IFERROR(MATCH(AF18,Tables!$C$244:$C$263,1),1),ROWS(Tables!$C$244:$C$263)-1))))/(INDEX(Tables!$C$244:$C$263,MAX(1,MIN(IFERROR(MATCH(AF18,Tables!$C$244:$C$263,1),1),ROWS(Tables!$C$244:$C$263)-1))+1)-INDEX(Tables!$C$244:$C$263,MAX(1,MIN(IFERROR(MATCH(AF18,Tables!$C$244:$C$263,1),1),ROWS(Tables!$C$244:$C$263)-1))))),(INDEX(Tables!$F$244:$F$263,MAX(1,MIN(IFERROR(MATCH(AF18,Tables!$E$244:$E$263,1),1),ROWS(Tables!$E$244:$E$263)-1)))+(AF18-INDEX(Tables!$E$244:$E$263,MAX(1,MIN(IFERROR(MATCH(AF18,Tables!$E$244:$E$263,1),1),ROWS(Tables!$E$244:$E$263)-1))))*(INDEX(Tables!$F$244:$F$263,MAX(1,MIN(IFERROR(MATCH(AF18,Tables!$E$244:$E$263,1),1),ROWS(Tables!$E$244:$E$263)-1))+1)-INDEX(Tables!$F$244:$F$263,MAX(1,MIN(IFERROR(MATCH(AF18,Tables!$E$244:$E$263,1),1),ROWS(Tables!$E$244:$E$263)-1))))/(INDEX(Tables!$E$244:$E$263,MAX(1,MIN(IFERROR(MATCH(AF18,Tables!$E$244:$E$263,1),1),ROWS(Tables!$E$244:$E$263)-1))+1)-INDEX(Tables!$E$244:$E$263,MAX(1,MIN(IFERROR(MATCH(AF18,Tables!$E$244:$E$263,1),1),ROWS(Tables!$E$244:$E$263)-1)))))))</f>
        <v>2.5920000000000001</v>
      </c>
      <c r="AV18" s="181">
        <f>IF(P18&lt;6,(INDEX(Tables!$B$260:$B$274,MAX(1,MIN(IFERROR(MATCH(U18,Tables!$A$260:$A$274,1),1),ROWS(Tables!$A$260:$A$274)-1)))+(U18-INDEX(Tables!$A$260:$A$274,MAX(1,MIN(IFERROR(MATCH(U18,Tables!$A$260:$A$274,1),1),ROWS(Tables!$A$260:$A$274)-1))))*(INDEX(Tables!$B$260:$B$274,MAX(1,MIN(IFERROR(MATCH(U18,Tables!$A$260:$A$274,1),1),ROWS(Tables!$A$260:$A$274)-1))+1)-INDEX(Tables!$B$260:$B$274,MAX(1,MIN(IFERROR(MATCH(U18,Tables!$A$260:$A$274,1),1),ROWS(Tables!$A$260:$A$274)-1))))/(INDEX(Tables!$A$260:$A$274,MAX(1,MIN(IFERROR(MATCH(U18,Tables!$A$260:$A$274,1),1),ROWS(Tables!$A$260:$A$274)-1))+1)-INDEX(Tables!$A$260:$A$274,MAX(1,MIN(IFERROR(MATCH(U18,Tables!$A$260:$A$274,1),1),ROWS(Tables!$A$260:$A$274)-1))))),IF(P18&lt;8,(INDEX(Tables!$D$260:$D$274,MAX(1,MIN(IFERROR(MATCH(U18,Tables!$C$260:$C$274,1),1),ROWS(Tables!$C$260:$C$274)-1)))+(U18-INDEX(Tables!$C$260:$C$274,MAX(1,MIN(IFERROR(MATCH(U18,Tables!$C$260:$C$274,1),1),ROWS(Tables!$C$260:$C$274)-1))))*(INDEX(Tables!$D$260:$D$274,MAX(1,MIN(IFERROR(MATCH(U18,Tables!$C$260:$C$274,1),1),ROWS(Tables!$C$260:$C$274)-1))+1)-INDEX(Tables!$D$260:$D$274,MAX(1,MIN(IFERROR(MATCH(U18,Tables!$C$260:$C$274,1),1),ROWS(Tables!$C$260:$C$274)-1))))/(INDEX(Tables!$C$260:$C$274,MAX(1,MIN(IFERROR(MATCH(U18,Tables!$C$260:$C$274,1),1),ROWS(Tables!$C$260:$C$274)-1))+1)-INDEX(Tables!$C$260:$C$274,MAX(1,MIN(IFERROR(MATCH(U18,Tables!$C$260:$C$274,1),1),ROWS(Tables!$C$260:$C$274)-1))))),IF(P18&lt;10,(INDEX(Tables!$F$260:$F$274,MAX(1,MIN(IFERROR(MATCH(U18,Tables!$E$260:$E$274,1),1),ROWS(Tables!$E$260:$E$274)-1)))+(U18-INDEX(Tables!$E$260:$E$274,MAX(1,MIN(IFERROR(MATCH(U18,Tables!$E$260:$E$274,1),1),ROWS(Tables!$E$260:$E$274)-1))))*(INDEX(Tables!$F$260:$F$274,MAX(1,MIN(IFERROR(MATCH(U18,Tables!$E$260:$E$274,1),1),ROWS(Tables!$E$260:$E$274)-1))+1)-INDEX(Tables!$F$260:$F$274,MAX(1,MIN(IFERROR(MATCH(U18,Tables!$E$260:$E$274,1),1),ROWS(Tables!$E$260:$E$274)-1))))/(INDEX(Tables!$E$260:$E$274,MAX(1,MIN(IFERROR(MATCH(U18,Tables!$E$260:$E$274,1),1),ROWS(Tables!$E$260:$E$274)-1))+1)-INDEX(Tables!$E$260:$E$274,MAX(1,MIN(IFERROR(MATCH(U18,Tables!$E$260:$E$274,1),1),ROWS(Tables!$E$260:$E$274)-1))))),(INDEX(Tables!$H$260:$H$274,MAX(1,MIN(IFERROR(MATCH(U18,Tables!$G$260:$G$274,1),1),ROWS(Tables!$G$260:$G$274)-1)))+(U18-INDEX(Tables!$G$260:$G$274,MAX(1,MIN(IFERROR(MATCH(U18,Tables!$G$260:$G$274,1),1),ROWS(Tables!$G$260:$G$274)-1))))*(INDEX(Tables!$H$260:$H$274,MAX(1,MIN(IFERROR(MATCH(U18,Tables!$G$260:$G$274,1),1),ROWS(Tables!$G$260:$G$274)-1))+1)-INDEX(Tables!$H$260:$H$274,MAX(1,MIN(IFERROR(MATCH(U18,Tables!$G$260:$G$274,1),1),ROWS(Tables!$G$260:$G$274)-1))))/(INDEX(Tables!$G$260:$G$274,MAX(1,MIN(IFERROR(MATCH(U18,Tables!$G$260:$G$274,1),1),ROWS(Tables!$G$260:$G$274)-1))+1)-INDEX(Tables!$G$260:$G$274,MAX(1,MIN(IFERROR(MATCH(U18,Tables!$G$260:$G$274,1),1),ROWS(Tables!$G$260:$G$274)-1))))))))</f>
        <v>1.0024999999999999</v>
      </c>
      <c r="AW18" s="181">
        <f t="shared" si="9"/>
        <v>293.02219207317074</v>
      </c>
      <c r="AX18" s="181">
        <f t="shared" si="10"/>
        <v>6276.9512195121952</v>
      </c>
      <c r="AY18" s="181">
        <f t="shared" si="11"/>
        <v>6543.1801765715536</v>
      </c>
      <c r="AZ18" s="181">
        <f t="shared" si="12"/>
        <v>2200.7695680295833</v>
      </c>
      <c r="BA18" s="181">
        <f t="shared" si="13"/>
        <v>-1440</v>
      </c>
      <c r="BB18" s="181">
        <f t="shared" si="14"/>
        <v>6922.5320032583886</v>
      </c>
      <c r="BC18" s="181">
        <f t="shared" si="15"/>
        <v>46800</v>
      </c>
      <c r="BD18" s="181">
        <f>VLOOKUP(V18&amp;" "&amp;J18,Tables!$A$152:$E$239,4,FALSE)</f>
        <v>12000</v>
      </c>
      <c r="BE18" s="181">
        <f>VLOOKUP(V18&amp;" "&amp;J18,Tables!$A$152:$E$239,5,FALSE)</f>
        <v>23000</v>
      </c>
      <c r="BF18" s="181">
        <f t="shared" si="16"/>
        <v>8640</v>
      </c>
      <c r="BG18" s="181">
        <f t="shared" si="17"/>
        <v>16560</v>
      </c>
      <c r="BH18" s="181">
        <f t="shared" si="18"/>
        <v>6996.9512195121952</v>
      </c>
      <c r="BI18" s="181">
        <f t="shared" si="19"/>
        <v>46800</v>
      </c>
      <c r="BJ18" s="181">
        <f t="shared" si="20"/>
        <v>6922.5320032583886</v>
      </c>
      <c r="BK18" s="181">
        <f t="shared" si="21"/>
        <v>46800</v>
      </c>
      <c r="BL18" s="181">
        <f t="shared" si="22"/>
        <v>293.02219207317074</v>
      </c>
      <c r="BM18" s="181">
        <f t="shared" si="23"/>
        <v>8640</v>
      </c>
      <c r="BN18" s="181">
        <f t="shared" si="24"/>
        <v>184.02225671684451</v>
      </c>
      <c r="BO18" s="181">
        <f t="shared" si="25"/>
        <v>16560</v>
      </c>
      <c r="BP18" t="str">
        <f t="shared" si="26"/>
        <v>Pass</v>
      </c>
      <c r="BQ18" t="str">
        <f t="shared" si="27"/>
        <v>Pass</v>
      </c>
      <c r="BR18" t="str">
        <f t="shared" si="28"/>
        <v>Pass</v>
      </c>
      <c r="BS18" t="str">
        <f t="shared" si="29"/>
        <v>Pass</v>
      </c>
      <c r="BT18" t="str">
        <f t="shared" si="30"/>
        <v>Pass</v>
      </c>
      <c r="BU18" t="str">
        <f t="shared" si="31"/>
        <v>Barlow Stress</v>
      </c>
    </row>
    <row r="19" spans="1:73">
      <c r="A19" t="s">
        <v>611</v>
      </c>
      <c r="B19" s="181">
        <v>17</v>
      </c>
      <c r="C19" t="s">
        <v>594</v>
      </c>
      <c r="D19" s="181">
        <v>16</v>
      </c>
      <c r="E19" s="181">
        <v>1.9690000000000001</v>
      </c>
      <c r="F19" t="s">
        <v>117</v>
      </c>
      <c r="G19" t="s">
        <v>119</v>
      </c>
      <c r="H19" t="s">
        <v>122</v>
      </c>
      <c r="I19" s="181">
        <v>1</v>
      </c>
      <c r="J19" t="s">
        <v>126</v>
      </c>
      <c r="K19" t="s">
        <v>129</v>
      </c>
      <c r="L19" s="181">
        <v>70</v>
      </c>
      <c r="M19" s="181">
        <v>1440</v>
      </c>
      <c r="N19" t="s">
        <v>390</v>
      </c>
      <c r="O19" s="181">
        <v>120</v>
      </c>
      <c r="P19" s="181">
        <v>8</v>
      </c>
      <c r="Q19" s="181">
        <v>18</v>
      </c>
      <c r="R19" t="s">
        <v>417</v>
      </c>
      <c r="S19" t="s">
        <v>156</v>
      </c>
      <c r="T19" s="181">
        <v>70</v>
      </c>
      <c r="U19" s="181">
        <f>HLOOKUP(D19,'Highway Loading'!$C$155:$AD$156,2,FALSE)</f>
        <v>16</v>
      </c>
      <c r="V19" s="181">
        <f>IF(ISBLANK(G19),"",INDEX('Highway Loading'!$C$216:$AG$216,1,MATCH(G19,'Highway Loading'!$C$215:$AG$215,0)))</f>
        <v>65000</v>
      </c>
      <c r="W19" s="181">
        <f>INDEX('Highway Loading'!$I$245:$L$253,MATCH(H19,'Highway Loading'!$H$245:$H$253,0),MATCH(I19,'Highway Loading'!$I$244:$L$244,0))</f>
        <v>0.72</v>
      </c>
      <c r="X19" s="181">
        <f t="shared" si="0"/>
        <v>1</v>
      </c>
      <c r="Y19" s="181">
        <f>VLOOKUP(K19,'Highway Loading'!$B$283:$E$292,2,FALSE)</f>
        <v>29000000</v>
      </c>
      <c r="Z19" s="181">
        <f>VLOOKUP(K19,'Highway Loading'!$B$283:$E$292,3,FALSE)</f>
        <v>0.3</v>
      </c>
      <c r="AA19" s="181">
        <f>VLOOKUP(K19,'Highway Loading'!$B$283:$E$292,4,FALSE)</f>
        <v>6.4999999999999996E-6</v>
      </c>
      <c r="AB19" s="181">
        <f t="shared" si="1"/>
        <v>1</v>
      </c>
      <c r="AC19" s="181">
        <f>VLOOKUP(N19,'Highway Loading'!$B$256:$D$261,2,FALSE)</f>
        <v>1000</v>
      </c>
      <c r="AD19" s="181">
        <f>VLOOKUP(N19,'Highway Loading'!$B$256:$D$261,3,FALSE)</f>
        <v>10000</v>
      </c>
      <c r="AE19" s="181">
        <f>VLOOKUP(S19,'Highway Loading'!$B$340:$C$341,2,FALSE)</f>
        <v>10000</v>
      </c>
      <c r="AF19" s="181">
        <f t="shared" si="2"/>
        <v>0.12306250000000001</v>
      </c>
      <c r="AG19" s="181">
        <f t="shared" si="3"/>
        <v>5.333333333333333</v>
      </c>
      <c r="AH19" s="181">
        <f t="shared" si="4"/>
        <v>1.125</v>
      </c>
      <c r="AI19" s="181">
        <f t="shared" si="5"/>
        <v>5850.6856272219402</v>
      </c>
      <c r="AJ19" s="181">
        <f t="shared" si="6"/>
        <v>46800</v>
      </c>
      <c r="AK19" s="181">
        <f>IF(AC19=200,(INDEX(Tables!$B$17:$B$38,MAX(1,MIN(IFERROR(MATCH(AF19,Tables!$A$17:$A$38,1),1),ROWS(Tables!$A$17:$A$38)-1)))+(AF19-INDEX(Tables!$A$17:$A$38,MAX(1,MIN(IFERROR(MATCH(AF19,Tables!$A$17:$A$38,1),1),ROWS(Tables!$A$17:$A$38)-1))))*(INDEX(Tables!$B$17:$B$38,MAX(1,MIN(IFERROR(MATCH(AF19,Tables!$A$17:$A$38,1),1),ROWS(Tables!$A$17:$A$38)-1))+1)-INDEX(Tables!$B$17:$B$38,MAX(1,MIN(IFERROR(MATCH(AF19,Tables!$A$17:$A$38,1),1),ROWS(Tables!$A$17:$A$38)-1))))/(INDEX(Tables!$A$17:$A$38,MAX(1,MIN(IFERROR(MATCH(AF19,Tables!$A$17:$A$38,1),1),ROWS(Tables!$A$17:$A$38)-1))+1)-INDEX(Tables!$A$17:$A$38,MAX(1,MIN(IFERROR(MATCH(AF19,Tables!$A$17:$A$38,1),1),ROWS(Tables!$A$17:$A$38)-1))))),IF(AC19=500,(INDEX(Tables!$D$17:$D$38,MAX(1,MIN(IFERROR(MATCH(AF19,Tables!$C$17:$C$38,1),1),ROWS(Tables!$C$17:$C$38)-1)))+(AF19-INDEX(Tables!$C$17:$C$38,MAX(1,MIN(IFERROR(MATCH(AF19,Tables!$C$17:$C$38,1),1),ROWS(Tables!$C$17:$C$38)-1))))*(INDEX(Tables!$D$17:$D$38,MAX(1,MIN(IFERROR(MATCH(AF19,Tables!$C$17:$C$38,1),1),ROWS(Tables!$C$17:$C$38)-1))+1)-INDEX(Tables!$D$17:$D$38,MAX(1,MIN(IFERROR(MATCH(AF19,Tables!$C$17:$C$38,1),1),ROWS(Tables!$C$17:$C$38)-1))))/(INDEX(Tables!$C$17:$C$38,MAX(1,MIN(IFERROR(MATCH(AF19,Tables!$C$17:$C$38,1),1),ROWS(Tables!$C$17:$C$38)-1))+1)-INDEX(Tables!$C$17:$C$38,MAX(1,MIN(IFERROR(MATCH(AF19,Tables!$C$17:$C$38,1),1),ROWS(Tables!$C$17:$C$38)-1))))),IF(AC19=1000,(INDEX(Tables!$F$17:$F$38,MAX(1,MIN(IFERROR(MATCH(AF19,Tables!$E$17:$E$38,1),1),ROWS(Tables!$E$17:$E$38)-1)))+(AF19-INDEX(Tables!$E$17:$E$38,MAX(1,MIN(IFERROR(MATCH(AF19,Tables!$E$17:$E$38,1),1),ROWS(Tables!$E$17:$E$38)-1))))*(INDEX(Tables!$F$17:$F$38,MAX(1,MIN(IFERROR(MATCH(AF19,Tables!$E$17:$E$38,1),1),ROWS(Tables!$E$17:$E$38)-1))+1)-INDEX(Tables!$F$17:$F$38,MAX(1,MIN(IFERROR(MATCH(AF19,Tables!$E$17:$E$38,1),1),ROWS(Tables!$E$17:$E$38)-1))))/(INDEX(Tables!$E$17:$E$38,MAX(1,MIN(IFERROR(MATCH(AF19,Tables!$E$17:$E$38,1),1),ROWS(Tables!$E$17:$E$38)-1))+1)-INDEX(Tables!$E$17:$E$38,MAX(1,MIN(IFERROR(MATCH(AF19,Tables!$E$17:$E$38,1),1),ROWS(Tables!$E$17:$E$38)-1))))),(INDEX(Tables!$H$17:$H$38,MAX(1,MIN(IFERROR(MATCH(AF19,Tables!$G$17:$G$38,1),1),ROWS(Tables!$G$17:$G$38)-1)))+(AF19-INDEX(Tables!$G$17:$G$38,MAX(1,MIN(IFERROR(MATCH(AF19,Tables!$G$17:$G$38,1),1),ROWS(Tables!$G$17:$G$38)-1))))*(INDEX(Tables!$H$17:$H$38,MAX(1,MIN(IFERROR(MATCH(AF19,Tables!$G$17:$G$38,1),1),ROWS(Tables!$G$17:$G$38)-1))+1)-INDEX(Tables!$H$17:$H$38,MAX(1,MIN(IFERROR(MATCH(AF19,Tables!$G$17:$G$38,1),1),ROWS(Tables!$G$17:$G$38)-1))))/(INDEX(Tables!$G$17:$G$38,MAX(1,MIN(IFERROR(MATCH(AF19,Tables!$G$17:$G$38,1),1),ROWS(Tables!$G$17:$G$38)-1))+1)-INDEX(Tables!$G$17:$G$38,MAX(1,MIN(IFERROR(MATCH(AF19,Tables!$G$17:$G$38,1),1),ROWS(Tables!$G$17:$G$38)-1))))))))</f>
        <v>88</v>
      </c>
      <c r="AL19" s="181">
        <f>IF(AC19&lt;1000,(INDEX(Tables!$B$43:$B$76,MAX(1,MIN(IFERROR(MATCH(AG19,Tables!$A$43:$A$76,1),1),ROWS(Tables!$A$43:$A$76)-1)))+(AG19-INDEX(Tables!$A$43:$A$76,MAX(1,MIN(IFERROR(MATCH(AG19,Tables!$A$43:$A$76,1),1),ROWS(Tables!$A$43:$A$76)-1))))*(INDEX(Tables!$B$43:$B$76,MAX(1,MIN(IFERROR(MATCH(AG19,Tables!$A$43:$A$76,1),1),ROWS(Tables!$A$43:$A$76)-1))+1)-INDEX(Tables!$B$43:$B$76,MAX(1,MIN(IFERROR(MATCH(AG19,Tables!$A$43:$A$76,1),1),ROWS(Tables!$A$43:$A$76)-1))))/(INDEX(Tables!$A$43:$A$76,MAX(1,MIN(IFERROR(MATCH(AG19,Tables!$A$43:$A$76,1),1),ROWS(Tables!$A$43:$A$76)-1))+1)-INDEX(Tables!$A$43:$A$76,MAX(1,MIN(IFERROR(MATCH(AG19,Tables!$A$43:$A$76,1),1),ROWS(Tables!$A$43:$A$76)-1))))),(INDEX(Tables!$D$43:$D$76,MAX(1,MIN(IFERROR(MATCH(AG19,Tables!$C$43:$C$76,1),1),ROWS(Tables!$C$43:$C$76)-1)))+(AG19-INDEX(Tables!$C$43:$C$76,MAX(1,MIN(IFERROR(MATCH(AG19,Tables!$C$43:$C$76,1),1),ROWS(Tables!$C$43:$C$76)-1))))*(INDEX(Tables!$D$43:$D$76,MAX(1,MIN(IFERROR(MATCH(AG19,Tables!$C$43:$C$76,1),1),ROWS(Tables!$C$43:$C$76)-1))+1)-INDEX(Tables!$D$43:$D$76,MAX(1,MIN(IFERROR(MATCH(AG19,Tables!$C$43:$C$76,1),1),ROWS(Tables!$C$43:$C$76)-1))))/(INDEX(Tables!$C$43:$C$76,MAX(1,MIN(IFERROR(MATCH(AG19,Tables!$C$43:$C$76,1),1),ROWS(Tables!$C$43:$C$76)-1))+1)-INDEX(Tables!$C$43:$C$76,MAX(1,MIN(IFERROR(MATCH(AG19,Tables!$C$43:$C$76,1),1),ROWS(Tables!$C$43:$C$76)-1))))))</f>
        <v>0.98666666666666658</v>
      </c>
      <c r="AM19" s="181">
        <f>(INDEX(Tables!$B$80:$B$87,MAX(1,MIN(IFERROR(MATCH(AH19,Tables!$A$80:$A$87,1),1),ROWS(Tables!$A$80:$A$87)-1)))+(AH19-INDEX(Tables!$A$80:$A$87,MAX(1,MIN(IFERROR(MATCH(AH19,Tables!$A$80:$A$87,1),1),ROWS(Tables!$A$80:$A$87)-1))))*(INDEX(Tables!$B$80:$B$87,MAX(1,MIN(IFERROR(MATCH(AH19,Tables!$A$80:$A$87,1),1),ROWS(Tables!$A$80:$A$87)-1))+1)-INDEX(Tables!$B$80:$B$87,MAX(1,MIN(IFERROR(MATCH(AH19,Tables!$A$80:$A$87,1),1),ROWS(Tables!$A$80:$A$87)-1))))/(INDEX(Tables!$A$80:$A$87,MAX(1,MIN(IFERROR(MATCH(AH19,Tables!$A$80:$A$87,1),1),ROWS(Tables!$A$80:$A$87)-1))+1)-INDEX(Tables!$A$80:$A$87,MAX(1,MIN(IFERROR(MATCH(AH19,Tables!$A$80:$A$87,1),1),ROWS(Tables!$A$80:$A$87)-1)))))</f>
        <v>1.04345</v>
      </c>
      <c r="AN19" s="181">
        <f t="shared" si="7"/>
        <v>100.66587259259258</v>
      </c>
      <c r="AO19" s="181">
        <f>(INDEX(Tables!$B$91:$B$94,MAX(1,MIN(IFERROR(MATCH(P19,Tables!$A$91:$A$94,1),1),ROWS(Tables!$A$91:$A$94)-1)))+(P19-INDEX(Tables!$A$91:$A$94,MAX(1,MIN(IFERROR(MATCH(P19,Tables!$A$91:$A$94,1),1),ROWS(Tables!$A$91:$A$94)-1))))*(INDEX(Tables!$B$91:$B$94,MAX(1,MIN(IFERROR(MATCH(P19,Tables!$A$91:$A$94,1),1),ROWS(Tables!$A$91:$A$94)-1))+1)-INDEX(Tables!$B$91:$B$94,MAX(1,MIN(IFERROR(MATCH(P19,Tables!$A$91:$A$94,1),1),ROWS(Tables!$A$91:$A$94)-1))))/(INDEX(Tables!$A$91:$A$94,MAX(1,MIN(IFERROR(MATCH(P19,Tables!$A$91:$A$94,1),1),ROWS(Tables!$A$91:$A$94)-1))+1)-INDEX(Tables!$A$91:$A$94,MAX(1,MIN(IFERROR(MATCH(P19,Tables!$A$91:$A$94,1),1),ROWS(Tables!$A$91:$A$94)-1)))))</f>
        <v>1.4152439024390244</v>
      </c>
      <c r="AP19" s="181">
        <f>IF(AD19=5000,(INDEX(Tables!$B$99:$B$118,MAX(1,MIN(IFERROR(MATCH(AF19,Tables!$A$99:$A$118,1),1),ROWS(Tables!$A$99:$A$118)-1)))+(AF19-INDEX(Tables!$A$99:$A$118,MAX(1,MIN(IFERROR(MATCH(AF19,Tables!$A$99:$A$118,1),1),ROWS(Tables!$A$99:$A$118)-1))))*(INDEX(Tables!$B$99:$B$118,MAX(1,MIN(IFERROR(MATCH(AF19,Tables!$A$99:$A$118,1),1),ROWS(Tables!$A$99:$A$118)-1))+1)-INDEX(Tables!$B$99:$B$118,MAX(1,MIN(IFERROR(MATCH(AF19,Tables!$A$99:$A$118,1),1),ROWS(Tables!$A$99:$A$118)-1))))/(INDEX(Tables!$A$99:$A$118,MAX(1,MIN(IFERROR(MATCH(AF19,Tables!$A$99:$A$118,1),1),ROWS(Tables!$A$99:$A$118)-1))+1)-INDEX(Tables!$A$99:$A$118,MAX(1,MIN(IFERROR(MATCH(AF19,Tables!$A$99:$A$118,1),1),ROWS(Tables!$A$99:$A$118)-1))))),IF(AD19=10000,(INDEX(Tables!$D$99:$D$118,MAX(1,MIN(IFERROR(MATCH(AF19,Tables!$C$99:$C$118,1),1),ROWS(Tables!$C$99:$C$118)-1)))+(AF19-INDEX(Tables!$C$99:$C$118,MAX(1,MIN(IFERROR(MATCH(AF19,Tables!$C$99:$C$118,1),1),ROWS(Tables!$C$99:$C$118)-1))))*(INDEX(Tables!$D$99:$D$118,MAX(1,MIN(IFERROR(MATCH(AF19,Tables!$C$99:$C$118,1),1),ROWS(Tables!$C$99:$C$118)-1))+1)-INDEX(Tables!$D$99:$D$118,MAX(1,MIN(IFERROR(MATCH(AF19,Tables!$C$99:$C$118,1),1),ROWS(Tables!$C$99:$C$118)-1))))/(INDEX(Tables!$C$99:$C$118,MAX(1,MIN(IFERROR(MATCH(AF19,Tables!$C$99:$C$118,1),1),ROWS(Tables!$C$99:$C$118)-1))+1)-INDEX(Tables!$C$99:$C$118,MAX(1,MIN(IFERROR(MATCH(AF19,Tables!$C$99:$C$118,1),1),ROWS(Tables!$C$99:$C$118)-1))))),(INDEX(Tables!$F$99:$F$118,MAX(1,MIN(IFERROR(MATCH(AF19,Tables!$E$99:$E$118,1),1),ROWS(Tables!$E$99:$E$118)-1)))+(AF19-INDEX(Tables!$E$99:$E$118,MAX(1,MIN(IFERROR(MATCH(AF19,Tables!$E$99:$E$118,1),1),ROWS(Tables!$E$99:$E$118)-1))))*(INDEX(Tables!$F$99:$F$118,MAX(1,MIN(IFERROR(MATCH(AF19,Tables!$E$99:$E$118,1),1),ROWS(Tables!$E$99:$E$118)-1))+1)-INDEX(Tables!$F$99:$F$118,MAX(1,MIN(IFERROR(MATCH(AF19,Tables!$E$99:$E$118,1),1),ROWS(Tables!$E$99:$E$118)-1))))/(INDEX(Tables!$E$99:$E$118,MAX(1,MIN(IFERROR(MATCH(AF19,Tables!$E$99:$E$118,1),1),ROWS(Tables!$E$99:$E$118)-1))+1)-INDEX(Tables!$E$99:$E$118,MAX(1,MIN(IFERROR(MATCH(AF19,Tables!$E$99:$E$118,1),1),ROWS(Tables!$E$99:$E$118)-1)))))))</f>
        <v>1.605</v>
      </c>
      <c r="AQ19" s="181">
        <f>IF(P19&lt;6,(INDEX(Tables!$B$123:$B$138,MAX(1,MIN(IFERROR(MATCH(U19,Tables!$A$123:$A$138,1),1),ROWS(Tables!$A$123:$A$138)-1)))+(U19-INDEX(Tables!$A$123:$A$138,MAX(1,MIN(IFERROR(MATCH(U19,Tables!$A$123:$A$138,1),1),ROWS(Tables!$A$123:$A$138)-1))))*(INDEX(Tables!$B$123:$B$138,MAX(1,MIN(IFERROR(MATCH(U19,Tables!$A$123:$A$138,1),1),ROWS(Tables!$A$123:$A$138)-1))+1)-INDEX(Tables!$B$123:$B$138,MAX(1,MIN(IFERROR(MATCH(U19,Tables!$A$123:$A$138,1),1),ROWS(Tables!$A$123:$A$138)-1))))/(INDEX(Tables!$A$123:$A$138,MAX(1,MIN(IFERROR(MATCH(U19,Tables!$A$123:$A$138,1),1),ROWS(Tables!$A$123:$A$138)-1))+1)-INDEX(Tables!$A$123:$A$138,MAX(1,MIN(IFERROR(MATCH(U19,Tables!$A$123:$A$138,1),1),ROWS(Tables!$A$123:$A$138)-1))))),IF(P19&lt;8,(INDEX(Tables!$D$123:$D$138,MAX(1,MIN(IFERROR(MATCH(U19,Tables!$C$123:$C$138,1),1),ROWS(Tables!$C$123:$C$138)-1)))+(U19-INDEX(Tables!$C$123:$C$138,MAX(1,MIN(IFERROR(MATCH(U19,Tables!$C$123:$C$138,1),1),ROWS(Tables!$C$123:$C$138)-1))))*(INDEX(Tables!$D$123:$D$138,MAX(1,MIN(IFERROR(MATCH(U19,Tables!$C$123:$C$138,1),1),ROWS(Tables!$C$123:$C$138)-1))+1)-INDEX(Tables!$D$123:$D$138,MAX(1,MIN(IFERROR(MATCH(U19,Tables!$C$123:$C$138,1),1),ROWS(Tables!$C$123:$C$138)-1))))/(INDEX(Tables!$C$123:$C$138,MAX(1,MIN(IFERROR(MATCH(U19,Tables!$C$123:$C$138,1),1),ROWS(Tables!$C$123:$C$138)-1))+1)-INDEX(Tables!$C$123:$C$138,MAX(1,MIN(IFERROR(MATCH(U19,Tables!$C$123:$C$138,1),1),ROWS(Tables!$C$123:$C$138)-1))))),IF(P19&lt;10,(INDEX(Tables!$F$123:$F$138,MAX(1,MIN(IFERROR(MATCH(U19,Tables!$E$123:$E$138,1),1),ROWS(Tables!$E$123:$E$138)-1)))+(U19-INDEX(Tables!$E$123:$E$138,MAX(1,MIN(IFERROR(MATCH(U19,Tables!$E$123:$E$138,1),1),ROWS(Tables!$E$123:$E$138)-1))))*(INDEX(Tables!$F$123:$F$138,MAX(1,MIN(IFERROR(MATCH(U19,Tables!$E$123:$E$138,1),1),ROWS(Tables!$E$123:$E$138)-1))+1)-INDEX(Tables!$F$123:$F$138,MAX(1,MIN(IFERROR(MATCH(U19,Tables!$E$123:$E$138,1),1),ROWS(Tables!$E$123:$E$138)-1))))/(INDEX(Tables!$E$123:$E$138,MAX(1,MIN(IFERROR(MATCH(U19,Tables!$E$123:$E$138,1),1),ROWS(Tables!$E$123:$E$138)-1))+1)-INDEX(Tables!$E$123:$E$138,MAX(1,MIN(IFERROR(MATCH(U19,Tables!$E$123:$E$138,1),1),ROWS(Tables!$E$123:$E$138)-1))))),(INDEX(Tables!$H$123:$H$138,MAX(1,MIN(IFERROR(MATCH(U19,Tables!$G$123:$G$138,1),1),ROWS(Tables!$G$123:$G$138)-1)))+(U19-INDEX(Tables!$G$123:$G$138,MAX(1,MIN(IFERROR(MATCH(U19,Tables!$G$123:$G$138,1),1),ROWS(Tables!$G$123:$G$138)-1))))*(INDEX(Tables!$H$123:$H$138,MAX(1,MIN(IFERROR(MATCH(U19,Tables!$G$123:$G$138,1),1),ROWS(Tables!$G$123:$G$138)-1))+1)-INDEX(Tables!$H$123:$H$138,MAX(1,MIN(IFERROR(MATCH(U19,Tables!$G$123:$G$138,1),1),ROWS(Tables!$G$123:$G$138)-1))))/(INDEX(Tables!$G$123:$G$138,MAX(1,MIN(IFERROR(MATCH(U19,Tables!$G$123:$G$138,1),1),ROWS(Tables!$G$123:$G$138)-1))+1)-INDEX(Tables!$G$123:$G$138,MAX(1,MIN(IFERROR(MATCH(U19,Tables!$G$123:$G$138,1),1),ROWS(Tables!$G$123:$G$138)-1))))))))</f>
        <v>0.79200000000000004</v>
      </c>
      <c r="AR19" s="181">
        <f>IF(OR(P19&gt;=4,U19&gt;12),VLOOKUP(R19&amp;" "&amp;S19,Tables!$D$143:$F$148,2,FALSE),VLOOKUP(R19&amp;" "&amp;S19,Tables!$A$143:$C$148,2,FALSE))</f>
        <v>1.1000000000000001</v>
      </c>
      <c r="AS19" s="181">
        <f>IF(OR(P19&gt;=4,U19&gt;12),VLOOKUP(R19&amp;" "&amp;S19,Tables!$D$143:$F$148,3,FALSE),VLOOKUP(R19&amp;" "&amp;S19,Tables!$A$143:$C$148,3,FALSE))</f>
        <v>1</v>
      </c>
      <c r="AT19" s="181">
        <f t="shared" si="8"/>
        <v>137.42372103658539</v>
      </c>
      <c r="AU19" s="181">
        <f>IF(AD19=5000,(INDEX(Tables!$B$244:$B$263,MAX(1,MIN(IFERROR(MATCH(AF19,Tables!$A$244:$A$263,1),1),ROWS(Tables!$A$244:$A$263)-1)))+(AF19-INDEX(Tables!$A$244:$A$263,MAX(1,MIN(IFERROR(MATCH(AF19,Tables!$A$244:$A$263,1),1),ROWS(Tables!$A$244:$A$263)-1))))*(INDEX(Tables!$B$244:$B$263,MAX(1,MIN(IFERROR(MATCH(AF19,Tables!$A$244:$A$263,1),1),ROWS(Tables!$A$244:$A$263)-1))+1)-INDEX(Tables!$B$244:$B$263,MAX(1,MIN(IFERROR(MATCH(AF19,Tables!$A$244:$A$263,1),1),ROWS(Tables!$A$244:$A$263)-1))))/(INDEX(Tables!$A$244:$A$263,MAX(1,MIN(IFERROR(MATCH(AF19,Tables!$A$244:$A$263,1),1),ROWS(Tables!$A$244:$A$263)-1))+1)-INDEX(Tables!$A$244:$A$263,MAX(1,MIN(IFERROR(MATCH(AF19,Tables!$A$244:$A$263,1),1),ROWS(Tables!$A$244:$A$263)-1))))),IF(AD19=10000,(INDEX(Tables!$D$244:$D$263,MAX(1,MIN(IFERROR(MATCH(AF19,Tables!$C$244:$C$263,1),1),ROWS(Tables!$C$244:$C$263)-1)))+(AF19-INDEX(Tables!$C$244:$C$263,MAX(1,MIN(IFERROR(MATCH(AF19,Tables!$C$244:$C$263,1),1),ROWS(Tables!$C$244:$C$263)-1))))*(INDEX(Tables!$D$244:$D$263,MAX(1,MIN(IFERROR(MATCH(AF19,Tables!$C$244:$C$263,1),1),ROWS(Tables!$C$244:$C$263)-1))+1)-INDEX(Tables!$D$244:$D$263,MAX(1,MIN(IFERROR(MATCH(AF19,Tables!$C$244:$C$263,1),1),ROWS(Tables!$C$244:$C$263)-1))))/(INDEX(Tables!$C$244:$C$263,MAX(1,MIN(IFERROR(MATCH(AF19,Tables!$C$244:$C$263,1),1),ROWS(Tables!$C$244:$C$263)-1))+1)-INDEX(Tables!$C$244:$C$263,MAX(1,MIN(IFERROR(MATCH(AF19,Tables!$C$244:$C$263,1),1),ROWS(Tables!$C$244:$C$263)-1))))),(INDEX(Tables!$F$244:$F$263,MAX(1,MIN(IFERROR(MATCH(AF19,Tables!$E$244:$E$263,1),1),ROWS(Tables!$E$244:$E$263)-1)))+(AF19-INDEX(Tables!$E$244:$E$263,MAX(1,MIN(IFERROR(MATCH(AF19,Tables!$E$244:$E$263,1),1),ROWS(Tables!$E$244:$E$263)-1))))*(INDEX(Tables!$F$244:$F$263,MAX(1,MIN(IFERROR(MATCH(AF19,Tables!$E$244:$E$263,1),1),ROWS(Tables!$E$244:$E$263)-1))+1)-INDEX(Tables!$F$244:$F$263,MAX(1,MIN(IFERROR(MATCH(AF19,Tables!$E$244:$E$263,1),1),ROWS(Tables!$E$244:$E$263)-1))))/(INDEX(Tables!$E$244:$E$263,MAX(1,MIN(IFERROR(MATCH(AF19,Tables!$E$244:$E$263,1),1),ROWS(Tables!$E$244:$E$263)-1))+1)-INDEX(Tables!$E$244:$E$263,MAX(1,MIN(IFERROR(MATCH(AF19,Tables!$E$244:$E$263,1),1),ROWS(Tables!$E$244:$E$263)-1)))))))</f>
        <v>2.5920000000000001</v>
      </c>
      <c r="AV19" s="181">
        <f>IF(P19&lt;6,(INDEX(Tables!$B$260:$B$274,MAX(1,MIN(IFERROR(MATCH(U19,Tables!$A$260:$A$274,1),1),ROWS(Tables!$A$260:$A$274)-1)))+(U19-INDEX(Tables!$A$260:$A$274,MAX(1,MIN(IFERROR(MATCH(U19,Tables!$A$260:$A$274,1),1),ROWS(Tables!$A$260:$A$274)-1))))*(INDEX(Tables!$B$260:$B$274,MAX(1,MIN(IFERROR(MATCH(U19,Tables!$A$260:$A$274,1),1),ROWS(Tables!$A$260:$A$274)-1))+1)-INDEX(Tables!$B$260:$B$274,MAX(1,MIN(IFERROR(MATCH(U19,Tables!$A$260:$A$274,1),1),ROWS(Tables!$A$260:$A$274)-1))))/(INDEX(Tables!$A$260:$A$274,MAX(1,MIN(IFERROR(MATCH(U19,Tables!$A$260:$A$274,1),1),ROWS(Tables!$A$260:$A$274)-1))+1)-INDEX(Tables!$A$260:$A$274,MAX(1,MIN(IFERROR(MATCH(U19,Tables!$A$260:$A$274,1),1),ROWS(Tables!$A$260:$A$274)-1))))),IF(P19&lt;8,(INDEX(Tables!$D$260:$D$274,MAX(1,MIN(IFERROR(MATCH(U19,Tables!$C$260:$C$274,1),1),ROWS(Tables!$C$260:$C$274)-1)))+(U19-INDEX(Tables!$C$260:$C$274,MAX(1,MIN(IFERROR(MATCH(U19,Tables!$C$260:$C$274,1),1),ROWS(Tables!$C$260:$C$274)-1))))*(INDEX(Tables!$D$260:$D$274,MAX(1,MIN(IFERROR(MATCH(U19,Tables!$C$260:$C$274,1),1),ROWS(Tables!$C$260:$C$274)-1))+1)-INDEX(Tables!$D$260:$D$274,MAX(1,MIN(IFERROR(MATCH(U19,Tables!$C$260:$C$274,1),1),ROWS(Tables!$C$260:$C$274)-1))))/(INDEX(Tables!$C$260:$C$274,MAX(1,MIN(IFERROR(MATCH(U19,Tables!$C$260:$C$274,1),1),ROWS(Tables!$C$260:$C$274)-1))+1)-INDEX(Tables!$C$260:$C$274,MAX(1,MIN(IFERROR(MATCH(U19,Tables!$C$260:$C$274,1),1),ROWS(Tables!$C$260:$C$274)-1))))),IF(P19&lt;10,(INDEX(Tables!$F$260:$F$274,MAX(1,MIN(IFERROR(MATCH(U19,Tables!$E$260:$E$274,1),1),ROWS(Tables!$E$260:$E$274)-1)))+(U19-INDEX(Tables!$E$260:$E$274,MAX(1,MIN(IFERROR(MATCH(U19,Tables!$E$260:$E$274,1),1),ROWS(Tables!$E$260:$E$274)-1))))*(INDEX(Tables!$F$260:$F$274,MAX(1,MIN(IFERROR(MATCH(U19,Tables!$E$260:$E$274,1),1),ROWS(Tables!$E$260:$E$274)-1))+1)-INDEX(Tables!$F$260:$F$274,MAX(1,MIN(IFERROR(MATCH(U19,Tables!$E$260:$E$274,1),1),ROWS(Tables!$E$260:$E$274)-1))))/(INDEX(Tables!$E$260:$E$274,MAX(1,MIN(IFERROR(MATCH(U19,Tables!$E$260:$E$274,1),1),ROWS(Tables!$E$260:$E$274)-1))+1)-INDEX(Tables!$E$260:$E$274,MAX(1,MIN(IFERROR(MATCH(U19,Tables!$E$260:$E$274,1),1),ROWS(Tables!$E$260:$E$274)-1))))),(INDEX(Tables!$H$260:$H$274,MAX(1,MIN(IFERROR(MATCH(U19,Tables!$G$260:$G$274,1),1),ROWS(Tables!$G$260:$G$274)-1)))+(U19-INDEX(Tables!$G$260:$G$274,MAX(1,MIN(IFERROR(MATCH(U19,Tables!$G$260:$G$274,1),1),ROWS(Tables!$G$260:$G$274)-1))))*(INDEX(Tables!$H$260:$H$274,MAX(1,MIN(IFERROR(MATCH(U19,Tables!$G$260:$G$274,1),1),ROWS(Tables!$G$260:$G$274)-1))+1)-INDEX(Tables!$H$260:$H$274,MAX(1,MIN(IFERROR(MATCH(U19,Tables!$G$260:$G$274,1),1),ROWS(Tables!$G$260:$G$274)-1))))/(INDEX(Tables!$G$260:$G$274,MAX(1,MIN(IFERROR(MATCH(U19,Tables!$G$260:$G$274,1),1),ROWS(Tables!$G$260:$G$274)-1))+1)-INDEX(Tables!$G$260:$G$274,MAX(1,MIN(IFERROR(MATCH(U19,Tables!$G$260:$G$274,1),1),ROWS(Tables!$G$260:$G$274)-1))))))))</f>
        <v>0.84099999999999997</v>
      </c>
      <c r="AW19" s="181">
        <f t="shared" si="9"/>
        <v>235.66358414634146</v>
      </c>
      <c r="AX19" s="181">
        <f t="shared" si="10"/>
        <v>5130.6856272219393</v>
      </c>
      <c r="AY19" s="181">
        <f t="shared" si="11"/>
        <v>5368.7752208511174</v>
      </c>
      <c r="AZ19" s="181">
        <f t="shared" si="12"/>
        <v>1805.0690340907011</v>
      </c>
      <c r="BA19" s="181">
        <f t="shared" si="13"/>
        <v>-1440</v>
      </c>
      <c r="BB19" s="181">
        <f t="shared" si="14"/>
        <v>5898.7242192547455</v>
      </c>
      <c r="BC19" s="181">
        <f t="shared" si="15"/>
        <v>46800</v>
      </c>
      <c r="BD19" s="181">
        <f>VLOOKUP(V19&amp;" "&amp;J19,Tables!$A$152:$E$239,4,FALSE)</f>
        <v>12000</v>
      </c>
      <c r="BE19" s="181">
        <f>VLOOKUP(V19&amp;" "&amp;J19,Tables!$A$152:$E$239,5,FALSE)</f>
        <v>23000</v>
      </c>
      <c r="BF19" s="181">
        <f t="shared" si="16"/>
        <v>8640</v>
      </c>
      <c r="BG19" s="181">
        <f t="shared" si="17"/>
        <v>16560</v>
      </c>
      <c r="BH19" s="181">
        <f t="shared" si="18"/>
        <v>5850.6856272219402</v>
      </c>
      <c r="BI19" s="181">
        <f t="shared" si="19"/>
        <v>46800</v>
      </c>
      <c r="BJ19" s="181">
        <f t="shared" si="20"/>
        <v>5898.7242192547455</v>
      </c>
      <c r="BK19" s="181">
        <f t="shared" si="21"/>
        <v>46800</v>
      </c>
      <c r="BL19" s="181">
        <f t="shared" si="22"/>
        <v>235.66358414634146</v>
      </c>
      <c r="BM19" s="181">
        <f t="shared" si="23"/>
        <v>8640</v>
      </c>
      <c r="BN19" s="181">
        <f t="shared" si="24"/>
        <v>137.42372103658539</v>
      </c>
      <c r="BO19" s="181">
        <f t="shared" si="25"/>
        <v>16560</v>
      </c>
      <c r="BP19" t="str">
        <f t="shared" si="26"/>
        <v>Pass</v>
      </c>
      <c r="BQ19" t="str">
        <f t="shared" si="27"/>
        <v>Pass</v>
      </c>
      <c r="BR19" t="str">
        <f t="shared" si="28"/>
        <v>Pass</v>
      </c>
      <c r="BS19" t="str">
        <f t="shared" si="29"/>
        <v>Pass</v>
      </c>
      <c r="BT19" t="str">
        <f t="shared" si="30"/>
        <v>Pass</v>
      </c>
      <c r="BU19" t="str">
        <f t="shared" si="31"/>
        <v>Effective Stress</v>
      </c>
    </row>
    <row r="20" spans="1:73">
      <c r="A20" t="s">
        <v>612</v>
      </c>
      <c r="B20" s="181">
        <v>18</v>
      </c>
      <c r="C20" t="s">
        <v>594</v>
      </c>
      <c r="D20" s="181">
        <v>24</v>
      </c>
      <c r="E20" s="181">
        <v>2.3439999999999999</v>
      </c>
      <c r="F20" t="s">
        <v>117</v>
      </c>
      <c r="G20" t="s">
        <v>119</v>
      </c>
      <c r="H20" t="s">
        <v>122</v>
      </c>
      <c r="I20" s="181">
        <v>1</v>
      </c>
      <c r="J20" t="s">
        <v>126</v>
      </c>
      <c r="K20" t="s">
        <v>129</v>
      </c>
      <c r="L20" s="181">
        <v>70</v>
      </c>
      <c r="M20" s="181">
        <v>3000</v>
      </c>
      <c r="N20" t="s">
        <v>390</v>
      </c>
      <c r="O20" s="181">
        <v>120</v>
      </c>
      <c r="P20" s="181">
        <v>10</v>
      </c>
      <c r="Q20" s="181">
        <v>26</v>
      </c>
      <c r="R20" t="s">
        <v>417</v>
      </c>
      <c r="S20" t="s">
        <v>156</v>
      </c>
      <c r="T20" s="181">
        <v>70</v>
      </c>
      <c r="U20" s="181">
        <f>HLOOKUP(D20,'Highway Loading'!$C$155:$AD$156,2,FALSE)</f>
        <v>24</v>
      </c>
      <c r="V20" s="181">
        <f>IF(ISBLANK(G20),"",INDEX('Highway Loading'!$C$216:$AG$216,1,MATCH(G20,'Highway Loading'!$C$215:$AG$215,0)))</f>
        <v>65000</v>
      </c>
      <c r="W20" s="181">
        <f>INDEX('Highway Loading'!$I$245:$L$253,MATCH(H20,'Highway Loading'!$H$245:$H$253,0),MATCH(I20,'Highway Loading'!$I$244:$L$244,0))</f>
        <v>0.72</v>
      </c>
      <c r="X20" s="181">
        <f t="shared" si="0"/>
        <v>1</v>
      </c>
      <c r="Y20" s="181">
        <f>VLOOKUP(K20,'Highway Loading'!$B$283:$E$292,2,FALSE)</f>
        <v>29000000</v>
      </c>
      <c r="Z20" s="181">
        <f>VLOOKUP(K20,'Highway Loading'!$B$283:$E$292,3,FALSE)</f>
        <v>0.3</v>
      </c>
      <c r="AA20" s="181">
        <f>VLOOKUP(K20,'Highway Loading'!$B$283:$E$292,4,FALSE)</f>
        <v>6.4999999999999996E-6</v>
      </c>
      <c r="AB20" s="181">
        <f t="shared" si="1"/>
        <v>1</v>
      </c>
      <c r="AC20" s="181">
        <f>VLOOKUP(N20,'Highway Loading'!$B$256:$D$261,2,FALSE)</f>
        <v>1000</v>
      </c>
      <c r="AD20" s="181">
        <f>VLOOKUP(N20,'Highway Loading'!$B$256:$D$261,3,FALSE)</f>
        <v>10000</v>
      </c>
      <c r="AE20" s="181">
        <f>VLOOKUP(S20,'Highway Loading'!$B$340:$C$341,2,FALSE)</f>
        <v>10000</v>
      </c>
      <c r="AF20" s="181">
        <f t="shared" si="2"/>
        <v>9.7666666666666666E-2</v>
      </c>
      <c r="AG20" s="181">
        <f t="shared" si="3"/>
        <v>4.615384615384615</v>
      </c>
      <c r="AH20" s="181">
        <f t="shared" si="4"/>
        <v>1.0833333333333333</v>
      </c>
      <c r="AI20" s="181">
        <f t="shared" si="5"/>
        <v>15358.361774744028</v>
      </c>
      <c r="AJ20" s="181">
        <f t="shared" si="6"/>
        <v>46800</v>
      </c>
      <c r="AK20" s="181">
        <f>IF(AC20=200,(INDEX(Tables!$B$17:$B$38,MAX(1,MIN(IFERROR(MATCH(AF20,Tables!$A$17:$A$38,1),1),ROWS(Tables!$A$17:$A$38)-1)))+(AF20-INDEX(Tables!$A$17:$A$38,MAX(1,MIN(IFERROR(MATCH(AF20,Tables!$A$17:$A$38,1),1),ROWS(Tables!$A$17:$A$38)-1))))*(INDEX(Tables!$B$17:$B$38,MAX(1,MIN(IFERROR(MATCH(AF20,Tables!$A$17:$A$38,1),1),ROWS(Tables!$A$17:$A$38)-1))+1)-INDEX(Tables!$B$17:$B$38,MAX(1,MIN(IFERROR(MATCH(AF20,Tables!$A$17:$A$38,1),1),ROWS(Tables!$A$17:$A$38)-1))))/(INDEX(Tables!$A$17:$A$38,MAX(1,MIN(IFERROR(MATCH(AF20,Tables!$A$17:$A$38,1),1),ROWS(Tables!$A$17:$A$38)-1))+1)-INDEX(Tables!$A$17:$A$38,MAX(1,MIN(IFERROR(MATCH(AF20,Tables!$A$17:$A$38,1),1),ROWS(Tables!$A$17:$A$38)-1))))),IF(AC20=500,(INDEX(Tables!$D$17:$D$38,MAX(1,MIN(IFERROR(MATCH(AF20,Tables!$C$17:$C$38,1),1),ROWS(Tables!$C$17:$C$38)-1)))+(AF20-INDEX(Tables!$C$17:$C$38,MAX(1,MIN(IFERROR(MATCH(AF20,Tables!$C$17:$C$38,1),1),ROWS(Tables!$C$17:$C$38)-1))))*(INDEX(Tables!$D$17:$D$38,MAX(1,MIN(IFERROR(MATCH(AF20,Tables!$C$17:$C$38,1),1),ROWS(Tables!$C$17:$C$38)-1))+1)-INDEX(Tables!$D$17:$D$38,MAX(1,MIN(IFERROR(MATCH(AF20,Tables!$C$17:$C$38,1),1),ROWS(Tables!$C$17:$C$38)-1))))/(INDEX(Tables!$C$17:$C$38,MAX(1,MIN(IFERROR(MATCH(AF20,Tables!$C$17:$C$38,1),1),ROWS(Tables!$C$17:$C$38)-1))+1)-INDEX(Tables!$C$17:$C$38,MAX(1,MIN(IFERROR(MATCH(AF20,Tables!$C$17:$C$38,1),1),ROWS(Tables!$C$17:$C$38)-1))))),IF(AC20=1000,(INDEX(Tables!$F$17:$F$38,MAX(1,MIN(IFERROR(MATCH(AF20,Tables!$E$17:$E$38,1),1),ROWS(Tables!$E$17:$E$38)-1)))+(AF20-INDEX(Tables!$E$17:$E$38,MAX(1,MIN(IFERROR(MATCH(AF20,Tables!$E$17:$E$38,1),1),ROWS(Tables!$E$17:$E$38)-1))))*(INDEX(Tables!$F$17:$F$38,MAX(1,MIN(IFERROR(MATCH(AF20,Tables!$E$17:$E$38,1),1),ROWS(Tables!$E$17:$E$38)-1))+1)-INDEX(Tables!$F$17:$F$38,MAX(1,MIN(IFERROR(MATCH(AF20,Tables!$E$17:$E$38,1),1),ROWS(Tables!$E$17:$E$38)-1))))/(INDEX(Tables!$E$17:$E$38,MAX(1,MIN(IFERROR(MATCH(AF20,Tables!$E$17:$E$38,1),1),ROWS(Tables!$E$17:$E$38)-1))+1)-INDEX(Tables!$E$17:$E$38,MAX(1,MIN(IFERROR(MATCH(AF20,Tables!$E$17:$E$38,1),1),ROWS(Tables!$E$17:$E$38)-1))))),(INDEX(Tables!$H$17:$H$38,MAX(1,MIN(IFERROR(MATCH(AF20,Tables!$G$17:$G$38,1),1),ROWS(Tables!$G$17:$G$38)-1)))+(AF20-INDEX(Tables!$G$17:$G$38,MAX(1,MIN(IFERROR(MATCH(AF20,Tables!$G$17:$G$38,1),1),ROWS(Tables!$G$17:$G$38)-1))))*(INDEX(Tables!$H$17:$H$38,MAX(1,MIN(IFERROR(MATCH(AF20,Tables!$G$17:$G$38,1),1),ROWS(Tables!$G$17:$G$38)-1))+1)-INDEX(Tables!$H$17:$H$38,MAX(1,MIN(IFERROR(MATCH(AF20,Tables!$G$17:$G$38,1),1),ROWS(Tables!$G$17:$G$38)-1))))/(INDEX(Tables!$G$17:$G$38,MAX(1,MIN(IFERROR(MATCH(AF20,Tables!$G$17:$G$38,1),1),ROWS(Tables!$G$17:$G$38)-1))+1)-INDEX(Tables!$G$17:$G$38,MAX(1,MIN(IFERROR(MATCH(AF20,Tables!$G$17:$G$38,1),1),ROWS(Tables!$G$17:$G$38)-1))))))))</f>
        <v>88</v>
      </c>
      <c r="AL20" s="181">
        <f>IF(AC20&lt;1000,(INDEX(Tables!$B$43:$B$76,MAX(1,MIN(IFERROR(MATCH(AG20,Tables!$A$43:$A$76,1),1),ROWS(Tables!$A$43:$A$76)-1)))+(AG20-INDEX(Tables!$A$43:$A$76,MAX(1,MIN(IFERROR(MATCH(AG20,Tables!$A$43:$A$76,1),1),ROWS(Tables!$A$43:$A$76)-1))))*(INDEX(Tables!$B$43:$B$76,MAX(1,MIN(IFERROR(MATCH(AG20,Tables!$A$43:$A$76,1),1),ROWS(Tables!$A$43:$A$76)-1))+1)-INDEX(Tables!$B$43:$B$76,MAX(1,MIN(IFERROR(MATCH(AG20,Tables!$A$43:$A$76,1),1),ROWS(Tables!$A$43:$A$76)-1))))/(INDEX(Tables!$A$43:$A$76,MAX(1,MIN(IFERROR(MATCH(AG20,Tables!$A$43:$A$76,1),1),ROWS(Tables!$A$43:$A$76)-1))+1)-INDEX(Tables!$A$43:$A$76,MAX(1,MIN(IFERROR(MATCH(AG20,Tables!$A$43:$A$76,1),1),ROWS(Tables!$A$43:$A$76)-1))))),(INDEX(Tables!$D$43:$D$76,MAX(1,MIN(IFERROR(MATCH(AG20,Tables!$C$43:$C$76,1),1),ROWS(Tables!$C$43:$C$76)-1)))+(AG20-INDEX(Tables!$C$43:$C$76,MAX(1,MIN(IFERROR(MATCH(AG20,Tables!$C$43:$C$76,1),1),ROWS(Tables!$C$43:$C$76)-1))))*(INDEX(Tables!$D$43:$D$76,MAX(1,MIN(IFERROR(MATCH(AG20,Tables!$C$43:$C$76,1),1),ROWS(Tables!$C$43:$C$76)-1))+1)-INDEX(Tables!$D$43:$D$76,MAX(1,MIN(IFERROR(MATCH(AG20,Tables!$C$43:$C$76,1),1),ROWS(Tables!$C$43:$C$76)-1))))/(INDEX(Tables!$C$43:$C$76,MAX(1,MIN(IFERROR(MATCH(AG20,Tables!$C$43:$C$76,1),1),ROWS(Tables!$C$43:$C$76)-1))+1)-INDEX(Tables!$C$43:$C$76,MAX(1,MIN(IFERROR(MATCH(AG20,Tables!$C$43:$C$76,1),1),ROWS(Tables!$C$43:$C$76)-1))))))</f>
        <v>0.9366923076923076</v>
      </c>
      <c r="AM20" s="181">
        <f>(INDEX(Tables!$B$80:$B$87,MAX(1,MIN(IFERROR(MATCH(AH20,Tables!$A$80:$A$87,1),1),ROWS(Tables!$A$80:$A$87)-1)))+(AH20-INDEX(Tables!$A$80:$A$87,MAX(1,MIN(IFERROR(MATCH(AH20,Tables!$A$80:$A$87,1),1),ROWS(Tables!$A$80:$A$87)-1))))*(INDEX(Tables!$B$80:$B$87,MAX(1,MIN(IFERROR(MATCH(AH20,Tables!$A$80:$A$87,1),1),ROWS(Tables!$A$80:$A$87)-1))+1)-INDEX(Tables!$B$80:$B$87,MAX(1,MIN(IFERROR(MATCH(AH20,Tables!$A$80:$A$87,1),1),ROWS(Tables!$A$80:$A$87)-1))))/(INDEX(Tables!$A$80:$A$87,MAX(1,MIN(IFERROR(MATCH(AH20,Tables!$A$80:$A$87,1),1),ROWS(Tables!$A$80:$A$87)-1))+1)-INDEX(Tables!$A$80:$A$87,MAX(1,MIN(IFERROR(MATCH(AH20,Tables!$A$80:$A$87,1),1),ROWS(Tables!$A$80:$A$87)-1)))))</f>
        <v>0.96739999999999982</v>
      </c>
      <c r="AN20" s="181">
        <f t="shared" si="7"/>
        <v>132.90290030769228</v>
      </c>
      <c r="AO20" s="181">
        <f>(INDEX(Tables!$B$91:$B$94,MAX(1,MIN(IFERROR(MATCH(P20,Tables!$A$91:$A$94,1),1),ROWS(Tables!$A$91:$A$94)-1)))+(P20-INDEX(Tables!$A$91:$A$94,MAX(1,MIN(IFERROR(MATCH(P20,Tables!$A$91:$A$94,1),1),ROWS(Tables!$A$91:$A$94)-1))))*(INDEX(Tables!$B$91:$B$94,MAX(1,MIN(IFERROR(MATCH(P20,Tables!$A$91:$A$94,1),1),ROWS(Tables!$A$91:$A$94)-1))+1)-INDEX(Tables!$B$91:$B$94,MAX(1,MIN(IFERROR(MATCH(P20,Tables!$A$91:$A$94,1),1),ROWS(Tables!$A$91:$A$94)-1))))/(INDEX(Tables!$A$91:$A$94,MAX(1,MIN(IFERROR(MATCH(P20,Tables!$A$91:$A$94,1),1),ROWS(Tables!$A$91:$A$94)-1))+1)-INDEX(Tables!$A$91:$A$94,MAX(1,MIN(IFERROR(MATCH(P20,Tables!$A$91:$A$94,1),1),ROWS(Tables!$A$91:$A$94)-1)))))</f>
        <v>1.3542682926829268</v>
      </c>
      <c r="AP20" s="181">
        <f>IF(AD20=5000,(INDEX(Tables!$B$99:$B$118,MAX(1,MIN(IFERROR(MATCH(AF20,Tables!$A$99:$A$118,1),1),ROWS(Tables!$A$99:$A$118)-1)))+(AF20-INDEX(Tables!$A$99:$A$118,MAX(1,MIN(IFERROR(MATCH(AF20,Tables!$A$99:$A$118,1),1),ROWS(Tables!$A$99:$A$118)-1))))*(INDEX(Tables!$B$99:$B$118,MAX(1,MIN(IFERROR(MATCH(AF20,Tables!$A$99:$A$118,1),1),ROWS(Tables!$A$99:$A$118)-1))+1)-INDEX(Tables!$B$99:$B$118,MAX(1,MIN(IFERROR(MATCH(AF20,Tables!$A$99:$A$118,1),1),ROWS(Tables!$A$99:$A$118)-1))))/(INDEX(Tables!$A$99:$A$118,MAX(1,MIN(IFERROR(MATCH(AF20,Tables!$A$99:$A$118,1),1),ROWS(Tables!$A$99:$A$118)-1))+1)-INDEX(Tables!$A$99:$A$118,MAX(1,MIN(IFERROR(MATCH(AF20,Tables!$A$99:$A$118,1),1),ROWS(Tables!$A$99:$A$118)-1))))),IF(AD20=10000,(INDEX(Tables!$D$99:$D$118,MAX(1,MIN(IFERROR(MATCH(AF20,Tables!$C$99:$C$118,1),1),ROWS(Tables!$C$99:$C$118)-1)))+(AF20-INDEX(Tables!$C$99:$C$118,MAX(1,MIN(IFERROR(MATCH(AF20,Tables!$C$99:$C$118,1),1),ROWS(Tables!$C$99:$C$118)-1))))*(INDEX(Tables!$D$99:$D$118,MAX(1,MIN(IFERROR(MATCH(AF20,Tables!$C$99:$C$118,1),1),ROWS(Tables!$C$99:$C$118)-1))+1)-INDEX(Tables!$D$99:$D$118,MAX(1,MIN(IFERROR(MATCH(AF20,Tables!$C$99:$C$118,1),1),ROWS(Tables!$C$99:$C$118)-1))))/(INDEX(Tables!$C$99:$C$118,MAX(1,MIN(IFERROR(MATCH(AF20,Tables!$C$99:$C$118,1),1),ROWS(Tables!$C$99:$C$118)-1))+1)-INDEX(Tables!$C$99:$C$118,MAX(1,MIN(IFERROR(MATCH(AF20,Tables!$C$99:$C$118,1),1),ROWS(Tables!$C$99:$C$118)-1))))),(INDEX(Tables!$F$99:$F$118,MAX(1,MIN(IFERROR(MATCH(AF20,Tables!$E$99:$E$118,1),1),ROWS(Tables!$E$99:$E$118)-1)))+(AF20-INDEX(Tables!$E$99:$E$118,MAX(1,MIN(IFERROR(MATCH(AF20,Tables!$E$99:$E$118,1),1),ROWS(Tables!$E$99:$E$118)-1))))*(INDEX(Tables!$F$99:$F$118,MAX(1,MIN(IFERROR(MATCH(AF20,Tables!$E$99:$E$118,1),1),ROWS(Tables!$E$99:$E$118)-1))+1)-INDEX(Tables!$F$99:$F$118,MAX(1,MIN(IFERROR(MATCH(AF20,Tables!$E$99:$E$118,1),1),ROWS(Tables!$E$99:$E$118)-1))))/(INDEX(Tables!$E$99:$E$118,MAX(1,MIN(IFERROR(MATCH(AF20,Tables!$E$99:$E$118,1),1),ROWS(Tables!$E$99:$E$118)-1))+1)-INDEX(Tables!$E$99:$E$118,MAX(1,MIN(IFERROR(MATCH(AF20,Tables!$E$99:$E$118,1),1),ROWS(Tables!$E$99:$E$118)-1)))))))</f>
        <v>1.605</v>
      </c>
      <c r="AQ20" s="181">
        <f>IF(P20&lt;6,(INDEX(Tables!$B$123:$B$138,MAX(1,MIN(IFERROR(MATCH(U20,Tables!$A$123:$A$138,1),1),ROWS(Tables!$A$123:$A$138)-1)))+(U20-INDEX(Tables!$A$123:$A$138,MAX(1,MIN(IFERROR(MATCH(U20,Tables!$A$123:$A$138,1),1),ROWS(Tables!$A$123:$A$138)-1))))*(INDEX(Tables!$B$123:$B$138,MAX(1,MIN(IFERROR(MATCH(U20,Tables!$A$123:$A$138,1),1),ROWS(Tables!$A$123:$A$138)-1))+1)-INDEX(Tables!$B$123:$B$138,MAX(1,MIN(IFERROR(MATCH(U20,Tables!$A$123:$A$138,1),1),ROWS(Tables!$A$123:$A$138)-1))))/(INDEX(Tables!$A$123:$A$138,MAX(1,MIN(IFERROR(MATCH(U20,Tables!$A$123:$A$138,1),1),ROWS(Tables!$A$123:$A$138)-1))+1)-INDEX(Tables!$A$123:$A$138,MAX(1,MIN(IFERROR(MATCH(U20,Tables!$A$123:$A$138,1),1),ROWS(Tables!$A$123:$A$138)-1))))),IF(P20&lt;8,(INDEX(Tables!$D$123:$D$138,MAX(1,MIN(IFERROR(MATCH(U20,Tables!$C$123:$C$138,1),1),ROWS(Tables!$C$123:$C$138)-1)))+(U20-INDEX(Tables!$C$123:$C$138,MAX(1,MIN(IFERROR(MATCH(U20,Tables!$C$123:$C$138,1),1),ROWS(Tables!$C$123:$C$138)-1))))*(INDEX(Tables!$D$123:$D$138,MAX(1,MIN(IFERROR(MATCH(U20,Tables!$C$123:$C$138,1),1),ROWS(Tables!$C$123:$C$138)-1))+1)-INDEX(Tables!$D$123:$D$138,MAX(1,MIN(IFERROR(MATCH(U20,Tables!$C$123:$C$138,1),1),ROWS(Tables!$C$123:$C$138)-1))))/(INDEX(Tables!$C$123:$C$138,MAX(1,MIN(IFERROR(MATCH(U20,Tables!$C$123:$C$138,1),1),ROWS(Tables!$C$123:$C$138)-1))+1)-INDEX(Tables!$C$123:$C$138,MAX(1,MIN(IFERROR(MATCH(U20,Tables!$C$123:$C$138,1),1),ROWS(Tables!$C$123:$C$138)-1))))),IF(P20&lt;10,(INDEX(Tables!$F$123:$F$138,MAX(1,MIN(IFERROR(MATCH(U20,Tables!$E$123:$E$138,1),1),ROWS(Tables!$E$123:$E$138)-1)))+(U20-INDEX(Tables!$E$123:$E$138,MAX(1,MIN(IFERROR(MATCH(U20,Tables!$E$123:$E$138,1),1),ROWS(Tables!$E$123:$E$138)-1))))*(INDEX(Tables!$F$123:$F$138,MAX(1,MIN(IFERROR(MATCH(U20,Tables!$E$123:$E$138,1),1),ROWS(Tables!$E$123:$E$138)-1))+1)-INDEX(Tables!$F$123:$F$138,MAX(1,MIN(IFERROR(MATCH(U20,Tables!$E$123:$E$138,1),1),ROWS(Tables!$E$123:$E$138)-1))))/(INDEX(Tables!$E$123:$E$138,MAX(1,MIN(IFERROR(MATCH(U20,Tables!$E$123:$E$138,1),1),ROWS(Tables!$E$123:$E$138)-1))+1)-INDEX(Tables!$E$123:$E$138,MAX(1,MIN(IFERROR(MATCH(U20,Tables!$E$123:$E$138,1),1),ROWS(Tables!$E$123:$E$138)-1))))),(INDEX(Tables!$H$123:$H$138,MAX(1,MIN(IFERROR(MATCH(U20,Tables!$G$123:$G$138,1),1),ROWS(Tables!$G$123:$G$138)-1)))+(U20-INDEX(Tables!$G$123:$G$138,MAX(1,MIN(IFERROR(MATCH(U20,Tables!$G$123:$G$138,1),1),ROWS(Tables!$G$123:$G$138)-1))))*(INDEX(Tables!$H$123:$H$138,MAX(1,MIN(IFERROR(MATCH(U20,Tables!$G$123:$G$138,1),1),ROWS(Tables!$G$123:$G$138)-1))+1)-INDEX(Tables!$H$123:$H$138,MAX(1,MIN(IFERROR(MATCH(U20,Tables!$G$123:$G$138,1),1),ROWS(Tables!$G$123:$G$138)-1))))/(INDEX(Tables!$G$123:$G$138,MAX(1,MIN(IFERROR(MATCH(U20,Tables!$G$123:$G$138,1),1),ROWS(Tables!$G$123:$G$138)-1))+1)-INDEX(Tables!$G$123:$G$138,MAX(1,MIN(IFERROR(MATCH(U20,Tables!$G$123:$G$138,1),1),ROWS(Tables!$G$123:$G$138)-1))))))))</f>
        <v>0.57750000000000001</v>
      </c>
      <c r="AR20" s="181">
        <f>IF(OR(P20&gt;=4,U20&gt;12),VLOOKUP(R20&amp;" "&amp;S20,Tables!$D$143:$F$148,2,FALSE),VLOOKUP(R20&amp;" "&amp;S20,Tables!$A$143:$C$148,2,FALSE))</f>
        <v>1.1000000000000001</v>
      </c>
      <c r="AS20" s="181">
        <f>IF(OR(P20&gt;=4,U20&gt;12),VLOOKUP(R20&amp;" "&amp;S20,Tables!$D$143:$F$148,3,FALSE),VLOOKUP(R20&amp;" "&amp;S20,Tables!$A$143:$C$148,3,FALSE))</f>
        <v>1</v>
      </c>
      <c r="AT20" s="181">
        <f t="shared" si="8"/>
        <v>95.887485232469515</v>
      </c>
      <c r="AU20" s="181">
        <f>IF(AD20=5000,(INDEX(Tables!$B$244:$B$263,MAX(1,MIN(IFERROR(MATCH(AF20,Tables!$A$244:$A$263,1),1),ROWS(Tables!$A$244:$A$263)-1)))+(AF20-INDEX(Tables!$A$244:$A$263,MAX(1,MIN(IFERROR(MATCH(AF20,Tables!$A$244:$A$263,1),1),ROWS(Tables!$A$244:$A$263)-1))))*(INDEX(Tables!$B$244:$B$263,MAX(1,MIN(IFERROR(MATCH(AF20,Tables!$A$244:$A$263,1),1),ROWS(Tables!$A$244:$A$263)-1))+1)-INDEX(Tables!$B$244:$B$263,MAX(1,MIN(IFERROR(MATCH(AF20,Tables!$A$244:$A$263,1),1),ROWS(Tables!$A$244:$A$263)-1))))/(INDEX(Tables!$A$244:$A$263,MAX(1,MIN(IFERROR(MATCH(AF20,Tables!$A$244:$A$263,1),1),ROWS(Tables!$A$244:$A$263)-1))+1)-INDEX(Tables!$A$244:$A$263,MAX(1,MIN(IFERROR(MATCH(AF20,Tables!$A$244:$A$263,1),1),ROWS(Tables!$A$244:$A$263)-1))))),IF(AD20=10000,(INDEX(Tables!$D$244:$D$263,MAX(1,MIN(IFERROR(MATCH(AF20,Tables!$C$244:$C$263,1),1),ROWS(Tables!$C$244:$C$263)-1)))+(AF20-INDEX(Tables!$C$244:$C$263,MAX(1,MIN(IFERROR(MATCH(AF20,Tables!$C$244:$C$263,1),1),ROWS(Tables!$C$244:$C$263)-1))))*(INDEX(Tables!$D$244:$D$263,MAX(1,MIN(IFERROR(MATCH(AF20,Tables!$C$244:$C$263,1),1),ROWS(Tables!$C$244:$C$263)-1))+1)-INDEX(Tables!$D$244:$D$263,MAX(1,MIN(IFERROR(MATCH(AF20,Tables!$C$244:$C$263,1),1),ROWS(Tables!$C$244:$C$263)-1))))/(INDEX(Tables!$C$244:$C$263,MAX(1,MIN(IFERROR(MATCH(AF20,Tables!$C$244:$C$263,1),1),ROWS(Tables!$C$244:$C$263)-1))+1)-INDEX(Tables!$C$244:$C$263,MAX(1,MIN(IFERROR(MATCH(AF20,Tables!$C$244:$C$263,1),1),ROWS(Tables!$C$244:$C$263)-1))))),(INDEX(Tables!$F$244:$F$263,MAX(1,MIN(IFERROR(MATCH(AF20,Tables!$E$244:$E$263,1),1),ROWS(Tables!$E$244:$E$263)-1)))+(AF20-INDEX(Tables!$E$244:$E$263,MAX(1,MIN(IFERROR(MATCH(AF20,Tables!$E$244:$E$263,1),1),ROWS(Tables!$E$244:$E$263)-1))))*(INDEX(Tables!$F$244:$F$263,MAX(1,MIN(IFERROR(MATCH(AF20,Tables!$E$244:$E$263,1),1),ROWS(Tables!$E$244:$E$263)-1))+1)-INDEX(Tables!$F$244:$F$263,MAX(1,MIN(IFERROR(MATCH(AF20,Tables!$E$244:$E$263,1),1),ROWS(Tables!$E$244:$E$263)-1))))/(INDEX(Tables!$E$244:$E$263,MAX(1,MIN(IFERROR(MATCH(AF20,Tables!$E$244:$E$263,1),1),ROWS(Tables!$E$244:$E$263)-1))+1)-INDEX(Tables!$E$244:$E$263,MAX(1,MIN(IFERROR(MATCH(AF20,Tables!$E$244:$E$263,1),1),ROWS(Tables!$E$244:$E$263)-1)))))))</f>
        <v>2.5920000000000001</v>
      </c>
      <c r="AV20" s="181">
        <f>IF(P20&lt;6,(INDEX(Tables!$B$260:$B$274,MAX(1,MIN(IFERROR(MATCH(U20,Tables!$A$260:$A$274,1),1),ROWS(Tables!$A$260:$A$274)-1)))+(U20-INDEX(Tables!$A$260:$A$274,MAX(1,MIN(IFERROR(MATCH(U20,Tables!$A$260:$A$274,1),1),ROWS(Tables!$A$260:$A$274)-1))))*(INDEX(Tables!$B$260:$B$274,MAX(1,MIN(IFERROR(MATCH(U20,Tables!$A$260:$A$274,1),1),ROWS(Tables!$A$260:$A$274)-1))+1)-INDEX(Tables!$B$260:$B$274,MAX(1,MIN(IFERROR(MATCH(U20,Tables!$A$260:$A$274,1),1),ROWS(Tables!$A$260:$A$274)-1))))/(INDEX(Tables!$A$260:$A$274,MAX(1,MIN(IFERROR(MATCH(U20,Tables!$A$260:$A$274,1),1),ROWS(Tables!$A$260:$A$274)-1))+1)-INDEX(Tables!$A$260:$A$274,MAX(1,MIN(IFERROR(MATCH(U20,Tables!$A$260:$A$274,1),1),ROWS(Tables!$A$260:$A$274)-1))))),IF(P20&lt;8,(INDEX(Tables!$D$260:$D$274,MAX(1,MIN(IFERROR(MATCH(U20,Tables!$C$260:$C$274,1),1),ROWS(Tables!$C$260:$C$274)-1)))+(U20-INDEX(Tables!$C$260:$C$274,MAX(1,MIN(IFERROR(MATCH(U20,Tables!$C$260:$C$274,1),1),ROWS(Tables!$C$260:$C$274)-1))))*(INDEX(Tables!$D$260:$D$274,MAX(1,MIN(IFERROR(MATCH(U20,Tables!$C$260:$C$274,1),1),ROWS(Tables!$C$260:$C$274)-1))+1)-INDEX(Tables!$D$260:$D$274,MAX(1,MIN(IFERROR(MATCH(U20,Tables!$C$260:$C$274,1),1),ROWS(Tables!$C$260:$C$274)-1))))/(INDEX(Tables!$C$260:$C$274,MAX(1,MIN(IFERROR(MATCH(U20,Tables!$C$260:$C$274,1),1),ROWS(Tables!$C$260:$C$274)-1))+1)-INDEX(Tables!$C$260:$C$274,MAX(1,MIN(IFERROR(MATCH(U20,Tables!$C$260:$C$274,1),1),ROWS(Tables!$C$260:$C$274)-1))))),IF(P20&lt;10,(INDEX(Tables!$F$260:$F$274,MAX(1,MIN(IFERROR(MATCH(U20,Tables!$E$260:$E$274,1),1),ROWS(Tables!$E$260:$E$274)-1)))+(U20-INDEX(Tables!$E$260:$E$274,MAX(1,MIN(IFERROR(MATCH(U20,Tables!$E$260:$E$274,1),1),ROWS(Tables!$E$260:$E$274)-1))))*(INDEX(Tables!$F$260:$F$274,MAX(1,MIN(IFERROR(MATCH(U20,Tables!$E$260:$E$274,1),1),ROWS(Tables!$E$260:$E$274)-1))+1)-INDEX(Tables!$F$260:$F$274,MAX(1,MIN(IFERROR(MATCH(U20,Tables!$E$260:$E$274,1),1),ROWS(Tables!$E$260:$E$274)-1))))/(INDEX(Tables!$E$260:$E$274,MAX(1,MIN(IFERROR(MATCH(U20,Tables!$E$260:$E$274,1),1),ROWS(Tables!$E$260:$E$274)-1))+1)-INDEX(Tables!$E$260:$E$274,MAX(1,MIN(IFERROR(MATCH(U20,Tables!$E$260:$E$274,1),1),ROWS(Tables!$E$260:$E$274)-1))))),(INDEX(Tables!$H$260:$H$274,MAX(1,MIN(IFERROR(MATCH(U20,Tables!$G$260:$G$274,1),1),ROWS(Tables!$G$260:$G$274)-1)))+(U20-INDEX(Tables!$G$260:$G$274,MAX(1,MIN(IFERROR(MATCH(U20,Tables!$G$260:$G$274,1),1),ROWS(Tables!$G$260:$G$274)-1))))*(INDEX(Tables!$H$260:$H$274,MAX(1,MIN(IFERROR(MATCH(U20,Tables!$G$260:$G$274,1),1),ROWS(Tables!$G$260:$G$274)-1))+1)-INDEX(Tables!$H$260:$H$274,MAX(1,MIN(IFERROR(MATCH(U20,Tables!$G$260:$G$274,1),1),ROWS(Tables!$G$260:$G$274)-1))))/(INDEX(Tables!$G$260:$G$274,MAX(1,MIN(IFERROR(MATCH(U20,Tables!$G$260:$G$274,1),1),ROWS(Tables!$G$260:$G$274)-1))+1)-INDEX(Tables!$G$260:$G$274,MAX(1,MIN(IFERROR(MATCH(U20,Tables!$G$260:$G$274,1),1),ROWS(Tables!$G$260:$G$274)-1))))))))</f>
        <v>0.64533333333333331</v>
      </c>
      <c r="AW20" s="181">
        <f t="shared" si="9"/>
        <v>173.04298536585364</v>
      </c>
      <c r="AX20" s="181">
        <f t="shared" si="10"/>
        <v>13858.361774744028</v>
      </c>
      <c r="AY20" s="181">
        <f t="shared" si="11"/>
        <v>14087.152160284189</v>
      </c>
      <c r="AZ20" s="181">
        <f t="shared" si="12"/>
        <v>4370.4223878813691</v>
      </c>
      <c r="BA20" s="181">
        <f t="shared" si="13"/>
        <v>-3000</v>
      </c>
      <c r="BB20" s="181">
        <f t="shared" si="14"/>
        <v>14844.337853107274</v>
      </c>
      <c r="BC20" s="181">
        <f t="shared" si="15"/>
        <v>46800</v>
      </c>
      <c r="BD20" s="181">
        <f>VLOOKUP(V20&amp;" "&amp;J20,Tables!$A$152:$E$239,4,FALSE)</f>
        <v>12000</v>
      </c>
      <c r="BE20" s="181">
        <f>VLOOKUP(V20&amp;" "&amp;J20,Tables!$A$152:$E$239,5,FALSE)</f>
        <v>23000</v>
      </c>
      <c r="BF20" s="181">
        <f t="shared" si="16"/>
        <v>8640</v>
      </c>
      <c r="BG20" s="181">
        <f t="shared" si="17"/>
        <v>16560</v>
      </c>
      <c r="BH20" s="181">
        <f t="shared" si="18"/>
        <v>15358.361774744028</v>
      </c>
      <c r="BI20" s="181">
        <f t="shared" si="19"/>
        <v>46800</v>
      </c>
      <c r="BJ20" s="181">
        <f t="shared" si="20"/>
        <v>14844.337853107274</v>
      </c>
      <c r="BK20" s="181">
        <f t="shared" si="21"/>
        <v>46800</v>
      </c>
      <c r="BL20" s="181">
        <f t="shared" si="22"/>
        <v>173.04298536585364</v>
      </c>
      <c r="BM20" s="181">
        <f t="shared" si="23"/>
        <v>8640</v>
      </c>
      <c r="BN20" s="181">
        <f t="shared" si="24"/>
        <v>95.887485232469515</v>
      </c>
      <c r="BO20" s="181">
        <f t="shared" si="25"/>
        <v>16560</v>
      </c>
      <c r="BP20" t="str">
        <f t="shared" si="26"/>
        <v>Pass</v>
      </c>
      <c r="BQ20" t="str">
        <f t="shared" si="27"/>
        <v>Pass</v>
      </c>
      <c r="BR20" t="str">
        <f t="shared" si="28"/>
        <v>Pass</v>
      </c>
      <c r="BS20" t="str">
        <f t="shared" si="29"/>
        <v>Pass</v>
      </c>
      <c r="BT20" t="str">
        <f t="shared" si="30"/>
        <v>Pass</v>
      </c>
      <c r="BU20" t="str">
        <f t="shared" si="31"/>
        <v>Barlow Stress</v>
      </c>
    </row>
    <row r="21" spans="1:73">
      <c r="A21" t="s">
        <v>613</v>
      </c>
      <c r="B21" s="181">
        <v>19</v>
      </c>
      <c r="C21" t="s">
        <v>594</v>
      </c>
      <c r="D21" s="181">
        <v>36</v>
      </c>
      <c r="E21" s="181">
        <v>0.75</v>
      </c>
      <c r="F21" t="s">
        <v>117</v>
      </c>
      <c r="G21" t="s">
        <v>119</v>
      </c>
      <c r="H21" t="s">
        <v>122</v>
      </c>
      <c r="I21" s="181">
        <v>1</v>
      </c>
      <c r="J21" t="s">
        <v>126</v>
      </c>
      <c r="K21" t="s">
        <v>129</v>
      </c>
      <c r="L21" s="181">
        <v>70</v>
      </c>
      <c r="M21" s="181">
        <v>3000</v>
      </c>
      <c r="N21" t="s">
        <v>390</v>
      </c>
      <c r="O21" s="181">
        <v>120</v>
      </c>
      <c r="P21" s="181">
        <v>14</v>
      </c>
      <c r="Q21" s="181">
        <v>38</v>
      </c>
      <c r="R21" t="s">
        <v>417</v>
      </c>
      <c r="S21" t="s">
        <v>156</v>
      </c>
      <c r="T21" s="181">
        <v>70</v>
      </c>
      <c r="U21" s="181">
        <f>HLOOKUP(D21,'Highway Loading'!$C$155:$AD$156,2,FALSE)</f>
        <v>36</v>
      </c>
      <c r="V21" s="181">
        <f>IF(ISBLANK(G21),"",INDEX('Highway Loading'!$C$216:$AG$216,1,MATCH(G21,'Highway Loading'!$C$215:$AG$215,0)))</f>
        <v>65000</v>
      </c>
      <c r="W21" s="181">
        <f>INDEX('Highway Loading'!$I$245:$L$253,MATCH(H21,'Highway Loading'!$H$245:$H$253,0),MATCH(I21,'Highway Loading'!$I$244:$L$244,0))</f>
        <v>0.72</v>
      </c>
      <c r="X21" s="181">
        <f t="shared" si="0"/>
        <v>1</v>
      </c>
      <c r="Y21" s="181">
        <f>VLOOKUP(K21,'Highway Loading'!$B$283:$E$292,2,FALSE)</f>
        <v>29000000</v>
      </c>
      <c r="Z21" s="181">
        <f>VLOOKUP(K21,'Highway Loading'!$B$283:$E$292,3,FALSE)</f>
        <v>0.3</v>
      </c>
      <c r="AA21" s="181">
        <f>VLOOKUP(K21,'Highway Loading'!$B$283:$E$292,4,FALSE)</f>
        <v>6.4999999999999996E-6</v>
      </c>
      <c r="AB21" s="181">
        <f t="shared" si="1"/>
        <v>1</v>
      </c>
      <c r="AC21" s="181">
        <f>VLOOKUP(N21,'Highway Loading'!$B$256:$D$261,2,FALSE)</f>
        <v>1000</v>
      </c>
      <c r="AD21" s="181">
        <f>VLOOKUP(N21,'Highway Loading'!$B$256:$D$261,3,FALSE)</f>
        <v>10000</v>
      </c>
      <c r="AE21" s="181">
        <f>VLOOKUP(S21,'Highway Loading'!$B$340:$C$341,2,FALSE)</f>
        <v>10000</v>
      </c>
      <c r="AF21" s="181">
        <f t="shared" si="2"/>
        <v>2.0833333333333332E-2</v>
      </c>
      <c r="AG21" s="181">
        <f t="shared" si="3"/>
        <v>4.4210526315789478</v>
      </c>
      <c r="AH21" s="181">
        <f t="shared" si="4"/>
        <v>1.0555555555555556</v>
      </c>
      <c r="AI21" s="181">
        <f t="shared" si="5"/>
        <v>72000</v>
      </c>
      <c r="AJ21" s="181">
        <f t="shared" si="6"/>
        <v>46800</v>
      </c>
      <c r="AK21" s="181">
        <f>IF(AC21=200,(INDEX(Tables!$B$17:$B$38,MAX(1,MIN(IFERROR(MATCH(AF21,Tables!$A$17:$A$38,1),1),ROWS(Tables!$A$17:$A$38)-1)))+(AF21-INDEX(Tables!$A$17:$A$38,MAX(1,MIN(IFERROR(MATCH(AF21,Tables!$A$17:$A$38,1),1),ROWS(Tables!$A$17:$A$38)-1))))*(INDEX(Tables!$B$17:$B$38,MAX(1,MIN(IFERROR(MATCH(AF21,Tables!$A$17:$A$38,1),1),ROWS(Tables!$A$17:$A$38)-1))+1)-INDEX(Tables!$B$17:$B$38,MAX(1,MIN(IFERROR(MATCH(AF21,Tables!$A$17:$A$38,1),1),ROWS(Tables!$A$17:$A$38)-1))))/(INDEX(Tables!$A$17:$A$38,MAX(1,MIN(IFERROR(MATCH(AF21,Tables!$A$17:$A$38,1),1),ROWS(Tables!$A$17:$A$38)-1))+1)-INDEX(Tables!$A$17:$A$38,MAX(1,MIN(IFERROR(MATCH(AF21,Tables!$A$17:$A$38,1),1),ROWS(Tables!$A$17:$A$38)-1))))),IF(AC21=500,(INDEX(Tables!$D$17:$D$38,MAX(1,MIN(IFERROR(MATCH(AF21,Tables!$C$17:$C$38,1),1),ROWS(Tables!$C$17:$C$38)-1)))+(AF21-INDEX(Tables!$C$17:$C$38,MAX(1,MIN(IFERROR(MATCH(AF21,Tables!$C$17:$C$38,1),1),ROWS(Tables!$C$17:$C$38)-1))))*(INDEX(Tables!$D$17:$D$38,MAX(1,MIN(IFERROR(MATCH(AF21,Tables!$C$17:$C$38,1),1),ROWS(Tables!$C$17:$C$38)-1))+1)-INDEX(Tables!$D$17:$D$38,MAX(1,MIN(IFERROR(MATCH(AF21,Tables!$C$17:$C$38,1),1),ROWS(Tables!$C$17:$C$38)-1))))/(INDEX(Tables!$C$17:$C$38,MAX(1,MIN(IFERROR(MATCH(AF21,Tables!$C$17:$C$38,1),1),ROWS(Tables!$C$17:$C$38)-1))+1)-INDEX(Tables!$C$17:$C$38,MAX(1,MIN(IFERROR(MATCH(AF21,Tables!$C$17:$C$38,1),1),ROWS(Tables!$C$17:$C$38)-1))))),IF(AC21=1000,(INDEX(Tables!$F$17:$F$38,MAX(1,MIN(IFERROR(MATCH(AF21,Tables!$E$17:$E$38,1),1),ROWS(Tables!$E$17:$E$38)-1)))+(AF21-INDEX(Tables!$E$17:$E$38,MAX(1,MIN(IFERROR(MATCH(AF21,Tables!$E$17:$E$38,1),1),ROWS(Tables!$E$17:$E$38)-1))))*(INDEX(Tables!$F$17:$F$38,MAX(1,MIN(IFERROR(MATCH(AF21,Tables!$E$17:$E$38,1),1),ROWS(Tables!$E$17:$E$38)-1))+1)-INDEX(Tables!$F$17:$F$38,MAX(1,MIN(IFERROR(MATCH(AF21,Tables!$E$17:$E$38,1),1),ROWS(Tables!$E$17:$E$38)-1))))/(INDEX(Tables!$E$17:$E$38,MAX(1,MIN(IFERROR(MATCH(AF21,Tables!$E$17:$E$38,1),1),ROWS(Tables!$E$17:$E$38)-1))+1)-INDEX(Tables!$E$17:$E$38,MAX(1,MIN(IFERROR(MATCH(AF21,Tables!$E$17:$E$38,1),1),ROWS(Tables!$E$17:$E$38)-1))))),(INDEX(Tables!$H$17:$H$38,MAX(1,MIN(IFERROR(MATCH(AF21,Tables!$G$17:$G$38,1),1),ROWS(Tables!$G$17:$G$38)-1)))+(AF21-INDEX(Tables!$G$17:$G$38,MAX(1,MIN(IFERROR(MATCH(AF21,Tables!$G$17:$G$38,1),1),ROWS(Tables!$G$17:$G$38)-1))))*(INDEX(Tables!$H$17:$H$38,MAX(1,MIN(IFERROR(MATCH(AF21,Tables!$G$17:$G$38,1),1),ROWS(Tables!$G$17:$G$38)-1))+1)-INDEX(Tables!$H$17:$H$38,MAX(1,MIN(IFERROR(MATCH(AF21,Tables!$G$17:$G$38,1),1),ROWS(Tables!$G$17:$G$38)-1))))/(INDEX(Tables!$G$17:$G$38,MAX(1,MIN(IFERROR(MATCH(AF21,Tables!$G$17:$G$38,1),1),ROWS(Tables!$G$17:$G$38)-1))+1)-INDEX(Tables!$G$17:$G$38,MAX(1,MIN(IFERROR(MATCH(AF21,Tables!$G$17:$G$38,1),1),ROWS(Tables!$G$17:$G$38)-1))))))))</f>
        <v>2167.5000000000005</v>
      </c>
      <c r="AL21" s="181">
        <f>IF(AC21&lt;1000,(INDEX(Tables!$B$43:$B$76,MAX(1,MIN(IFERROR(MATCH(AG21,Tables!$A$43:$A$76,1),1),ROWS(Tables!$A$43:$A$76)-1)))+(AG21-INDEX(Tables!$A$43:$A$76,MAX(1,MIN(IFERROR(MATCH(AG21,Tables!$A$43:$A$76,1),1),ROWS(Tables!$A$43:$A$76)-1))))*(INDEX(Tables!$B$43:$B$76,MAX(1,MIN(IFERROR(MATCH(AG21,Tables!$A$43:$A$76,1),1),ROWS(Tables!$A$43:$A$76)-1))+1)-INDEX(Tables!$B$43:$B$76,MAX(1,MIN(IFERROR(MATCH(AG21,Tables!$A$43:$A$76,1),1),ROWS(Tables!$A$43:$A$76)-1))))/(INDEX(Tables!$A$43:$A$76,MAX(1,MIN(IFERROR(MATCH(AG21,Tables!$A$43:$A$76,1),1),ROWS(Tables!$A$43:$A$76)-1))+1)-INDEX(Tables!$A$43:$A$76,MAX(1,MIN(IFERROR(MATCH(AG21,Tables!$A$43:$A$76,1),1),ROWS(Tables!$A$43:$A$76)-1))))),(INDEX(Tables!$D$43:$D$76,MAX(1,MIN(IFERROR(MATCH(AG21,Tables!$C$43:$C$76,1),1),ROWS(Tables!$C$43:$C$76)-1)))+(AG21-INDEX(Tables!$C$43:$C$76,MAX(1,MIN(IFERROR(MATCH(AG21,Tables!$C$43:$C$76,1),1),ROWS(Tables!$C$43:$C$76)-1))))*(INDEX(Tables!$D$43:$D$76,MAX(1,MIN(IFERROR(MATCH(AG21,Tables!$C$43:$C$76,1),1),ROWS(Tables!$C$43:$C$76)-1))+1)-INDEX(Tables!$D$43:$D$76,MAX(1,MIN(IFERROR(MATCH(AG21,Tables!$C$43:$C$76,1),1),ROWS(Tables!$C$43:$C$76)-1))))/(INDEX(Tables!$C$43:$C$76,MAX(1,MIN(IFERROR(MATCH(AG21,Tables!$C$43:$C$76,1),1),ROWS(Tables!$C$43:$C$76)-1))+1)-INDEX(Tables!$C$43:$C$76,MAX(1,MIN(IFERROR(MATCH(AG21,Tables!$C$43:$C$76,1),1),ROWS(Tables!$C$43:$C$76)-1))))))</f>
        <v>0.92289473684210532</v>
      </c>
      <c r="AM21" s="181">
        <f>(INDEX(Tables!$B$80:$B$87,MAX(1,MIN(IFERROR(MATCH(AH21,Tables!$A$80:$A$87,1),1),ROWS(Tables!$A$80:$A$87)-1)))+(AH21-INDEX(Tables!$A$80:$A$87,MAX(1,MIN(IFERROR(MATCH(AH21,Tables!$A$80:$A$87,1),1),ROWS(Tables!$A$80:$A$87)-1))))*(INDEX(Tables!$B$80:$B$87,MAX(1,MIN(IFERROR(MATCH(AH21,Tables!$A$80:$A$87,1),1),ROWS(Tables!$A$80:$A$87)-1))+1)-INDEX(Tables!$B$80:$B$87,MAX(1,MIN(IFERROR(MATCH(AH21,Tables!$A$80:$A$87,1),1),ROWS(Tables!$A$80:$A$87)-1))))/(INDEX(Tables!$A$80:$A$87,MAX(1,MIN(IFERROR(MATCH(AH21,Tables!$A$80:$A$87,1),1),ROWS(Tables!$A$80:$A$87)-1))+1)-INDEX(Tables!$A$80:$A$87,MAX(1,MIN(IFERROR(MATCH(AH21,Tables!$A$80:$A$87,1),1),ROWS(Tables!$A$80:$A$87)-1)))))</f>
        <v>0.91873333333333329</v>
      </c>
      <c r="AN21" s="181">
        <f t="shared" si="7"/>
        <v>4594.5264680921064</v>
      </c>
      <c r="AO21" s="181">
        <f>(INDEX(Tables!$B$91:$B$94,MAX(1,MIN(IFERROR(MATCH(P21,Tables!$A$91:$A$94,1),1),ROWS(Tables!$A$91:$A$94)-1)))+(P21-INDEX(Tables!$A$91:$A$94,MAX(1,MIN(IFERROR(MATCH(P21,Tables!$A$91:$A$94,1),1),ROWS(Tables!$A$91:$A$94)-1))))*(INDEX(Tables!$B$91:$B$94,MAX(1,MIN(IFERROR(MATCH(P21,Tables!$A$91:$A$94,1),1),ROWS(Tables!$A$91:$A$94)-1))+1)-INDEX(Tables!$B$91:$B$94,MAX(1,MIN(IFERROR(MATCH(P21,Tables!$A$91:$A$94,1),1),ROWS(Tables!$A$91:$A$94)-1))))/(INDEX(Tables!$A$91:$A$94,MAX(1,MIN(IFERROR(MATCH(P21,Tables!$A$91:$A$94,1),1),ROWS(Tables!$A$91:$A$94)-1))+1)-INDEX(Tables!$A$91:$A$94,MAX(1,MIN(IFERROR(MATCH(P21,Tables!$A$91:$A$94,1),1),ROWS(Tables!$A$91:$A$94)-1)))))</f>
        <v>1.2323170731707318</v>
      </c>
      <c r="AP21" s="181">
        <f>IF(AD21=5000,(INDEX(Tables!$B$99:$B$118,MAX(1,MIN(IFERROR(MATCH(AF21,Tables!$A$99:$A$118,1),1),ROWS(Tables!$A$99:$A$118)-1)))+(AF21-INDEX(Tables!$A$99:$A$118,MAX(1,MIN(IFERROR(MATCH(AF21,Tables!$A$99:$A$118,1),1),ROWS(Tables!$A$99:$A$118)-1))))*(INDEX(Tables!$B$99:$B$118,MAX(1,MIN(IFERROR(MATCH(AF21,Tables!$A$99:$A$118,1),1),ROWS(Tables!$A$99:$A$118)-1))+1)-INDEX(Tables!$B$99:$B$118,MAX(1,MIN(IFERROR(MATCH(AF21,Tables!$A$99:$A$118,1),1),ROWS(Tables!$A$99:$A$118)-1))))/(INDEX(Tables!$A$99:$A$118,MAX(1,MIN(IFERROR(MATCH(AF21,Tables!$A$99:$A$118,1),1),ROWS(Tables!$A$99:$A$118)-1))+1)-INDEX(Tables!$A$99:$A$118,MAX(1,MIN(IFERROR(MATCH(AF21,Tables!$A$99:$A$118,1),1),ROWS(Tables!$A$99:$A$118)-1))))),IF(AD21=10000,(INDEX(Tables!$D$99:$D$118,MAX(1,MIN(IFERROR(MATCH(AF21,Tables!$C$99:$C$118,1),1),ROWS(Tables!$C$99:$C$118)-1)))+(AF21-INDEX(Tables!$C$99:$C$118,MAX(1,MIN(IFERROR(MATCH(AF21,Tables!$C$99:$C$118,1),1),ROWS(Tables!$C$99:$C$118)-1))))*(INDEX(Tables!$D$99:$D$118,MAX(1,MIN(IFERROR(MATCH(AF21,Tables!$C$99:$C$118,1),1),ROWS(Tables!$C$99:$C$118)-1))+1)-INDEX(Tables!$D$99:$D$118,MAX(1,MIN(IFERROR(MATCH(AF21,Tables!$C$99:$C$118,1),1),ROWS(Tables!$C$99:$C$118)-1))))/(INDEX(Tables!$C$99:$C$118,MAX(1,MIN(IFERROR(MATCH(AF21,Tables!$C$99:$C$118,1),1),ROWS(Tables!$C$99:$C$118)-1))+1)-INDEX(Tables!$C$99:$C$118,MAX(1,MIN(IFERROR(MATCH(AF21,Tables!$C$99:$C$118,1),1),ROWS(Tables!$C$99:$C$118)-1))))),(INDEX(Tables!$F$99:$F$118,MAX(1,MIN(IFERROR(MATCH(AF21,Tables!$E$99:$E$118,1),1),ROWS(Tables!$E$99:$E$118)-1)))+(AF21-INDEX(Tables!$E$99:$E$118,MAX(1,MIN(IFERROR(MATCH(AF21,Tables!$E$99:$E$118,1),1),ROWS(Tables!$E$99:$E$118)-1))))*(INDEX(Tables!$F$99:$F$118,MAX(1,MIN(IFERROR(MATCH(AF21,Tables!$E$99:$E$118,1),1),ROWS(Tables!$E$99:$E$118)-1))+1)-INDEX(Tables!$F$99:$F$118,MAX(1,MIN(IFERROR(MATCH(AF21,Tables!$E$99:$E$118,1),1),ROWS(Tables!$E$99:$E$118)-1))))/(INDEX(Tables!$E$99:$E$118,MAX(1,MIN(IFERROR(MATCH(AF21,Tables!$E$99:$E$118,1),1),ROWS(Tables!$E$99:$E$118)-1))+1)-INDEX(Tables!$E$99:$E$118,MAX(1,MIN(IFERROR(MATCH(AF21,Tables!$E$99:$E$118,1),1),ROWS(Tables!$E$99:$E$118)-1)))))))</f>
        <v>13.84400081900082</v>
      </c>
      <c r="AQ21" s="181">
        <f>IF(P21&lt;6,(INDEX(Tables!$B$123:$B$138,MAX(1,MIN(IFERROR(MATCH(U21,Tables!$A$123:$A$138,1),1),ROWS(Tables!$A$123:$A$138)-1)))+(U21-INDEX(Tables!$A$123:$A$138,MAX(1,MIN(IFERROR(MATCH(U21,Tables!$A$123:$A$138,1),1),ROWS(Tables!$A$123:$A$138)-1))))*(INDEX(Tables!$B$123:$B$138,MAX(1,MIN(IFERROR(MATCH(U21,Tables!$A$123:$A$138,1),1),ROWS(Tables!$A$123:$A$138)-1))+1)-INDEX(Tables!$B$123:$B$138,MAX(1,MIN(IFERROR(MATCH(U21,Tables!$A$123:$A$138,1),1),ROWS(Tables!$A$123:$A$138)-1))))/(INDEX(Tables!$A$123:$A$138,MAX(1,MIN(IFERROR(MATCH(U21,Tables!$A$123:$A$138,1),1),ROWS(Tables!$A$123:$A$138)-1))+1)-INDEX(Tables!$A$123:$A$138,MAX(1,MIN(IFERROR(MATCH(U21,Tables!$A$123:$A$138,1),1),ROWS(Tables!$A$123:$A$138)-1))))),IF(P21&lt;8,(INDEX(Tables!$D$123:$D$138,MAX(1,MIN(IFERROR(MATCH(U21,Tables!$C$123:$C$138,1),1),ROWS(Tables!$C$123:$C$138)-1)))+(U21-INDEX(Tables!$C$123:$C$138,MAX(1,MIN(IFERROR(MATCH(U21,Tables!$C$123:$C$138,1),1),ROWS(Tables!$C$123:$C$138)-1))))*(INDEX(Tables!$D$123:$D$138,MAX(1,MIN(IFERROR(MATCH(U21,Tables!$C$123:$C$138,1),1),ROWS(Tables!$C$123:$C$138)-1))+1)-INDEX(Tables!$D$123:$D$138,MAX(1,MIN(IFERROR(MATCH(U21,Tables!$C$123:$C$138,1),1),ROWS(Tables!$C$123:$C$138)-1))))/(INDEX(Tables!$C$123:$C$138,MAX(1,MIN(IFERROR(MATCH(U21,Tables!$C$123:$C$138,1),1),ROWS(Tables!$C$123:$C$138)-1))+1)-INDEX(Tables!$C$123:$C$138,MAX(1,MIN(IFERROR(MATCH(U21,Tables!$C$123:$C$138,1),1),ROWS(Tables!$C$123:$C$138)-1))))),IF(P21&lt;10,(INDEX(Tables!$F$123:$F$138,MAX(1,MIN(IFERROR(MATCH(U21,Tables!$E$123:$E$138,1),1),ROWS(Tables!$E$123:$E$138)-1)))+(U21-INDEX(Tables!$E$123:$E$138,MAX(1,MIN(IFERROR(MATCH(U21,Tables!$E$123:$E$138,1),1),ROWS(Tables!$E$123:$E$138)-1))))*(INDEX(Tables!$F$123:$F$138,MAX(1,MIN(IFERROR(MATCH(U21,Tables!$E$123:$E$138,1),1),ROWS(Tables!$E$123:$E$138)-1))+1)-INDEX(Tables!$F$123:$F$138,MAX(1,MIN(IFERROR(MATCH(U21,Tables!$E$123:$E$138,1),1),ROWS(Tables!$E$123:$E$138)-1))))/(INDEX(Tables!$E$123:$E$138,MAX(1,MIN(IFERROR(MATCH(U21,Tables!$E$123:$E$138,1),1),ROWS(Tables!$E$123:$E$138)-1))+1)-INDEX(Tables!$E$123:$E$138,MAX(1,MIN(IFERROR(MATCH(U21,Tables!$E$123:$E$138,1),1),ROWS(Tables!$E$123:$E$138)-1))))),(INDEX(Tables!$H$123:$H$138,MAX(1,MIN(IFERROR(MATCH(U21,Tables!$G$123:$G$138,1),1),ROWS(Tables!$G$123:$G$138)-1)))+(U21-INDEX(Tables!$G$123:$G$138,MAX(1,MIN(IFERROR(MATCH(U21,Tables!$G$123:$G$138,1),1),ROWS(Tables!$G$123:$G$138)-1))))*(INDEX(Tables!$H$123:$H$138,MAX(1,MIN(IFERROR(MATCH(U21,Tables!$G$123:$G$138,1),1),ROWS(Tables!$G$123:$G$138)-1))+1)-INDEX(Tables!$H$123:$H$138,MAX(1,MIN(IFERROR(MATCH(U21,Tables!$G$123:$G$138,1),1),ROWS(Tables!$G$123:$G$138)-1))))/(INDEX(Tables!$G$123:$G$138,MAX(1,MIN(IFERROR(MATCH(U21,Tables!$G$123:$G$138,1),1),ROWS(Tables!$G$123:$G$138)-1))+1)-INDEX(Tables!$G$123:$G$138,MAX(1,MIN(IFERROR(MATCH(U21,Tables!$G$123:$G$138,1),1),ROWS(Tables!$G$123:$G$138)-1))))))))</f>
        <v>0.50060000000000004</v>
      </c>
      <c r="AR21" s="181">
        <f>IF(OR(P21&gt;=4,U21&gt;12),VLOOKUP(R21&amp;" "&amp;S21,Tables!$D$143:$F$148,2,FALSE),VLOOKUP(R21&amp;" "&amp;S21,Tables!$A$143:$C$148,2,FALSE))</f>
        <v>1.1000000000000001</v>
      </c>
      <c r="AS21" s="181">
        <f>IF(OR(P21&gt;=4,U21&gt;12),VLOOKUP(R21&amp;" "&amp;S21,Tables!$D$143:$F$148,3,FALSE),VLOOKUP(R21&amp;" "&amp;S21,Tables!$A$143:$C$148,3,FALSE))</f>
        <v>1</v>
      </c>
      <c r="AT21" s="181">
        <f t="shared" si="8"/>
        <v>652.38673227018967</v>
      </c>
      <c r="AU21" s="181">
        <f>IF(AD21=5000,(INDEX(Tables!$B$244:$B$263,MAX(1,MIN(IFERROR(MATCH(AF21,Tables!$A$244:$A$263,1),1),ROWS(Tables!$A$244:$A$263)-1)))+(AF21-INDEX(Tables!$A$244:$A$263,MAX(1,MIN(IFERROR(MATCH(AF21,Tables!$A$244:$A$263,1),1),ROWS(Tables!$A$244:$A$263)-1))))*(INDEX(Tables!$B$244:$B$263,MAX(1,MIN(IFERROR(MATCH(AF21,Tables!$A$244:$A$263,1),1),ROWS(Tables!$A$244:$A$263)-1))+1)-INDEX(Tables!$B$244:$B$263,MAX(1,MIN(IFERROR(MATCH(AF21,Tables!$A$244:$A$263,1),1),ROWS(Tables!$A$244:$A$263)-1))))/(INDEX(Tables!$A$244:$A$263,MAX(1,MIN(IFERROR(MATCH(AF21,Tables!$A$244:$A$263,1),1),ROWS(Tables!$A$244:$A$263)-1))+1)-INDEX(Tables!$A$244:$A$263,MAX(1,MIN(IFERROR(MATCH(AF21,Tables!$A$244:$A$263,1),1),ROWS(Tables!$A$244:$A$263)-1))))),IF(AD21=10000,(INDEX(Tables!$D$244:$D$263,MAX(1,MIN(IFERROR(MATCH(AF21,Tables!$C$244:$C$263,1),1),ROWS(Tables!$C$244:$C$263)-1)))+(AF21-INDEX(Tables!$C$244:$C$263,MAX(1,MIN(IFERROR(MATCH(AF21,Tables!$C$244:$C$263,1),1),ROWS(Tables!$C$244:$C$263)-1))))*(INDEX(Tables!$D$244:$D$263,MAX(1,MIN(IFERROR(MATCH(AF21,Tables!$C$244:$C$263,1),1),ROWS(Tables!$C$244:$C$263)-1))+1)-INDEX(Tables!$D$244:$D$263,MAX(1,MIN(IFERROR(MATCH(AF21,Tables!$C$244:$C$263,1),1),ROWS(Tables!$C$244:$C$263)-1))))/(INDEX(Tables!$C$244:$C$263,MAX(1,MIN(IFERROR(MATCH(AF21,Tables!$C$244:$C$263,1),1),ROWS(Tables!$C$244:$C$263)-1))+1)-INDEX(Tables!$C$244:$C$263,MAX(1,MIN(IFERROR(MATCH(AF21,Tables!$C$244:$C$263,1),1),ROWS(Tables!$C$244:$C$263)-1))))),(INDEX(Tables!$F$244:$F$263,MAX(1,MIN(IFERROR(MATCH(AF21,Tables!$E$244:$E$263,1),1),ROWS(Tables!$E$244:$E$263)-1)))+(AF21-INDEX(Tables!$E$244:$E$263,MAX(1,MIN(IFERROR(MATCH(AF21,Tables!$E$244:$E$263,1),1),ROWS(Tables!$E$244:$E$263)-1))))*(INDEX(Tables!$F$244:$F$263,MAX(1,MIN(IFERROR(MATCH(AF21,Tables!$E$244:$E$263,1),1),ROWS(Tables!$E$244:$E$263)-1))+1)-INDEX(Tables!$F$244:$F$263,MAX(1,MIN(IFERROR(MATCH(AF21,Tables!$E$244:$E$263,1),1),ROWS(Tables!$E$244:$E$263)-1))))/(INDEX(Tables!$E$244:$E$263,MAX(1,MIN(IFERROR(MATCH(AF21,Tables!$E$244:$E$263,1),1),ROWS(Tables!$E$244:$E$263)-1))+1)-INDEX(Tables!$E$244:$E$263,MAX(1,MIN(IFERROR(MATCH(AF21,Tables!$E$244:$E$263,1),1),ROWS(Tables!$E$244:$E$263)-1)))))))</f>
        <v>9.6654999999999998</v>
      </c>
      <c r="AV21" s="181">
        <f>IF(P21&lt;6,(INDEX(Tables!$B$260:$B$274,MAX(1,MIN(IFERROR(MATCH(U21,Tables!$A$260:$A$274,1),1),ROWS(Tables!$A$260:$A$274)-1)))+(U21-INDEX(Tables!$A$260:$A$274,MAX(1,MIN(IFERROR(MATCH(U21,Tables!$A$260:$A$274,1),1),ROWS(Tables!$A$260:$A$274)-1))))*(INDEX(Tables!$B$260:$B$274,MAX(1,MIN(IFERROR(MATCH(U21,Tables!$A$260:$A$274,1),1),ROWS(Tables!$A$260:$A$274)-1))+1)-INDEX(Tables!$B$260:$B$274,MAX(1,MIN(IFERROR(MATCH(U21,Tables!$A$260:$A$274,1),1),ROWS(Tables!$A$260:$A$274)-1))))/(INDEX(Tables!$A$260:$A$274,MAX(1,MIN(IFERROR(MATCH(U21,Tables!$A$260:$A$274,1),1),ROWS(Tables!$A$260:$A$274)-1))+1)-INDEX(Tables!$A$260:$A$274,MAX(1,MIN(IFERROR(MATCH(U21,Tables!$A$260:$A$274,1),1),ROWS(Tables!$A$260:$A$274)-1))))),IF(P21&lt;8,(INDEX(Tables!$D$260:$D$274,MAX(1,MIN(IFERROR(MATCH(U21,Tables!$C$260:$C$274,1),1),ROWS(Tables!$C$260:$C$274)-1)))+(U21-INDEX(Tables!$C$260:$C$274,MAX(1,MIN(IFERROR(MATCH(U21,Tables!$C$260:$C$274,1),1),ROWS(Tables!$C$260:$C$274)-1))))*(INDEX(Tables!$D$260:$D$274,MAX(1,MIN(IFERROR(MATCH(U21,Tables!$C$260:$C$274,1),1),ROWS(Tables!$C$260:$C$274)-1))+1)-INDEX(Tables!$D$260:$D$274,MAX(1,MIN(IFERROR(MATCH(U21,Tables!$C$260:$C$274,1),1),ROWS(Tables!$C$260:$C$274)-1))))/(INDEX(Tables!$C$260:$C$274,MAX(1,MIN(IFERROR(MATCH(U21,Tables!$C$260:$C$274,1),1),ROWS(Tables!$C$260:$C$274)-1))+1)-INDEX(Tables!$C$260:$C$274,MAX(1,MIN(IFERROR(MATCH(U21,Tables!$C$260:$C$274,1),1),ROWS(Tables!$C$260:$C$274)-1))))),IF(P21&lt;10,(INDEX(Tables!$F$260:$F$274,MAX(1,MIN(IFERROR(MATCH(U21,Tables!$E$260:$E$274,1),1),ROWS(Tables!$E$260:$E$274)-1)))+(U21-INDEX(Tables!$E$260:$E$274,MAX(1,MIN(IFERROR(MATCH(U21,Tables!$E$260:$E$274,1),1),ROWS(Tables!$E$260:$E$274)-1))))*(INDEX(Tables!$F$260:$F$274,MAX(1,MIN(IFERROR(MATCH(U21,Tables!$E$260:$E$274,1),1),ROWS(Tables!$E$260:$E$274)-1))+1)-INDEX(Tables!$F$260:$F$274,MAX(1,MIN(IFERROR(MATCH(U21,Tables!$E$260:$E$274,1),1),ROWS(Tables!$E$260:$E$274)-1))))/(INDEX(Tables!$E$260:$E$274,MAX(1,MIN(IFERROR(MATCH(U21,Tables!$E$260:$E$274,1),1),ROWS(Tables!$E$260:$E$274)-1))+1)-INDEX(Tables!$E$260:$E$274,MAX(1,MIN(IFERROR(MATCH(U21,Tables!$E$260:$E$274,1),1),ROWS(Tables!$E$260:$E$274)-1))))),(INDEX(Tables!$H$260:$H$274,MAX(1,MIN(IFERROR(MATCH(U21,Tables!$G$260:$G$274,1),1),ROWS(Tables!$G$260:$G$274)-1)))+(U21-INDEX(Tables!$G$260:$G$274,MAX(1,MIN(IFERROR(MATCH(U21,Tables!$G$260:$G$274,1),1),ROWS(Tables!$G$260:$G$274)-1))))*(INDEX(Tables!$H$260:$H$274,MAX(1,MIN(IFERROR(MATCH(U21,Tables!$G$260:$G$274,1),1),ROWS(Tables!$G$260:$G$274)-1))+1)-INDEX(Tables!$H$260:$H$274,MAX(1,MIN(IFERROR(MATCH(U21,Tables!$G$260:$G$274,1),1),ROWS(Tables!$G$260:$G$274)-1))))/(INDEX(Tables!$G$260:$G$274,MAX(1,MIN(IFERROR(MATCH(U21,Tables!$G$260:$G$274,1),1),ROWS(Tables!$G$260:$G$274)-1))+1)-INDEX(Tables!$G$260:$G$274,MAX(1,MIN(IFERROR(MATCH(U21,Tables!$G$260:$G$274,1),1),ROWS(Tables!$G$260:$G$274)-1))))))))</f>
        <v>0.51828571428571424</v>
      </c>
      <c r="AW21" s="181">
        <f t="shared" si="9"/>
        <v>471.57005798369147</v>
      </c>
      <c r="AX21" s="181">
        <f t="shared" si="10"/>
        <v>70500</v>
      </c>
      <c r="AY21" s="181">
        <f t="shared" si="11"/>
        <v>75746.913200362294</v>
      </c>
      <c r="AZ21" s="181">
        <f t="shared" si="12"/>
        <v>22999.927998411324</v>
      </c>
      <c r="BA21" s="181">
        <f t="shared" si="13"/>
        <v>-3000</v>
      </c>
      <c r="BB21" s="181">
        <f t="shared" si="14"/>
        <v>69495.744626569765</v>
      </c>
      <c r="BC21" s="181">
        <f t="shared" si="15"/>
        <v>46800</v>
      </c>
      <c r="BD21" s="181">
        <f>VLOOKUP(V21&amp;" "&amp;J21,Tables!$A$152:$E$239,4,FALSE)</f>
        <v>12000</v>
      </c>
      <c r="BE21" s="181">
        <f>VLOOKUP(V21&amp;" "&amp;J21,Tables!$A$152:$E$239,5,FALSE)</f>
        <v>23000</v>
      </c>
      <c r="BF21" s="181">
        <f t="shared" si="16"/>
        <v>8640</v>
      </c>
      <c r="BG21" s="181">
        <f t="shared" si="17"/>
        <v>16560</v>
      </c>
      <c r="BH21" s="181">
        <f t="shared" si="18"/>
        <v>72000</v>
      </c>
      <c r="BI21" s="181">
        <f t="shared" si="19"/>
        <v>46800</v>
      </c>
      <c r="BJ21" s="181">
        <f t="shared" si="20"/>
        <v>69495.744626569765</v>
      </c>
      <c r="BK21" s="181">
        <f t="shared" si="21"/>
        <v>46800</v>
      </c>
      <c r="BL21" s="181">
        <f t="shared" si="22"/>
        <v>471.57005798369147</v>
      </c>
      <c r="BM21" s="181">
        <f t="shared" si="23"/>
        <v>8640</v>
      </c>
      <c r="BN21" s="181">
        <f t="shared" si="24"/>
        <v>652.38673227018967</v>
      </c>
      <c r="BO21" s="181">
        <f t="shared" si="25"/>
        <v>16560</v>
      </c>
      <c r="BP21" t="str">
        <f t="shared" si="26"/>
        <v>Fail</v>
      </c>
      <c r="BQ21" t="str">
        <f t="shared" si="27"/>
        <v>Fail</v>
      </c>
      <c r="BR21" t="str">
        <f t="shared" si="28"/>
        <v>Pass</v>
      </c>
      <c r="BS21" t="str">
        <f t="shared" si="29"/>
        <v>Pass</v>
      </c>
      <c r="BT21" t="str">
        <f t="shared" si="30"/>
        <v>Fail</v>
      </c>
      <c r="BU21" t="str">
        <f t="shared" si="31"/>
        <v>Barlow Stress</v>
      </c>
    </row>
    <row r="22" spans="1:73">
      <c r="A22" t="s">
        <v>614</v>
      </c>
      <c r="B22" s="181">
        <v>20</v>
      </c>
      <c r="C22" t="s">
        <v>594</v>
      </c>
      <c r="D22" s="181">
        <v>48</v>
      </c>
      <c r="E22" s="181">
        <v>0.5</v>
      </c>
      <c r="F22" t="s">
        <v>117</v>
      </c>
      <c r="G22" t="s">
        <v>119</v>
      </c>
      <c r="H22" t="s">
        <v>122</v>
      </c>
      <c r="I22" s="181">
        <v>1</v>
      </c>
      <c r="J22" t="s">
        <v>126</v>
      </c>
      <c r="K22" t="s">
        <v>129</v>
      </c>
      <c r="L22" s="181">
        <v>70</v>
      </c>
      <c r="M22" s="181">
        <v>3000</v>
      </c>
      <c r="N22" t="s">
        <v>391</v>
      </c>
      <c r="O22" s="181">
        <v>120</v>
      </c>
      <c r="P22" s="181">
        <v>30</v>
      </c>
      <c r="Q22" s="181">
        <v>50</v>
      </c>
      <c r="R22" t="s">
        <v>417</v>
      </c>
      <c r="S22" t="s">
        <v>156</v>
      </c>
      <c r="T22" s="181">
        <v>70</v>
      </c>
      <c r="U22" s="181">
        <f>HLOOKUP(D22,'Highway Loading'!$C$155:$AD$156,2,FALSE)</f>
        <v>48</v>
      </c>
      <c r="V22" s="181">
        <f>IF(ISBLANK(G22),"",INDEX('Highway Loading'!$C$216:$AG$216,1,MATCH(G22,'Highway Loading'!$C$215:$AG$215,0)))</f>
        <v>65000</v>
      </c>
      <c r="W22" s="181">
        <f>INDEX('Highway Loading'!$I$245:$L$253,MATCH(H22,'Highway Loading'!$H$245:$H$253,0),MATCH(I22,'Highway Loading'!$I$244:$L$244,0))</f>
        <v>0.72</v>
      </c>
      <c r="X22" s="181">
        <f t="shared" si="0"/>
        <v>1</v>
      </c>
      <c r="Y22" s="181">
        <f>VLOOKUP(K22,'Highway Loading'!$B$283:$E$292,2,FALSE)</f>
        <v>29000000</v>
      </c>
      <c r="Z22" s="181">
        <f>VLOOKUP(K22,'Highway Loading'!$B$283:$E$292,3,FALSE)</f>
        <v>0.3</v>
      </c>
      <c r="AA22" s="181">
        <f>VLOOKUP(K22,'Highway Loading'!$B$283:$E$292,4,FALSE)</f>
        <v>6.4999999999999996E-6</v>
      </c>
      <c r="AB22" s="181">
        <f t="shared" si="1"/>
        <v>1</v>
      </c>
      <c r="AC22" s="181">
        <f>VLOOKUP(N22,'Highway Loading'!$B$256:$D$261,2,FALSE)</f>
        <v>1000</v>
      </c>
      <c r="AD22" s="181">
        <f>VLOOKUP(N22,'Highway Loading'!$B$256:$D$261,3,FALSE)</f>
        <v>10000</v>
      </c>
      <c r="AE22" s="181">
        <f>VLOOKUP(S22,'Highway Loading'!$B$340:$C$341,2,FALSE)</f>
        <v>10000</v>
      </c>
      <c r="AF22" s="181">
        <f t="shared" si="2"/>
        <v>1.0416666666666666E-2</v>
      </c>
      <c r="AG22" s="181">
        <f t="shared" si="3"/>
        <v>7.2</v>
      </c>
      <c r="AH22" s="181">
        <f t="shared" si="4"/>
        <v>1.0416666666666667</v>
      </c>
      <c r="AI22" s="181">
        <f t="shared" si="5"/>
        <v>144000</v>
      </c>
      <c r="AJ22" s="181">
        <f t="shared" si="6"/>
        <v>46800</v>
      </c>
      <c r="AK22" s="181">
        <f>IF(AC22=200,(INDEX(Tables!$B$17:$B$38,MAX(1,MIN(IFERROR(MATCH(AF22,Tables!$A$17:$A$38,1),1),ROWS(Tables!$A$17:$A$38)-1)))+(AF22-INDEX(Tables!$A$17:$A$38,MAX(1,MIN(IFERROR(MATCH(AF22,Tables!$A$17:$A$38,1),1),ROWS(Tables!$A$17:$A$38)-1))))*(INDEX(Tables!$B$17:$B$38,MAX(1,MIN(IFERROR(MATCH(AF22,Tables!$A$17:$A$38,1),1),ROWS(Tables!$A$17:$A$38)-1))+1)-INDEX(Tables!$B$17:$B$38,MAX(1,MIN(IFERROR(MATCH(AF22,Tables!$A$17:$A$38,1),1),ROWS(Tables!$A$17:$A$38)-1))))/(INDEX(Tables!$A$17:$A$38,MAX(1,MIN(IFERROR(MATCH(AF22,Tables!$A$17:$A$38,1),1),ROWS(Tables!$A$17:$A$38)-1))+1)-INDEX(Tables!$A$17:$A$38,MAX(1,MIN(IFERROR(MATCH(AF22,Tables!$A$17:$A$38,1),1),ROWS(Tables!$A$17:$A$38)-1))))),IF(AC22=500,(INDEX(Tables!$D$17:$D$38,MAX(1,MIN(IFERROR(MATCH(AF22,Tables!$C$17:$C$38,1),1),ROWS(Tables!$C$17:$C$38)-1)))+(AF22-INDEX(Tables!$C$17:$C$38,MAX(1,MIN(IFERROR(MATCH(AF22,Tables!$C$17:$C$38,1),1),ROWS(Tables!$C$17:$C$38)-1))))*(INDEX(Tables!$D$17:$D$38,MAX(1,MIN(IFERROR(MATCH(AF22,Tables!$C$17:$C$38,1),1),ROWS(Tables!$C$17:$C$38)-1))+1)-INDEX(Tables!$D$17:$D$38,MAX(1,MIN(IFERROR(MATCH(AF22,Tables!$C$17:$C$38,1),1),ROWS(Tables!$C$17:$C$38)-1))))/(INDEX(Tables!$C$17:$C$38,MAX(1,MIN(IFERROR(MATCH(AF22,Tables!$C$17:$C$38,1),1),ROWS(Tables!$C$17:$C$38)-1))+1)-INDEX(Tables!$C$17:$C$38,MAX(1,MIN(IFERROR(MATCH(AF22,Tables!$C$17:$C$38,1),1),ROWS(Tables!$C$17:$C$38)-1))))),IF(AC22=1000,(INDEX(Tables!$F$17:$F$38,MAX(1,MIN(IFERROR(MATCH(AF22,Tables!$E$17:$E$38,1),1),ROWS(Tables!$E$17:$E$38)-1)))+(AF22-INDEX(Tables!$E$17:$E$38,MAX(1,MIN(IFERROR(MATCH(AF22,Tables!$E$17:$E$38,1),1),ROWS(Tables!$E$17:$E$38)-1))))*(INDEX(Tables!$F$17:$F$38,MAX(1,MIN(IFERROR(MATCH(AF22,Tables!$E$17:$E$38,1),1),ROWS(Tables!$E$17:$E$38)-1))+1)-INDEX(Tables!$F$17:$F$38,MAX(1,MIN(IFERROR(MATCH(AF22,Tables!$E$17:$E$38,1),1),ROWS(Tables!$E$17:$E$38)-1))))/(INDEX(Tables!$E$17:$E$38,MAX(1,MIN(IFERROR(MATCH(AF22,Tables!$E$17:$E$38,1),1),ROWS(Tables!$E$17:$E$38)-1))+1)-INDEX(Tables!$E$17:$E$38,MAX(1,MIN(IFERROR(MATCH(AF22,Tables!$E$17:$E$38,1),1),ROWS(Tables!$E$17:$E$38)-1))))),(INDEX(Tables!$H$17:$H$38,MAX(1,MIN(IFERROR(MATCH(AF22,Tables!$G$17:$G$38,1),1),ROWS(Tables!$G$17:$G$38)-1)))+(AF22-INDEX(Tables!$G$17:$G$38,MAX(1,MIN(IFERROR(MATCH(AF22,Tables!$G$17:$G$38,1),1),ROWS(Tables!$G$17:$G$38)-1))))*(INDEX(Tables!$H$17:$H$38,MAX(1,MIN(IFERROR(MATCH(AF22,Tables!$G$17:$G$38,1),1),ROWS(Tables!$G$17:$G$38)-1))+1)-INDEX(Tables!$H$17:$H$38,MAX(1,MIN(IFERROR(MATCH(AF22,Tables!$G$17:$G$38,1),1),ROWS(Tables!$G$17:$G$38)-1))))/(INDEX(Tables!$G$17:$G$38,MAX(1,MIN(IFERROR(MATCH(AF22,Tables!$G$17:$G$38,1),1),ROWS(Tables!$G$17:$G$38)-1))+1)-INDEX(Tables!$G$17:$G$38,MAX(1,MIN(IFERROR(MATCH(AF22,Tables!$G$17:$G$38,1),1),ROWS(Tables!$G$17:$G$38)-1))))))))</f>
        <v>4396.166666666667</v>
      </c>
      <c r="AL22" s="181">
        <f>IF(AC22&lt;1000,(INDEX(Tables!$B$43:$B$76,MAX(1,MIN(IFERROR(MATCH(AG22,Tables!$A$43:$A$76,1),1),ROWS(Tables!$A$43:$A$76)-1)))+(AG22-INDEX(Tables!$A$43:$A$76,MAX(1,MIN(IFERROR(MATCH(AG22,Tables!$A$43:$A$76,1),1),ROWS(Tables!$A$43:$A$76)-1))))*(INDEX(Tables!$B$43:$B$76,MAX(1,MIN(IFERROR(MATCH(AG22,Tables!$A$43:$A$76,1),1),ROWS(Tables!$A$43:$A$76)-1))+1)-INDEX(Tables!$B$43:$B$76,MAX(1,MIN(IFERROR(MATCH(AG22,Tables!$A$43:$A$76,1),1),ROWS(Tables!$A$43:$A$76)-1))))/(INDEX(Tables!$A$43:$A$76,MAX(1,MIN(IFERROR(MATCH(AG22,Tables!$A$43:$A$76,1),1),ROWS(Tables!$A$43:$A$76)-1))+1)-INDEX(Tables!$A$43:$A$76,MAX(1,MIN(IFERROR(MATCH(AG22,Tables!$A$43:$A$76,1),1),ROWS(Tables!$A$43:$A$76)-1))))),(INDEX(Tables!$D$43:$D$76,MAX(1,MIN(IFERROR(MATCH(AG22,Tables!$C$43:$C$76,1),1),ROWS(Tables!$C$43:$C$76)-1)))+(AG22-INDEX(Tables!$C$43:$C$76,MAX(1,MIN(IFERROR(MATCH(AG22,Tables!$C$43:$C$76,1),1),ROWS(Tables!$C$43:$C$76)-1))))*(INDEX(Tables!$D$43:$D$76,MAX(1,MIN(IFERROR(MATCH(AG22,Tables!$C$43:$C$76,1),1),ROWS(Tables!$C$43:$C$76)-1))+1)-INDEX(Tables!$D$43:$D$76,MAX(1,MIN(IFERROR(MATCH(AG22,Tables!$C$43:$C$76,1),1),ROWS(Tables!$C$43:$C$76)-1))))/(INDEX(Tables!$C$43:$C$76,MAX(1,MIN(IFERROR(MATCH(AG22,Tables!$C$43:$C$76,1),1),ROWS(Tables!$C$43:$C$76)-1))+1)-INDEX(Tables!$C$43:$C$76,MAX(1,MIN(IFERROR(MATCH(AG22,Tables!$C$43:$C$76,1),1),ROWS(Tables!$C$43:$C$76)-1))))))</f>
        <v>1.0784</v>
      </c>
      <c r="AM22" s="181">
        <f>(INDEX(Tables!$B$80:$B$87,MAX(1,MIN(IFERROR(MATCH(AH22,Tables!$A$80:$A$87,1),1),ROWS(Tables!$A$80:$A$87)-1)))+(AH22-INDEX(Tables!$A$80:$A$87,MAX(1,MIN(IFERROR(MATCH(AH22,Tables!$A$80:$A$87,1),1),ROWS(Tables!$A$80:$A$87)-1))))*(INDEX(Tables!$B$80:$B$87,MAX(1,MIN(IFERROR(MATCH(AH22,Tables!$A$80:$A$87,1),1),ROWS(Tables!$A$80:$A$87)-1))+1)-INDEX(Tables!$B$80:$B$87,MAX(1,MIN(IFERROR(MATCH(AH22,Tables!$A$80:$A$87,1),1),ROWS(Tables!$A$80:$A$87)-1))))/(INDEX(Tables!$A$80:$A$87,MAX(1,MIN(IFERROR(MATCH(AH22,Tables!$A$80:$A$87,1),1),ROWS(Tables!$A$80:$A$87)-1))+1)-INDEX(Tables!$A$80:$A$87,MAX(1,MIN(IFERROR(MATCH(AH22,Tables!$A$80:$A$87,1),1),ROWS(Tables!$A$80:$A$87)-1)))))</f>
        <v>0.89595000000000002</v>
      </c>
      <c r="AN22" s="181">
        <f t="shared" si="7"/>
        <v>14158.477247200004</v>
      </c>
      <c r="AO22" s="181">
        <f>(INDEX(Tables!$B$91:$B$94,MAX(1,MIN(IFERROR(MATCH(P22,Tables!$A$91:$A$94,1),1),ROWS(Tables!$A$91:$A$94)-1)))+(P22-INDEX(Tables!$A$91:$A$94,MAX(1,MIN(IFERROR(MATCH(P22,Tables!$A$91:$A$94,1),1),ROWS(Tables!$A$91:$A$94)-1))))*(INDEX(Tables!$B$91:$B$94,MAX(1,MIN(IFERROR(MATCH(P22,Tables!$A$91:$A$94,1),1),ROWS(Tables!$A$91:$A$94)-1))+1)-INDEX(Tables!$B$91:$B$94,MAX(1,MIN(IFERROR(MATCH(P22,Tables!$A$91:$A$94,1),1),ROWS(Tables!$A$91:$A$94)-1))))/(INDEX(Tables!$A$91:$A$94,MAX(1,MIN(IFERROR(MATCH(P22,Tables!$A$91:$A$94,1),1),ROWS(Tables!$A$91:$A$94)-1))+1)-INDEX(Tables!$A$91:$A$94,MAX(1,MIN(IFERROR(MATCH(P22,Tables!$A$91:$A$94,1),1),ROWS(Tables!$A$91:$A$94)-1)))))</f>
        <v>1</v>
      </c>
      <c r="AP22" s="181">
        <f>IF(AD22=5000,(INDEX(Tables!$B$99:$B$118,MAX(1,MIN(IFERROR(MATCH(AF22,Tables!$A$99:$A$118,1),1),ROWS(Tables!$A$99:$A$118)-1)))+(AF22-INDEX(Tables!$A$99:$A$118,MAX(1,MIN(IFERROR(MATCH(AF22,Tables!$A$99:$A$118,1),1),ROWS(Tables!$A$99:$A$118)-1))))*(INDEX(Tables!$B$99:$B$118,MAX(1,MIN(IFERROR(MATCH(AF22,Tables!$A$99:$A$118,1),1),ROWS(Tables!$A$99:$A$118)-1))+1)-INDEX(Tables!$B$99:$B$118,MAX(1,MIN(IFERROR(MATCH(AF22,Tables!$A$99:$A$118,1),1),ROWS(Tables!$A$99:$A$118)-1))))/(INDEX(Tables!$A$99:$A$118,MAX(1,MIN(IFERROR(MATCH(AF22,Tables!$A$99:$A$118,1),1),ROWS(Tables!$A$99:$A$118)-1))+1)-INDEX(Tables!$A$99:$A$118,MAX(1,MIN(IFERROR(MATCH(AF22,Tables!$A$99:$A$118,1),1),ROWS(Tables!$A$99:$A$118)-1))))),IF(AD22=10000,(INDEX(Tables!$D$99:$D$118,MAX(1,MIN(IFERROR(MATCH(AF22,Tables!$C$99:$C$118,1),1),ROWS(Tables!$C$99:$C$118)-1)))+(AF22-INDEX(Tables!$C$99:$C$118,MAX(1,MIN(IFERROR(MATCH(AF22,Tables!$C$99:$C$118,1),1),ROWS(Tables!$C$99:$C$118)-1))))*(INDEX(Tables!$D$99:$D$118,MAX(1,MIN(IFERROR(MATCH(AF22,Tables!$C$99:$C$118,1),1),ROWS(Tables!$C$99:$C$118)-1))+1)-INDEX(Tables!$D$99:$D$118,MAX(1,MIN(IFERROR(MATCH(AF22,Tables!$C$99:$C$118,1),1),ROWS(Tables!$C$99:$C$118)-1))))/(INDEX(Tables!$C$99:$C$118,MAX(1,MIN(IFERROR(MATCH(AF22,Tables!$C$99:$C$118,1),1),ROWS(Tables!$C$99:$C$118)-1))+1)-INDEX(Tables!$C$99:$C$118,MAX(1,MIN(IFERROR(MATCH(AF22,Tables!$C$99:$C$118,1),1),ROWS(Tables!$C$99:$C$118)-1))))),(INDEX(Tables!$F$99:$F$118,MAX(1,MIN(IFERROR(MATCH(AF22,Tables!$E$99:$E$118,1),1),ROWS(Tables!$E$99:$E$118)-1)))+(AF22-INDEX(Tables!$E$99:$E$118,MAX(1,MIN(IFERROR(MATCH(AF22,Tables!$E$99:$E$118,1),1),ROWS(Tables!$E$99:$E$118)-1))))*(INDEX(Tables!$F$99:$F$118,MAX(1,MIN(IFERROR(MATCH(AF22,Tables!$E$99:$E$118,1),1),ROWS(Tables!$E$99:$E$118)-1))+1)-INDEX(Tables!$F$99:$F$118,MAX(1,MIN(IFERROR(MATCH(AF22,Tables!$E$99:$E$118,1),1),ROWS(Tables!$E$99:$E$118)-1))))/(INDEX(Tables!$E$99:$E$118,MAX(1,MIN(IFERROR(MATCH(AF22,Tables!$E$99:$E$118,1),1),ROWS(Tables!$E$99:$E$118)-1))+1)-INDEX(Tables!$E$99:$E$118,MAX(1,MIN(IFERROR(MATCH(AF22,Tables!$E$99:$E$118,1),1),ROWS(Tables!$E$99:$E$118)-1)))))))</f>
        <v>12.907736434108527</v>
      </c>
      <c r="AQ22" s="181">
        <f>IF(P22&lt;6,(INDEX(Tables!$B$123:$B$138,MAX(1,MIN(IFERROR(MATCH(U22,Tables!$A$123:$A$138,1),1),ROWS(Tables!$A$123:$A$138)-1)))+(U22-INDEX(Tables!$A$123:$A$138,MAX(1,MIN(IFERROR(MATCH(U22,Tables!$A$123:$A$138,1),1),ROWS(Tables!$A$123:$A$138)-1))))*(INDEX(Tables!$B$123:$B$138,MAX(1,MIN(IFERROR(MATCH(U22,Tables!$A$123:$A$138,1),1),ROWS(Tables!$A$123:$A$138)-1))+1)-INDEX(Tables!$B$123:$B$138,MAX(1,MIN(IFERROR(MATCH(U22,Tables!$A$123:$A$138,1),1),ROWS(Tables!$A$123:$A$138)-1))))/(INDEX(Tables!$A$123:$A$138,MAX(1,MIN(IFERROR(MATCH(U22,Tables!$A$123:$A$138,1),1),ROWS(Tables!$A$123:$A$138)-1))+1)-INDEX(Tables!$A$123:$A$138,MAX(1,MIN(IFERROR(MATCH(U22,Tables!$A$123:$A$138,1),1),ROWS(Tables!$A$123:$A$138)-1))))),IF(P22&lt;8,(INDEX(Tables!$D$123:$D$138,MAX(1,MIN(IFERROR(MATCH(U22,Tables!$C$123:$C$138,1),1),ROWS(Tables!$C$123:$C$138)-1)))+(U22-INDEX(Tables!$C$123:$C$138,MAX(1,MIN(IFERROR(MATCH(U22,Tables!$C$123:$C$138,1),1),ROWS(Tables!$C$123:$C$138)-1))))*(INDEX(Tables!$D$123:$D$138,MAX(1,MIN(IFERROR(MATCH(U22,Tables!$C$123:$C$138,1),1),ROWS(Tables!$C$123:$C$138)-1))+1)-INDEX(Tables!$D$123:$D$138,MAX(1,MIN(IFERROR(MATCH(U22,Tables!$C$123:$C$138,1),1),ROWS(Tables!$C$123:$C$138)-1))))/(INDEX(Tables!$C$123:$C$138,MAX(1,MIN(IFERROR(MATCH(U22,Tables!$C$123:$C$138,1),1),ROWS(Tables!$C$123:$C$138)-1))+1)-INDEX(Tables!$C$123:$C$138,MAX(1,MIN(IFERROR(MATCH(U22,Tables!$C$123:$C$138,1),1),ROWS(Tables!$C$123:$C$138)-1))))),IF(P22&lt;10,(INDEX(Tables!$F$123:$F$138,MAX(1,MIN(IFERROR(MATCH(U22,Tables!$E$123:$E$138,1),1),ROWS(Tables!$E$123:$E$138)-1)))+(U22-INDEX(Tables!$E$123:$E$138,MAX(1,MIN(IFERROR(MATCH(U22,Tables!$E$123:$E$138,1),1),ROWS(Tables!$E$123:$E$138)-1))))*(INDEX(Tables!$F$123:$F$138,MAX(1,MIN(IFERROR(MATCH(U22,Tables!$E$123:$E$138,1),1),ROWS(Tables!$E$123:$E$138)-1))+1)-INDEX(Tables!$F$123:$F$138,MAX(1,MIN(IFERROR(MATCH(U22,Tables!$E$123:$E$138,1),1),ROWS(Tables!$E$123:$E$138)-1))))/(INDEX(Tables!$E$123:$E$138,MAX(1,MIN(IFERROR(MATCH(U22,Tables!$E$123:$E$138,1),1),ROWS(Tables!$E$123:$E$138)-1))+1)-INDEX(Tables!$E$123:$E$138,MAX(1,MIN(IFERROR(MATCH(U22,Tables!$E$123:$E$138,1),1),ROWS(Tables!$E$123:$E$138)-1))))),(INDEX(Tables!$H$123:$H$138,MAX(1,MIN(IFERROR(MATCH(U22,Tables!$G$123:$G$138,1),1),ROWS(Tables!$G$123:$G$138)-1)))+(U22-INDEX(Tables!$G$123:$G$138,MAX(1,MIN(IFERROR(MATCH(U22,Tables!$G$123:$G$138,1),1),ROWS(Tables!$G$123:$G$138)-1))))*(INDEX(Tables!$H$123:$H$138,MAX(1,MIN(IFERROR(MATCH(U22,Tables!$G$123:$G$138,1),1),ROWS(Tables!$G$123:$G$138)-1))+1)-INDEX(Tables!$H$123:$H$138,MAX(1,MIN(IFERROR(MATCH(U22,Tables!$G$123:$G$138,1),1),ROWS(Tables!$G$123:$G$138)-1))))/(INDEX(Tables!$G$123:$G$138,MAX(1,MIN(IFERROR(MATCH(U22,Tables!$G$123:$G$138,1),1),ROWS(Tables!$G$123:$G$138)-1))+1)-INDEX(Tables!$G$123:$G$138,MAX(1,MIN(IFERROR(MATCH(U22,Tables!$G$123:$G$138,1),1),ROWS(Tables!$G$123:$G$138)-1))))))))</f>
        <v>0.46899999999999997</v>
      </c>
      <c r="AR22" s="181">
        <f>IF(OR(P22&gt;=4,U22&gt;12),VLOOKUP(R22&amp;" "&amp;S22,Tables!$D$143:$F$148,2,FALSE),VLOOKUP(R22&amp;" "&amp;S22,Tables!$A$143:$C$148,2,FALSE))</f>
        <v>1.1000000000000001</v>
      </c>
      <c r="AS22" s="181">
        <f>IF(OR(P22&gt;=4,U22&gt;12),VLOOKUP(R22&amp;" "&amp;S22,Tables!$D$143:$F$148,3,FALSE),VLOOKUP(R22&amp;" "&amp;S22,Tables!$A$143:$C$148,3,FALSE))</f>
        <v>1</v>
      </c>
      <c r="AT22" s="181">
        <f t="shared" si="8"/>
        <v>462.43758516365205</v>
      </c>
      <c r="AU22" s="181">
        <f>IF(AD22=5000,(INDEX(Tables!$B$244:$B$263,MAX(1,MIN(IFERROR(MATCH(AF22,Tables!$A$244:$A$263,1),1),ROWS(Tables!$A$244:$A$263)-1)))+(AF22-INDEX(Tables!$A$244:$A$263,MAX(1,MIN(IFERROR(MATCH(AF22,Tables!$A$244:$A$263,1),1),ROWS(Tables!$A$244:$A$263)-1))))*(INDEX(Tables!$B$244:$B$263,MAX(1,MIN(IFERROR(MATCH(AF22,Tables!$A$244:$A$263,1),1),ROWS(Tables!$A$244:$A$263)-1))+1)-INDEX(Tables!$B$244:$B$263,MAX(1,MIN(IFERROR(MATCH(AF22,Tables!$A$244:$A$263,1),1),ROWS(Tables!$A$244:$A$263)-1))))/(INDEX(Tables!$A$244:$A$263,MAX(1,MIN(IFERROR(MATCH(AF22,Tables!$A$244:$A$263,1),1),ROWS(Tables!$A$244:$A$263)-1))+1)-INDEX(Tables!$A$244:$A$263,MAX(1,MIN(IFERROR(MATCH(AF22,Tables!$A$244:$A$263,1),1),ROWS(Tables!$A$244:$A$263)-1))))),IF(AD22=10000,(INDEX(Tables!$D$244:$D$263,MAX(1,MIN(IFERROR(MATCH(AF22,Tables!$C$244:$C$263,1),1),ROWS(Tables!$C$244:$C$263)-1)))+(AF22-INDEX(Tables!$C$244:$C$263,MAX(1,MIN(IFERROR(MATCH(AF22,Tables!$C$244:$C$263,1),1),ROWS(Tables!$C$244:$C$263)-1))))*(INDEX(Tables!$D$244:$D$263,MAX(1,MIN(IFERROR(MATCH(AF22,Tables!$C$244:$C$263,1),1),ROWS(Tables!$C$244:$C$263)-1))+1)-INDEX(Tables!$D$244:$D$263,MAX(1,MIN(IFERROR(MATCH(AF22,Tables!$C$244:$C$263,1),1),ROWS(Tables!$C$244:$C$263)-1))))/(INDEX(Tables!$C$244:$C$263,MAX(1,MIN(IFERROR(MATCH(AF22,Tables!$C$244:$C$263,1),1),ROWS(Tables!$C$244:$C$263)-1))+1)-INDEX(Tables!$C$244:$C$263,MAX(1,MIN(IFERROR(MATCH(AF22,Tables!$C$244:$C$263,1),1),ROWS(Tables!$C$244:$C$263)-1))))),(INDEX(Tables!$F$244:$F$263,MAX(1,MIN(IFERROR(MATCH(AF22,Tables!$E$244:$E$263,1),1),ROWS(Tables!$E$244:$E$263)-1)))+(AF22-INDEX(Tables!$E$244:$E$263,MAX(1,MIN(IFERROR(MATCH(AF22,Tables!$E$244:$E$263,1),1),ROWS(Tables!$E$244:$E$263)-1))))*(INDEX(Tables!$F$244:$F$263,MAX(1,MIN(IFERROR(MATCH(AF22,Tables!$E$244:$E$263,1),1),ROWS(Tables!$E$244:$E$263)-1))+1)-INDEX(Tables!$F$244:$F$263,MAX(1,MIN(IFERROR(MATCH(AF22,Tables!$E$244:$E$263,1),1),ROWS(Tables!$E$244:$E$263)-1))))/(INDEX(Tables!$E$244:$E$263,MAX(1,MIN(IFERROR(MATCH(AF22,Tables!$E$244:$E$263,1),1),ROWS(Tables!$E$244:$E$263)-1))+1)-INDEX(Tables!$E$244:$E$263,MAX(1,MIN(IFERROR(MATCH(AF22,Tables!$E$244:$E$263,1),1),ROWS(Tables!$E$244:$E$263)-1)))))))</f>
        <v>9.7669999999999995</v>
      </c>
      <c r="AV22" s="181">
        <f>IF(P22&lt;6,(INDEX(Tables!$B$260:$B$274,MAX(1,MIN(IFERROR(MATCH(U22,Tables!$A$260:$A$274,1),1),ROWS(Tables!$A$260:$A$274)-1)))+(U22-INDEX(Tables!$A$260:$A$274,MAX(1,MIN(IFERROR(MATCH(U22,Tables!$A$260:$A$274,1),1),ROWS(Tables!$A$260:$A$274)-1))))*(INDEX(Tables!$B$260:$B$274,MAX(1,MIN(IFERROR(MATCH(U22,Tables!$A$260:$A$274,1),1),ROWS(Tables!$A$260:$A$274)-1))+1)-INDEX(Tables!$B$260:$B$274,MAX(1,MIN(IFERROR(MATCH(U22,Tables!$A$260:$A$274,1),1),ROWS(Tables!$A$260:$A$274)-1))))/(INDEX(Tables!$A$260:$A$274,MAX(1,MIN(IFERROR(MATCH(U22,Tables!$A$260:$A$274,1),1),ROWS(Tables!$A$260:$A$274)-1))+1)-INDEX(Tables!$A$260:$A$274,MAX(1,MIN(IFERROR(MATCH(U22,Tables!$A$260:$A$274,1),1),ROWS(Tables!$A$260:$A$274)-1))))),IF(P22&lt;8,(INDEX(Tables!$D$260:$D$274,MAX(1,MIN(IFERROR(MATCH(U22,Tables!$C$260:$C$274,1),1),ROWS(Tables!$C$260:$C$274)-1)))+(U22-INDEX(Tables!$C$260:$C$274,MAX(1,MIN(IFERROR(MATCH(U22,Tables!$C$260:$C$274,1),1),ROWS(Tables!$C$260:$C$274)-1))))*(INDEX(Tables!$D$260:$D$274,MAX(1,MIN(IFERROR(MATCH(U22,Tables!$C$260:$C$274,1),1),ROWS(Tables!$C$260:$C$274)-1))+1)-INDEX(Tables!$D$260:$D$274,MAX(1,MIN(IFERROR(MATCH(U22,Tables!$C$260:$C$274,1),1),ROWS(Tables!$C$260:$C$274)-1))))/(INDEX(Tables!$C$260:$C$274,MAX(1,MIN(IFERROR(MATCH(U22,Tables!$C$260:$C$274,1),1),ROWS(Tables!$C$260:$C$274)-1))+1)-INDEX(Tables!$C$260:$C$274,MAX(1,MIN(IFERROR(MATCH(U22,Tables!$C$260:$C$274,1),1),ROWS(Tables!$C$260:$C$274)-1))))),IF(P22&lt;10,(INDEX(Tables!$F$260:$F$274,MAX(1,MIN(IFERROR(MATCH(U22,Tables!$E$260:$E$274,1),1),ROWS(Tables!$E$260:$E$274)-1)))+(U22-INDEX(Tables!$E$260:$E$274,MAX(1,MIN(IFERROR(MATCH(U22,Tables!$E$260:$E$274,1),1),ROWS(Tables!$E$260:$E$274)-1))))*(INDEX(Tables!$F$260:$F$274,MAX(1,MIN(IFERROR(MATCH(U22,Tables!$E$260:$E$274,1),1),ROWS(Tables!$E$260:$E$274)-1))+1)-INDEX(Tables!$F$260:$F$274,MAX(1,MIN(IFERROR(MATCH(U22,Tables!$E$260:$E$274,1),1),ROWS(Tables!$E$260:$E$274)-1))))/(INDEX(Tables!$E$260:$E$274,MAX(1,MIN(IFERROR(MATCH(U22,Tables!$E$260:$E$274,1),1),ROWS(Tables!$E$260:$E$274)-1))+1)-INDEX(Tables!$E$260:$E$274,MAX(1,MIN(IFERROR(MATCH(U22,Tables!$E$260:$E$274,1),1),ROWS(Tables!$E$260:$E$274)-1))))),(INDEX(Tables!$H$260:$H$274,MAX(1,MIN(IFERROR(MATCH(U22,Tables!$G$260:$G$274,1),1),ROWS(Tables!$G$260:$G$274)-1)))+(U22-INDEX(Tables!$G$260:$G$274,MAX(1,MIN(IFERROR(MATCH(U22,Tables!$G$260:$G$274,1),1),ROWS(Tables!$G$260:$G$274)-1))))*(INDEX(Tables!$H$260:$H$274,MAX(1,MIN(IFERROR(MATCH(U22,Tables!$G$260:$G$274,1),1),ROWS(Tables!$G$260:$G$274)-1))+1)-INDEX(Tables!$H$260:$H$274,MAX(1,MIN(IFERROR(MATCH(U22,Tables!$G$260:$G$274,1),1),ROWS(Tables!$G$260:$G$274)-1))))/(INDEX(Tables!$G$260:$G$274,MAX(1,MIN(IFERROR(MATCH(U22,Tables!$G$260:$G$274,1),1),ROWS(Tables!$G$260:$G$274)-1))+1)-INDEX(Tables!$G$260:$G$274,MAX(1,MIN(IFERROR(MATCH(U22,Tables!$G$260:$G$274,1),1),ROWS(Tables!$G$260:$G$274)-1))))))))</f>
        <v>0.45700000000000002</v>
      </c>
      <c r="AW22" s="181">
        <f t="shared" si="9"/>
        <v>340.96325694444448</v>
      </c>
      <c r="AX22" s="181">
        <f t="shared" si="10"/>
        <v>142500</v>
      </c>
      <c r="AY22" s="181">
        <f t="shared" si="11"/>
        <v>157120.91483236366</v>
      </c>
      <c r="AZ22" s="181">
        <f t="shared" si="12"/>
        <v>47338.506431104441</v>
      </c>
      <c r="BA22" s="181">
        <f t="shared" si="13"/>
        <v>-3000</v>
      </c>
      <c r="BB22" s="181">
        <f t="shared" si="14"/>
        <v>141818.28124548731</v>
      </c>
      <c r="BC22" s="181">
        <f t="shared" si="15"/>
        <v>46800</v>
      </c>
      <c r="BD22" s="181">
        <f>VLOOKUP(V22&amp;" "&amp;J22,Tables!$A$152:$E$239,4,FALSE)</f>
        <v>12000</v>
      </c>
      <c r="BE22" s="181">
        <f>VLOOKUP(V22&amp;" "&amp;J22,Tables!$A$152:$E$239,5,FALSE)</f>
        <v>23000</v>
      </c>
      <c r="BF22" s="181">
        <f t="shared" si="16"/>
        <v>8640</v>
      </c>
      <c r="BG22" s="181">
        <f t="shared" si="17"/>
        <v>16560</v>
      </c>
      <c r="BH22" s="181">
        <f t="shared" si="18"/>
        <v>144000</v>
      </c>
      <c r="BI22" s="181">
        <f t="shared" si="19"/>
        <v>46800</v>
      </c>
      <c r="BJ22" s="181">
        <f t="shared" si="20"/>
        <v>141818.28124548731</v>
      </c>
      <c r="BK22" s="181">
        <f t="shared" si="21"/>
        <v>46800</v>
      </c>
      <c r="BL22" s="181">
        <f t="shared" si="22"/>
        <v>340.96325694444448</v>
      </c>
      <c r="BM22" s="181">
        <f t="shared" si="23"/>
        <v>8640</v>
      </c>
      <c r="BN22" s="181">
        <f t="shared" si="24"/>
        <v>462.43758516365205</v>
      </c>
      <c r="BO22" s="181">
        <f t="shared" si="25"/>
        <v>16560</v>
      </c>
      <c r="BP22" t="str">
        <f t="shared" si="26"/>
        <v>Fail</v>
      </c>
      <c r="BQ22" t="str">
        <f t="shared" si="27"/>
        <v>Fail</v>
      </c>
      <c r="BR22" t="str">
        <f t="shared" si="28"/>
        <v>Pass</v>
      </c>
      <c r="BS22" t="str">
        <f t="shared" si="29"/>
        <v>Pass</v>
      </c>
      <c r="BT22" t="str">
        <f t="shared" si="30"/>
        <v>Fail</v>
      </c>
      <c r="BU22" t="str">
        <f t="shared" si="31"/>
        <v>Barlow Stress</v>
      </c>
    </row>
    <row r="23" spans="1:73">
      <c r="A23" t="s">
        <v>615</v>
      </c>
      <c r="B23" s="181">
        <v>21</v>
      </c>
      <c r="C23" t="s">
        <v>594</v>
      </c>
      <c r="D23" s="181">
        <v>6</v>
      </c>
      <c r="E23" s="181">
        <v>0.14699999999999999</v>
      </c>
      <c r="F23" t="s">
        <v>117</v>
      </c>
      <c r="G23" t="s">
        <v>119</v>
      </c>
      <c r="H23" t="s">
        <v>122</v>
      </c>
      <c r="I23" s="181">
        <v>1</v>
      </c>
      <c r="J23" t="s">
        <v>126</v>
      </c>
      <c r="K23" t="s">
        <v>129</v>
      </c>
      <c r="L23" s="181">
        <v>70</v>
      </c>
      <c r="M23" s="181">
        <v>6000</v>
      </c>
      <c r="N23" t="s">
        <v>391</v>
      </c>
      <c r="O23" s="181">
        <v>120</v>
      </c>
      <c r="P23" s="181">
        <v>1</v>
      </c>
      <c r="Q23" s="181">
        <v>8.625</v>
      </c>
      <c r="R23" t="s">
        <v>154</v>
      </c>
      <c r="S23" t="s">
        <v>156</v>
      </c>
      <c r="T23" s="181">
        <v>70</v>
      </c>
      <c r="U23" s="181">
        <f>HLOOKUP(D23,'Highway Loading'!$C$155:$AD$156,2,FALSE)</f>
        <v>6.625</v>
      </c>
      <c r="V23" s="181">
        <f>IF(ISBLANK(G23),"",INDEX('Highway Loading'!$C$216:$AG$216,1,MATCH(G23,'Highway Loading'!$C$215:$AG$215,0)))</f>
        <v>65000</v>
      </c>
      <c r="W23" s="181">
        <f>INDEX('Highway Loading'!$I$245:$L$253,MATCH(H23,'Highway Loading'!$H$245:$H$253,0),MATCH(I23,'Highway Loading'!$I$244:$L$244,0))</f>
        <v>0.72</v>
      </c>
      <c r="X23" s="181">
        <f t="shared" si="0"/>
        <v>1</v>
      </c>
      <c r="Y23" s="181">
        <f>VLOOKUP(K23,'Highway Loading'!$B$283:$E$292,2,FALSE)</f>
        <v>29000000</v>
      </c>
      <c r="Z23" s="181">
        <f>VLOOKUP(K23,'Highway Loading'!$B$283:$E$292,3,FALSE)</f>
        <v>0.3</v>
      </c>
      <c r="AA23" s="181">
        <f>VLOOKUP(K23,'Highway Loading'!$B$283:$E$292,4,FALSE)</f>
        <v>6.4999999999999996E-6</v>
      </c>
      <c r="AB23" s="181">
        <f t="shared" si="1"/>
        <v>1</v>
      </c>
      <c r="AC23" s="181">
        <f>VLOOKUP(N23,'Highway Loading'!$B$256:$D$261,2,FALSE)</f>
        <v>1000</v>
      </c>
      <c r="AD23" s="181">
        <f>VLOOKUP(N23,'Highway Loading'!$B$256:$D$261,3,FALSE)</f>
        <v>10000</v>
      </c>
      <c r="AE23" s="181">
        <f>VLOOKUP(S23,'Highway Loading'!$B$340:$C$341,2,FALSE)</f>
        <v>10000</v>
      </c>
      <c r="AF23" s="181">
        <f t="shared" si="2"/>
        <v>2.2188679245283019E-2</v>
      </c>
      <c r="AG23" s="181">
        <f t="shared" si="3"/>
        <v>1.3913043478260869</v>
      </c>
      <c r="AH23" s="181">
        <f t="shared" si="4"/>
        <v>1.3018867924528301</v>
      </c>
      <c r="AI23" s="181">
        <f t="shared" si="5"/>
        <v>135204.08163265308</v>
      </c>
      <c r="AJ23" s="181">
        <f t="shared" si="6"/>
        <v>46800</v>
      </c>
      <c r="AK23" s="181">
        <f>IF(AC23=200,(INDEX(Tables!$B$17:$B$38,MAX(1,MIN(IFERROR(MATCH(AF23,Tables!$A$17:$A$38,1),1),ROWS(Tables!$A$17:$A$38)-1)))+(AF23-INDEX(Tables!$A$17:$A$38,MAX(1,MIN(IFERROR(MATCH(AF23,Tables!$A$17:$A$38,1),1),ROWS(Tables!$A$17:$A$38)-1))))*(INDEX(Tables!$B$17:$B$38,MAX(1,MIN(IFERROR(MATCH(AF23,Tables!$A$17:$A$38,1),1),ROWS(Tables!$A$17:$A$38)-1))+1)-INDEX(Tables!$B$17:$B$38,MAX(1,MIN(IFERROR(MATCH(AF23,Tables!$A$17:$A$38,1),1),ROWS(Tables!$A$17:$A$38)-1))))/(INDEX(Tables!$A$17:$A$38,MAX(1,MIN(IFERROR(MATCH(AF23,Tables!$A$17:$A$38,1),1),ROWS(Tables!$A$17:$A$38)-1))+1)-INDEX(Tables!$A$17:$A$38,MAX(1,MIN(IFERROR(MATCH(AF23,Tables!$A$17:$A$38,1),1),ROWS(Tables!$A$17:$A$38)-1))))),IF(AC23=500,(INDEX(Tables!$D$17:$D$38,MAX(1,MIN(IFERROR(MATCH(AF23,Tables!$C$17:$C$38,1),1),ROWS(Tables!$C$17:$C$38)-1)))+(AF23-INDEX(Tables!$C$17:$C$38,MAX(1,MIN(IFERROR(MATCH(AF23,Tables!$C$17:$C$38,1),1),ROWS(Tables!$C$17:$C$38)-1))))*(INDEX(Tables!$D$17:$D$38,MAX(1,MIN(IFERROR(MATCH(AF23,Tables!$C$17:$C$38,1),1),ROWS(Tables!$C$17:$C$38)-1))+1)-INDEX(Tables!$D$17:$D$38,MAX(1,MIN(IFERROR(MATCH(AF23,Tables!$C$17:$C$38,1),1),ROWS(Tables!$C$17:$C$38)-1))))/(INDEX(Tables!$C$17:$C$38,MAX(1,MIN(IFERROR(MATCH(AF23,Tables!$C$17:$C$38,1),1),ROWS(Tables!$C$17:$C$38)-1))+1)-INDEX(Tables!$C$17:$C$38,MAX(1,MIN(IFERROR(MATCH(AF23,Tables!$C$17:$C$38,1),1),ROWS(Tables!$C$17:$C$38)-1))))),IF(AC23=1000,(INDEX(Tables!$F$17:$F$38,MAX(1,MIN(IFERROR(MATCH(AF23,Tables!$E$17:$E$38,1),1),ROWS(Tables!$E$17:$E$38)-1)))+(AF23-INDEX(Tables!$E$17:$E$38,MAX(1,MIN(IFERROR(MATCH(AF23,Tables!$E$17:$E$38,1),1),ROWS(Tables!$E$17:$E$38)-1))))*(INDEX(Tables!$F$17:$F$38,MAX(1,MIN(IFERROR(MATCH(AF23,Tables!$E$17:$E$38,1),1),ROWS(Tables!$E$17:$E$38)-1))+1)-INDEX(Tables!$F$17:$F$38,MAX(1,MIN(IFERROR(MATCH(AF23,Tables!$E$17:$E$38,1),1),ROWS(Tables!$E$17:$E$38)-1))))/(INDEX(Tables!$E$17:$E$38,MAX(1,MIN(IFERROR(MATCH(AF23,Tables!$E$17:$E$38,1),1),ROWS(Tables!$E$17:$E$38)-1))+1)-INDEX(Tables!$E$17:$E$38,MAX(1,MIN(IFERROR(MATCH(AF23,Tables!$E$17:$E$38,1),1),ROWS(Tables!$E$17:$E$38)-1))))),(INDEX(Tables!$H$17:$H$38,MAX(1,MIN(IFERROR(MATCH(AF23,Tables!$G$17:$G$38,1),1),ROWS(Tables!$G$17:$G$38)-1)))+(AF23-INDEX(Tables!$G$17:$G$38,MAX(1,MIN(IFERROR(MATCH(AF23,Tables!$G$17:$G$38,1),1),ROWS(Tables!$G$17:$G$38)-1))))*(INDEX(Tables!$H$17:$H$38,MAX(1,MIN(IFERROR(MATCH(AF23,Tables!$G$17:$G$38,1),1),ROWS(Tables!$G$17:$G$38)-1))+1)-INDEX(Tables!$H$17:$H$38,MAX(1,MIN(IFERROR(MATCH(AF23,Tables!$G$17:$G$38,1),1),ROWS(Tables!$G$17:$G$38)-1))))/(INDEX(Tables!$G$17:$G$38,MAX(1,MIN(IFERROR(MATCH(AF23,Tables!$G$17:$G$38,1),1),ROWS(Tables!$G$17:$G$38)-1))+1)-INDEX(Tables!$G$17:$G$38,MAX(1,MIN(IFERROR(MATCH(AF23,Tables!$G$17:$G$38,1),1),ROWS(Tables!$G$17:$G$38)-1))))))))</f>
        <v>1965.011320754717</v>
      </c>
      <c r="AL23" s="181">
        <f>IF(AC23&lt;1000,(INDEX(Tables!$B$43:$B$76,MAX(1,MIN(IFERROR(MATCH(AG23,Tables!$A$43:$A$76,1),1),ROWS(Tables!$A$43:$A$76)-1)))+(AG23-INDEX(Tables!$A$43:$A$76,MAX(1,MIN(IFERROR(MATCH(AG23,Tables!$A$43:$A$76,1),1),ROWS(Tables!$A$43:$A$76)-1))))*(INDEX(Tables!$B$43:$B$76,MAX(1,MIN(IFERROR(MATCH(AG23,Tables!$A$43:$A$76,1),1),ROWS(Tables!$A$43:$A$76)-1))+1)-INDEX(Tables!$B$43:$B$76,MAX(1,MIN(IFERROR(MATCH(AG23,Tables!$A$43:$A$76,1),1),ROWS(Tables!$A$43:$A$76)-1))))/(INDEX(Tables!$A$43:$A$76,MAX(1,MIN(IFERROR(MATCH(AG23,Tables!$A$43:$A$76,1),1),ROWS(Tables!$A$43:$A$76)-1))+1)-INDEX(Tables!$A$43:$A$76,MAX(1,MIN(IFERROR(MATCH(AG23,Tables!$A$43:$A$76,1),1),ROWS(Tables!$A$43:$A$76)-1))))),(INDEX(Tables!$D$43:$D$76,MAX(1,MIN(IFERROR(MATCH(AG23,Tables!$C$43:$C$76,1),1),ROWS(Tables!$C$43:$C$76)-1)))+(AG23-INDEX(Tables!$C$43:$C$76,MAX(1,MIN(IFERROR(MATCH(AG23,Tables!$C$43:$C$76,1),1),ROWS(Tables!$C$43:$C$76)-1))))*(INDEX(Tables!$D$43:$D$76,MAX(1,MIN(IFERROR(MATCH(AG23,Tables!$C$43:$C$76,1),1),ROWS(Tables!$C$43:$C$76)-1))+1)-INDEX(Tables!$D$43:$D$76,MAX(1,MIN(IFERROR(MATCH(AG23,Tables!$C$43:$C$76,1),1),ROWS(Tables!$C$43:$C$76)-1))))/(INDEX(Tables!$C$43:$C$76,MAX(1,MIN(IFERROR(MATCH(AG23,Tables!$C$43:$C$76,1),1),ROWS(Tables!$C$43:$C$76)-1))+1)-INDEX(Tables!$C$43:$C$76,MAX(1,MIN(IFERROR(MATCH(AG23,Tables!$C$43:$C$76,1),1),ROWS(Tables!$C$43:$C$76)-1))))))</f>
        <v>0.44230434782608696</v>
      </c>
      <c r="AM23" s="181">
        <f>(INDEX(Tables!$B$80:$B$87,MAX(1,MIN(IFERROR(MATCH(AH23,Tables!$A$80:$A$87,1),1),ROWS(Tables!$A$80:$A$87)-1)))+(AH23-INDEX(Tables!$A$80:$A$87,MAX(1,MIN(IFERROR(MATCH(AH23,Tables!$A$80:$A$87,1),1),ROWS(Tables!$A$80:$A$87)-1))))*(INDEX(Tables!$B$80:$B$87,MAX(1,MIN(IFERROR(MATCH(AH23,Tables!$A$80:$A$87,1),1),ROWS(Tables!$A$80:$A$87)-1))+1)-INDEX(Tables!$B$80:$B$87,MAX(1,MIN(IFERROR(MATCH(AH23,Tables!$A$80:$A$87,1),1),ROWS(Tables!$A$80:$A$87)-1))))/(INDEX(Tables!$A$80:$A$87,MAX(1,MIN(IFERROR(MATCH(AH23,Tables!$A$80:$A$87,1),1),ROWS(Tables!$A$80:$A$87)-1))+1)-INDEX(Tables!$A$80:$A$87,MAX(1,MIN(IFERROR(MATCH(AH23,Tables!$A$80:$A$87,1),1),ROWS(Tables!$A$80:$A$87)-1)))))</f>
        <v>1.403996226415094</v>
      </c>
      <c r="AN23" s="181">
        <f t="shared" si="7"/>
        <v>561.40412102323614</v>
      </c>
      <c r="AO23" s="181">
        <f>(INDEX(Tables!$B$91:$B$94,MAX(1,MIN(IFERROR(MATCH(P23,Tables!$A$91:$A$94,1),1),ROWS(Tables!$A$91:$A$94)-1)))+(P23-INDEX(Tables!$A$91:$A$94,MAX(1,MIN(IFERROR(MATCH(P23,Tables!$A$91:$A$94,1),1),ROWS(Tables!$A$91:$A$94)-1))))*(INDEX(Tables!$B$91:$B$94,MAX(1,MIN(IFERROR(MATCH(P23,Tables!$A$91:$A$94,1),1),ROWS(Tables!$A$91:$A$94)-1))+1)-INDEX(Tables!$B$91:$B$94,MAX(1,MIN(IFERROR(MATCH(P23,Tables!$A$91:$A$94,1),1),ROWS(Tables!$A$91:$A$94)-1))))/(INDEX(Tables!$A$91:$A$94,MAX(1,MIN(IFERROR(MATCH(P23,Tables!$A$91:$A$94,1),1),ROWS(Tables!$A$91:$A$94)-1))+1)-INDEX(Tables!$A$91:$A$94,MAX(1,MIN(IFERROR(MATCH(P23,Tables!$A$91:$A$94,1),1),ROWS(Tables!$A$91:$A$94)-1)))))</f>
        <v>1.5</v>
      </c>
      <c r="AP23" s="181">
        <f>IF(AD23=5000,(INDEX(Tables!$B$99:$B$118,MAX(1,MIN(IFERROR(MATCH(AF23,Tables!$A$99:$A$118,1),1),ROWS(Tables!$A$99:$A$118)-1)))+(AF23-INDEX(Tables!$A$99:$A$118,MAX(1,MIN(IFERROR(MATCH(AF23,Tables!$A$99:$A$118,1),1),ROWS(Tables!$A$99:$A$118)-1))))*(INDEX(Tables!$B$99:$B$118,MAX(1,MIN(IFERROR(MATCH(AF23,Tables!$A$99:$A$118,1),1),ROWS(Tables!$A$99:$A$118)-1))+1)-INDEX(Tables!$B$99:$B$118,MAX(1,MIN(IFERROR(MATCH(AF23,Tables!$A$99:$A$118,1),1),ROWS(Tables!$A$99:$A$118)-1))))/(INDEX(Tables!$A$99:$A$118,MAX(1,MIN(IFERROR(MATCH(AF23,Tables!$A$99:$A$118,1),1),ROWS(Tables!$A$99:$A$118)-1))+1)-INDEX(Tables!$A$99:$A$118,MAX(1,MIN(IFERROR(MATCH(AF23,Tables!$A$99:$A$118,1),1),ROWS(Tables!$A$99:$A$118)-1))))),IF(AD23=10000,(INDEX(Tables!$D$99:$D$118,MAX(1,MIN(IFERROR(MATCH(AF23,Tables!$C$99:$C$118,1),1),ROWS(Tables!$C$99:$C$118)-1)))+(AF23-INDEX(Tables!$C$99:$C$118,MAX(1,MIN(IFERROR(MATCH(AF23,Tables!$C$99:$C$118,1),1),ROWS(Tables!$C$99:$C$118)-1))))*(INDEX(Tables!$D$99:$D$118,MAX(1,MIN(IFERROR(MATCH(AF23,Tables!$C$99:$C$118,1),1),ROWS(Tables!$C$99:$C$118)-1))+1)-INDEX(Tables!$D$99:$D$118,MAX(1,MIN(IFERROR(MATCH(AF23,Tables!$C$99:$C$118,1),1),ROWS(Tables!$C$99:$C$118)-1))))/(INDEX(Tables!$C$99:$C$118,MAX(1,MIN(IFERROR(MATCH(AF23,Tables!$C$99:$C$118,1),1),ROWS(Tables!$C$99:$C$118)-1))+1)-INDEX(Tables!$C$99:$C$118,MAX(1,MIN(IFERROR(MATCH(AF23,Tables!$C$99:$C$118,1),1),ROWS(Tables!$C$99:$C$118)-1))))),(INDEX(Tables!$F$99:$F$118,MAX(1,MIN(IFERROR(MATCH(AF23,Tables!$E$99:$E$118,1),1),ROWS(Tables!$E$99:$E$118)-1)))+(AF23-INDEX(Tables!$E$99:$E$118,MAX(1,MIN(IFERROR(MATCH(AF23,Tables!$E$99:$E$118,1),1),ROWS(Tables!$E$99:$E$118)-1))))*(INDEX(Tables!$F$99:$F$118,MAX(1,MIN(IFERROR(MATCH(AF23,Tables!$E$99:$E$118,1),1),ROWS(Tables!$E$99:$E$118)-1))+1)-INDEX(Tables!$F$99:$F$118,MAX(1,MIN(IFERROR(MATCH(AF23,Tables!$E$99:$E$118,1),1),ROWS(Tables!$E$99:$E$118)-1))))/(INDEX(Tables!$E$99:$E$118,MAX(1,MIN(IFERROR(MATCH(AF23,Tables!$E$99:$E$118,1),1),ROWS(Tables!$E$99:$E$118)-1))+1)-INDEX(Tables!$E$99:$E$118,MAX(1,MIN(IFERROR(MATCH(AF23,Tables!$E$99:$E$118,1),1),ROWS(Tables!$E$99:$E$118)-1)))))))</f>
        <v>13.310853692457467</v>
      </c>
      <c r="AQ23" s="181">
        <f>IF(P23&lt;6,(INDEX(Tables!$B$123:$B$138,MAX(1,MIN(IFERROR(MATCH(U23,Tables!$A$123:$A$138,1),1),ROWS(Tables!$A$123:$A$138)-1)))+(U23-INDEX(Tables!$A$123:$A$138,MAX(1,MIN(IFERROR(MATCH(U23,Tables!$A$123:$A$138,1),1),ROWS(Tables!$A$123:$A$138)-1))))*(INDEX(Tables!$B$123:$B$138,MAX(1,MIN(IFERROR(MATCH(U23,Tables!$A$123:$A$138,1),1),ROWS(Tables!$A$123:$A$138)-1))+1)-INDEX(Tables!$B$123:$B$138,MAX(1,MIN(IFERROR(MATCH(U23,Tables!$A$123:$A$138,1),1),ROWS(Tables!$A$123:$A$138)-1))))/(INDEX(Tables!$A$123:$A$138,MAX(1,MIN(IFERROR(MATCH(U23,Tables!$A$123:$A$138,1),1),ROWS(Tables!$A$123:$A$138)-1))+1)-INDEX(Tables!$A$123:$A$138,MAX(1,MIN(IFERROR(MATCH(U23,Tables!$A$123:$A$138,1),1),ROWS(Tables!$A$123:$A$138)-1))))),IF(P23&lt;8,(INDEX(Tables!$D$123:$D$138,MAX(1,MIN(IFERROR(MATCH(U23,Tables!$C$123:$C$138,1),1),ROWS(Tables!$C$123:$C$138)-1)))+(U23-INDEX(Tables!$C$123:$C$138,MAX(1,MIN(IFERROR(MATCH(U23,Tables!$C$123:$C$138,1),1),ROWS(Tables!$C$123:$C$138)-1))))*(INDEX(Tables!$D$123:$D$138,MAX(1,MIN(IFERROR(MATCH(U23,Tables!$C$123:$C$138,1),1),ROWS(Tables!$C$123:$C$138)-1))+1)-INDEX(Tables!$D$123:$D$138,MAX(1,MIN(IFERROR(MATCH(U23,Tables!$C$123:$C$138,1),1),ROWS(Tables!$C$123:$C$138)-1))))/(INDEX(Tables!$C$123:$C$138,MAX(1,MIN(IFERROR(MATCH(U23,Tables!$C$123:$C$138,1),1),ROWS(Tables!$C$123:$C$138)-1))+1)-INDEX(Tables!$C$123:$C$138,MAX(1,MIN(IFERROR(MATCH(U23,Tables!$C$123:$C$138,1),1),ROWS(Tables!$C$123:$C$138)-1))))),IF(P23&lt;10,(INDEX(Tables!$F$123:$F$138,MAX(1,MIN(IFERROR(MATCH(U23,Tables!$E$123:$E$138,1),1),ROWS(Tables!$E$123:$E$138)-1)))+(U23-INDEX(Tables!$E$123:$E$138,MAX(1,MIN(IFERROR(MATCH(U23,Tables!$E$123:$E$138,1),1),ROWS(Tables!$E$123:$E$138)-1))))*(INDEX(Tables!$F$123:$F$138,MAX(1,MIN(IFERROR(MATCH(U23,Tables!$E$123:$E$138,1),1),ROWS(Tables!$E$123:$E$138)-1))+1)-INDEX(Tables!$F$123:$F$138,MAX(1,MIN(IFERROR(MATCH(U23,Tables!$E$123:$E$138,1),1),ROWS(Tables!$E$123:$E$138)-1))))/(INDEX(Tables!$E$123:$E$138,MAX(1,MIN(IFERROR(MATCH(U23,Tables!$E$123:$E$138,1),1),ROWS(Tables!$E$123:$E$138)-1))+1)-INDEX(Tables!$E$123:$E$138,MAX(1,MIN(IFERROR(MATCH(U23,Tables!$E$123:$E$138,1),1),ROWS(Tables!$E$123:$E$138)-1))))),(INDEX(Tables!$H$123:$H$138,MAX(1,MIN(IFERROR(MATCH(U23,Tables!$G$123:$G$138,1),1),ROWS(Tables!$G$123:$G$138)-1)))+(U23-INDEX(Tables!$G$123:$G$138,MAX(1,MIN(IFERROR(MATCH(U23,Tables!$G$123:$G$138,1),1),ROWS(Tables!$G$123:$G$138)-1))))*(INDEX(Tables!$H$123:$H$138,MAX(1,MIN(IFERROR(MATCH(U23,Tables!$G$123:$G$138,1),1),ROWS(Tables!$G$123:$G$138)-1))+1)-INDEX(Tables!$H$123:$H$138,MAX(1,MIN(IFERROR(MATCH(U23,Tables!$G$123:$G$138,1),1),ROWS(Tables!$G$123:$G$138)-1))))/(INDEX(Tables!$G$123:$G$138,MAX(1,MIN(IFERROR(MATCH(U23,Tables!$G$123:$G$138,1),1),ROWS(Tables!$G$123:$G$138)-1))+1)-INDEX(Tables!$G$123:$G$138,MAX(1,MIN(IFERROR(MATCH(U23,Tables!$G$123:$G$138,1),1),ROWS(Tables!$G$123:$G$138)-1))))))))</f>
        <v>1.4501250000000001</v>
      </c>
      <c r="AR23" s="181">
        <f>IF(OR(P23&gt;=4,U23&gt;12),VLOOKUP(R23&amp;" "&amp;S23,Tables!$D$143:$F$148,2,FALSE),VLOOKUP(R23&amp;" "&amp;S23,Tables!$A$143:$C$148,2,FALSE))</f>
        <v>1</v>
      </c>
      <c r="AS23" s="181">
        <f>IF(OR(P23&gt;=4,U23&gt;12),VLOOKUP(R23&amp;" "&amp;S23,Tables!$D$143:$F$148,3,FALSE),VLOOKUP(R23&amp;" "&amp;S23,Tables!$A$143:$C$148,3,FALSE))</f>
        <v>1</v>
      </c>
      <c r="AT23" s="181">
        <f t="shared" si="8"/>
        <v>2010.6668448723842</v>
      </c>
      <c r="AU23" s="181">
        <f>IF(AD23=5000,(INDEX(Tables!$B$244:$B$263,MAX(1,MIN(IFERROR(MATCH(AF23,Tables!$A$244:$A$263,1),1),ROWS(Tables!$A$244:$A$263)-1)))+(AF23-INDEX(Tables!$A$244:$A$263,MAX(1,MIN(IFERROR(MATCH(AF23,Tables!$A$244:$A$263,1),1),ROWS(Tables!$A$244:$A$263)-1))))*(INDEX(Tables!$B$244:$B$263,MAX(1,MIN(IFERROR(MATCH(AF23,Tables!$A$244:$A$263,1),1),ROWS(Tables!$A$244:$A$263)-1))+1)-INDEX(Tables!$B$244:$B$263,MAX(1,MIN(IFERROR(MATCH(AF23,Tables!$A$244:$A$263,1),1),ROWS(Tables!$A$244:$A$263)-1))))/(INDEX(Tables!$A$244:$A$263,MAX(1,MIN(IFERROR(MATCH(AF23,Tables!$A$244:$A$263,1),1),ROWS(Tables!$A$244:$A$263)-1))+1)-INDEX(Tables!$A$244:$A$263,MAX(1,MIN(IFERROR(MATCH(AF23,Tables!$A$244:$A$263,1),1),ROWS(Tables!$A$244:$A$263)-1))))),IF(AD23=10000,(INDEX(Tables!$D$244:$D$263,MAX(1,MIN(IFERROR(MATCH(AF23,Tables!$C$244:$C$263,1),1),ROWS(Tables!$C$244:$C$263)-1)))+(AF23-INDEX(Tables!$C$244:$C$263,MAX(1,MIN(IFERROR(MATCH(AF23,Tables!$C$244:$C$263,1),1),ROWS(Tables!$C$244:$C$263)-1))))*(INDEX(Tables!$D$244:$D$263,MAX(1,MIN(IFERROR(MATCH(AF23,Tables!$C$244:$C$263,1),1),ROWS(Tables!$C$244:$C$263)-1))+1)-INDEX(Tables!$D$244:$D$263,MAX(1,MIN(IFERROR(MATCH(AF23,Tables!$C$244:$C$263,1),1),ROWS(Tables!$C$244:$C$263)-1))))/(INDEX(Tables!$C$244:$C$263,MAX(1,MIN(IFERROR(MATCH(AF23,Tables!$C$244:$C$263,1),1),ROWS(Tables!$C$244:$C$263)-1))+1)-INDEX(Tables!$C$244:$C$263,MAX(1,MIN(IFERROR(MATCH(AF23,Tables!$C$244:$C$263,1),1),ROWS(Tables!$C$244:$C$263)-1))))),(INDEX(Tables!$F$244:$F$263,MAX(1,MIN(IFERROR(MATCH(AF23,Tables!$E$244:$E$263,1),1),ROWS(Tables!$E$244:$E$263)-1)))+(AF23-INDEX(Tables!$E$244:$E$263,MAX(1,MIN(IFERROR(MATCH(AF23,Tables!$E$244:$E$263,1),1),ROWS(Tables!$E$244:$E$263)-1))))*(INDEX(Tables!$F$244:$F$263,MAX(1,MIN(IFERROR(MATCH(AF23,Tables!$E$244:$E$263,1),1),ROWS(Tables!$E$244:$E$263)-1))+1)-INDEX(Tables!$F$244:$F$263,MAX(1,MIN(IFERROR(MATCH(AF23,Tables!$E$244:$E$263,1),1),ROWS(Tables!$E$244:$E$263)-1))))/(INDEX(Tables!$E$244:$E$263,MAX(1,MIN(IFERROR(MATCH(AF23,Tables!$E$244:$E$263,1),1),ROWS(Tables!$E$244:$E$263)-1))+1)-INDEX(Tables!$E$244:$E$263,MAX(1,MIN(IFERROR(MATCH(AF23,Tables!$E$244:$E$263,1),1),ROWS(Tables!$E$244:$E$263)-1)))))))</f>
        <v>9.5004188679245285</v>
      </c>
      <c r="AV23" s="181">
        <f>IF(P23&lt;6,(INDEX(Tables!$B$260:$B$274,MAX(1,MIN(IFERROR(MATCH(U23,Tables!$A$260:$A$274,1),1),ROWS(Tables!$A$260:$A$274)-1)))+(U23-INDEX(Tables!$A$260:$A$274,MAX(1,MIN(IFERROR(MATCH(U23,Tables!$A$260:$A$274,1),1),ROWS(Tables!$A$260:$A$274)-1))))*(INDEX(Tables!$B$260:$B$274,MAX(1,MIN(IFERROR(MATCH(U23,Tables!$A$260:$A$274,1),1),ROWS(Tables!$A$260:$A$274)-1))+1)-INDEX(Tables!$B$260:$B$274,MAX(1,MIN(IFERROR(MATCH(U23,Tables!$A$260:$A$274,1),1),ROWS(Tables!$A$260:$A$274)-1))))/(INDEX(Tables!$A$260:$A$274,MAX(1,MIN(IFERROR(MATCH(U23,Tables!$A$260:$A$274,1),1),ROWS(Tables!$A$260:$A$274)-1))+1)-INDEX(Tables!$A$260:$A$274,MAX(1,MIN(IFERROR(MATCH(U23,Tables!$A$260:$A$274,1),1),ROWS(Tables!$A$260:$A$274)-1))))),IF(P23&lt;8,(INDEX(Tables!$D$260:$D$274,MAX(1,MIN(IFERROR(MATCH(U23,Tables!$C$260:$C$274,1),1),ROWS(Tables!$C$260:$C$274)-1)))+(U23-INDEX(Tables!$C$260:$C$274,MAX(1,MIN(IFERROR(MATCH(U23,Tables!$C$260:$C$274,1),1),ROWS(Tables!$C$260:$C$274)-1))))*(INDEX(Tables!$D$260:$D$274,MAX(1,MIN(IFERROR(MATCH(U23,Tables!$C$260:$C$274,1),1),ROWS(Tables!$C$260:$C$274)-1))+1)-INDEX(Tables!$D$260:$D$274,MAX(1,MIN(IFERROR(MATCH(U23,Tables!$C$260:$C$274,1),1),ROWS(Tables!$C$260:$C$274)-1))))/(INDEX(Tables!$C$260:$C$274,MAX(1,MIN(IFERROR(MATCH(U23,Tables!$C$260:$C$274,1),1),ROWS(Tables!$C$260:$C$274)-1))+1)-INDEX(Tables!$C$260:$C$274,MAX(1,MIN(IFERROR(MATCH(U23,Tables!$C$260:$C$274,1),1),ROWS(Tables!$C$260:$C$274)-1))))),IF(P23&lt;10,(INDEX(Tables!$F$260:$F$274,MAX(1,MIN(IFERROR(MATCH(U23,Tables!$E$260:$E$274,1),1),ROWS(Tables!$E$260:$E$274)-1)))+(U23-INDEX(Tables!$E$260:$E$274,MAX(1,MIN(IFERROR(MATCH(U23,Tables!$E$260:$E$274,1),1),ROWS(Tables!$E$260:$E$274)-1))))*(INDEX(Tables!$F$260:$F$274,MAX(1,MIN(IFERROR(MATCH(U23,Tables!$E$260:$E$274,1),1),ROWS(Tables!$E$260:$E$274)-1))+1)-INDEX(Tables!$F$260:$F$274,MAX(1,MIN(IFERROR(MATCH(U23,Tables!$E$260:$E$274,1),1),ROWS(Tables!$E$260:$E$274)-1))))/(INDEX(Tables!$E$260:$E$274,MAX(1,MIN(IFERROR(MATCH(U23,Tables!$E$260:$E$274,1),1),ROWS(Tables!$E$260:$E$274)-1))+1)-INDEX(Tables!$E$260:$E$274,MAX(1,MIN(IFERROR(MATCH(U23,Tables!$E$260:$E$274,1),1),ROWS(Tables!$E$260:$E$274)-1))))),(INDEX(Tables!$H$260:$H$274,MAX(1,MIN(IFERROR(MATCH(U23,Tables!$G$260:$G$274,1),1),ROWS(Tables!$G$260:$G$274)-1)))+(U23-INDEX(Tables!$G$260:$G$274,MAX(1,MIN(IFERROR(MATCH(U23,Tables!$G$260:$G$274,1),1),ROWS(Tables!$G$260:$G$274)-1))))*(INDEX(Tables!$H$260:$H$274,MAX(1,MIN(IFERROR(MATCH(U23,Tables!$G$260:$G$274,1),1),ROWS(Tables!$G$260:$G$274)-1))+1)-INDEX(Tables!$H$260:$H$274,MAX(1,MIN(IFERROR(MATCH(U23,Tables!$G$260:$G$274,1),1),ROWS(Tables!$G$260:$G$274)-1))))/(INDEX(Tables!$G$260:$G$274,MAX(1,MIN(IFERROR(MATCH(U23,Tables!$G$260:$G$274,1),1),ROWS(Tables!$G$260:$G$274)-1))+1)-INDEX(Tables!$G$260:$G$274,MAX(1,MIN(IFERROR(MATCH(U23,Tables!$G$260:$G$274,1),1),ROWS(Tables!$G$260:$G$274)-1))))))))</f>
        <v>1.4965000000000002</v>
      </c>
      <c r="AW23" s="181">
        <f t="shared" si="9"/>
        <v>1480.9767537342771</v>
      </c>
      <c r="AX23" s="181">
        <f t="shared" si="10"/>
        <v>132204.08163265308</v>
      </c>
      <c r="AY23" s="181">
        <f t="shared" si="11"/>
        <v>134776.15259854871</v>
      </c>
      <c r="AZ23" s="181">
        <f t="shared" si="12"/>
        <v>41310.62247983717</v>
      </c>
      <c r="BA23" s="181">
        <f t="shared" si="13"/>
        <v>-6000</v>
      </c>
      <c r="BB23" s="181">
        <f t="shared" si="14"/>
        <v>124080.67025175864</v>
      </c>
      <c r="BC23" s="181">
        <f t="shared" si="15"/>
        <v>46800</v>
      </c>
      <c r="BD23" s="181">
        <f>VLOOKUP(V23&amp;" "&amp;J23,Tables!$A$152:$E$239,4,FALSE)</f>
        <v>12000</v>
      </c>
      <c r="BE23" s="181">
        <f>VLOOKUP(V23&amp;" "&amp;J23,Tables!$A$152:$E$239,5,FALSE)</f>
        <v>23000</v>
      </c>
      <c r="BF23" s="181">
        <f t="shared" si="16"/>
        <v>8640</v>
      </c>
      <c r="BG23" s="181">
        <f t="shared" si="17"/>
        <v>16560</v>
      </c>
      <c r="BH23" s="181">
        <f t="shared" si="18"/>
        <v>135204.08163265308</v>
      </c>
      <c r="BI23" s="181">
        <f t="shared" si="19"/>
        <v>46800</v>
      </c>
      <c r="BJ23" s="181">
        <f t="shared" si="20"/>
        <v>124080.67025175864</v>
      </c>
      <c r="BK23" s="181">
        <f t="shared" si="21"/>
        <v>46800</v>
      </c>
      <c r="BL23" s="181">
        <f t="shared" si="22"/>
        <v>1480.9767537342771</v>
      </c>
      <c r="BM23" s="181">
        <f t="shared" si="23"/>
        <v>8640</v>
      </c>
      <c r="BN23" s="181">
        <f t="shared" si="24"/>
        <v>2010.6668448723842</v>
      </c>
      <c r="BO23" s="181">
        <f t="shared" si="25"/>
        <v>16560</v>
      </c>
      <c r="BP23" t="str">
        <f t="shared" si="26"/>
        <v>Fail</v>
      </c>
      <c r="BQ23" t="str">
        <f t="shared" si="27"/>
        <v>Fail</v>
      </c>
      <c r="BR23" t="str">
        <f t="shared" si="28"/>
        <v>Pass</v>
      </c>
      <c r="BS23" t="str">
        <f t="shared" si="29"/>
        <v>Pass</v>
      </c>
      <c r="BT23" t="str">
        <f t="shared" si="30"/>
        <v>Fail</v>
      </c>
      <c r="BU23" t="str">
        <f t="shared" si="31"/>
        <v>Barlow Stress</v>
      </c>
    </row>
    <row r="24" spans="1:73">
      <c r="A24" t="s">
        <v>616</v>
      </c>
      <c r="B24" s="181">
        <v>22</v>
      </c>
      <c r="C24" t="s">
        <v>594</v>
      </c>
      <c r="D24" s="181">
        <v>8</v>
      </c>
      <c r="E24" s="181">
        <v>0.161</v>
      </c>
      <c r="F24" t="s">
        <v>117</v>
      </c>
      <c r="G24" t="s">
        <v>119</v>
      </c>
      <c r="H24" t="s">
        <v>122</v>
      </c>
      <c r="I24" s="181">
        <v>1</v>
      </c>
      <c r="J24" t="s">
        <v>126</v>
      </c>
      <c r="K24" t="s">
        <v>129</v>
      </c>
      <c r="L24" s="181">
        <v>70</v>
      </c>
      <c r="M24" s="181">
        <v>6000</v>
      </c>
      <c r="N24" t="s">
        <v>391</v>
      </c>
      <c r="O24" s="181">
        <v>120</v>
      </c>
      <c r="P24" s="181">
        <v>3</v>
      </c>
      <c r="Q24" s="181">
        <v>10.625</v>
      </c>
      <c r="R24" t="s">
        <v>154</v>
      </c>
      <c r="S24" t="s">
        <v>420</v>
      </c>
      <c r="T24" s="181">
        <v>70</v>
      </c>
      <c r="U24" s="181">
        <f>HLOOKUP(D24,'Highway Loading'!$C$155:$AD$156,2,FALSE)</f>
        <v>8.625</v>
      </c>
      <c r="V24" s="181">
        <f>IF(ISBLANK(G24),"",INDEX('Highway Loading'!$C$216:$AG$216,1,MATCH(G24,'Highway Loading'!$C$215:$AG$215,0)))</f>
        <v>65000</v>
      </c>
      <c r="W24" s="181">
        <f>INDEX('Highway Loading'!$I$245:$L$253,MATCH(H24,'Highway Loading'!$H$245:$H$253,0),MATCH(I24,'Highway Loading'!$I$244:$L$244,0))</f>
        <v>0.72</v>
      </c>
      <c r="X24" s="181">
        <f t="shared" si="0"/>
        <v>1</v>
      </c>
      <c r="Y24" s="181">
        <f>VLOOKUP(K24,'Highway Loading'!$B$283:$E$292,2,FALSE)</f>
        <v>29000000</v>
      </c>
      <c r="Z24" s="181">
        <f>VLOOKUP(K24,'Highway Loading'!$B$283:$E$292,3,FALSE)</f>
        <v>0.3</v>
      </c>
      <c r="AA24" s="181">
        <f>VLOOKUP(K24,'Highway Loading'!$B$283:$E$292,4,FALSE)</f>
        <v>6.4999999999999996E-6</v>
      </c>
      <c r="AB24" s="181">
        <f t="shared" si="1"/>
        <v>1</v>
      </c>
      <c r="AC24" s="181">
        <f>VLOOKUP(N24,'Highway Loading'!$B$256:$D$261,2,FALSE)</f>
        <v>1000</v>
      </c>
      <c r="AD24" s="181">
        <f>VLOOKUP(N24,'Highway Loading'!$B$256:$D$261,3,FALSE)</f>
        <v>10000</v>
      </c>
      <c r="AE24" s="181">
        <f>VLOOKUP(S24,'Highway Loading'!$B$340:$C$341,2,FALSE)</f>
        <v>12000</v>
      </c>
      <c r="AF24" s="181">
        <f t="shared" si="2"/>
        <v>1.8666666666666668E-2</v>
      </c>
      <c r="AG24" s="181">
        <f t="shared" si="3"/>
        <v>3.388235294117647</v>
      </c>
      <c r="AH24" s="181">
        <f t="shared" si="4"/>
        <v>1.2318840579710144</v>
      </c>
      <c r="AI24" s="181">
        <f t="shared" si="5"/>
        <v>160714.28571428571</v>
      </c>
      <c r="AJ24" s="181">
        <f t="shared" si="6"/>
        <v>46800</v>
      </c>
      <c r="AK24" s="181">
        <f>IF(AC24=200,(INDEX(Tables!$B$17:$B$38,MAX(1,MIN(IFERROR(MATCH(AF24,Tables!$A$17:$A$38,1),1),ROWS(Tables!$A$17:$A$38)-1)))+(AF24-INDEX(Tables!$A$17:$A$38,MAX(1,MIN(IFERROR(MATCH(AF24,Tables!$A$17:$A$38,1),1),ROWS(Tables!$A$17:$A$38)-1))))*(INDEX(Tables!$B$17:$B$38,MAX(1,MIN(IFERROR(MATCH(AF24,Tables!$A$17:$A$38,1),1),ROWS(Tables!$A$17:$A$38)-1))+1)-INDEX(Tables!$B$17:$B$38,MAX(1,MIN(IFERROR(MATCH(AF24,Tables!$A$17:$A$38,1),1),ROWS(Tables!$A$17:$A$38)-1))))/(INDEX(Tables!$A$17:$A$38,MAX(1,MIN(IFERROR(MATCH(AF24,Tables!$A$17:$A$38,1),1),ROWS(Tables!$A$17:$A$38)-1))+1)-INDEX(Tables!$A$17:$A$38,MAX(1,MIN(IFERROR(MATCH(AF24,Tables!$A$17:$A$38,1),1),ROWS(Tables!$A$17:$A$38)-1))))),IF(AC24=500,(INDEX(Tables!$D$17:$D$38,MAX(1,MIN(IFERROR(MATCH(AF24,Tables!$C$17:$C$38,1),1),ROWS(Tables!$C$17:$C$38)-1)))+(AF24-INDEX(Tables!$C$17:$C$38,MAX(1,MIN(IFERROR(MATCH(AF24,Tables!$C$17:$C$38,1),1),ROWS(Tables!$C$17:$C$38)-1))))*(INDEX(Tables!$D$17:$D$38,MAX(1,MIN(IFERROR(MATCH(AF24,Tables!$C$17:$C$38,1),1),ROWS(Tables!$C$17:$C$38)-1))+1)-INDEX(Tables!$D$17:$D$38,MAX(1,MIN(IFERROR(MATCH(AF24,Tables!$C$17:$C$38,1),1),ROWS(Tables!$C$17:$C$38)-1))))/(INDEX(Tables!$C$17:$C$38,MAX(1,MIN(IFERROR(MATCH(AF24,Tables!$C$17:$C$38,1),1),ROWS(Tables!$C$17:$C$38)-1))+1)-INDEX(Tables!$C$17:$C$38,MAX(1,MIN(IFERROR(MATCH(AF24,Tables!$C$17:$C$38,1),1),ROWS(Tables!$C$17:$C$38)-1))))),IF(AC24=1000,(INDEX(Tables!$F$17:$F$38,MAX(1,MIN(IFERROR(MATCH(AF24,Tables!$E$17:$E$38,1),1),ROWS(Tables!$E$17:$E$38)-1)))+(AF24-INDEX(Tables!$E$17:$E$38,MAX(1,MIN(IFERROR(MATCH(AF24,Tables!$E$17:$E$38,1),1),ROWS(Tables!$E$17:$E$38)-1))))*(INDEX(Tables!$F$17:$F$38,MAX(1,MIN(IFERROR(MATCH(AF24,Tables!$E$17:$E$38,1),1),ROWS(Tables!$E$17:$E$38)-1))+1)-INDEX(Tables!$F$17:$F$38,MAX(1,MIN(IFERROR(MATCH(AF24,Tables!$E$17:$E$38,1),1),ROWS(Tables!$E$17:$E$38)-1))))/(INDEX(Tables!$E$17:$E$38,MAX(1,MIN(IFERROR(MATCH(AF24,Tables!$E$17:$E$38,1),1),ROWS(Tables!$E$17:$E$38)-1))+1)-INDEX(Tables!$E$17:$E$38,MAX(1,MIN(IFERROR(MATCH(AF24,Tables!$E$17:$E$38,1),1),ROWS(Tables!$E$17:$E$38)-1))))),(INDEX(Tables!$H$17:$H$38,MAX(1,MIN(IFERROR(MATCH(AF24,Tables!$G$17:$G$38,1),1),ROWS(Tables!$G$17:$G$38)-1)))+(AF24-INDEX(Tables!$G$17:$G$38,MAX(1,MIN(IFERROR(MATCH(AF24,Tables!$G$17:$G$38,1),1),ROWS(Tables!$G$17:$G$38)-1))))*(INDEX(Tables!$H$17:$H$38,MAX(1,MIN(IFERROR(MATCH(AF24,Tables!$G$17:$G$38,1),1),ROWS(Tables!$G$17:$G$38)-1))+1)-INDEX(Tables!$H$17:$H$38,MAX(1,MIN(IFERROR(MATCH(AF24,Tables!$G$17:$G$38,1),1),ROWS(Tables!$G$17:$G$38)-1))))/(INDEX(Tables!$G$17:$G$38,MAX(1,MIN(IFERROR(MATCH(AF24,Tables!$G$17:$G$38,1),1),ROWS(Tables!$G$17:$G$38)-1))+1)-INDEX(Tables!$G$17:$G$38,MAX(1,MIN(IFERROR(MATCH(AF24,Tables!$G$17:$G$38,1),1),ROWS(Tables!$G$17:$G$38)-1))))))))</f>
        <v>2558.1333333333332</v>
      </c>
      <c r="AL24" s="181">
        <f>IF(AC24&lt;1000,(INDEX(Tables!$B$43:$B$76,MAX(1,MIN(IFERROR(MATCH(AG24,Tables!$A$43:$A$76,1),1),ROWS(Tables!$A$43:$A$76)-1)))+(AG24-INDEX(Tables!$A$43:$A$76,MAX(1,MIN(IFERROR(MATCH(AG24,Tables!$A$43:$A$76,1),1),ROWS(Tables!$A$43:$A$76)-1))))*(INDEX(Tables!$B$43:$B$76,MAX(1,MIN(IFERROR(MATCH(AG24,Tables!$A$43:$A$76,1),1),ROWS(Tables!$A$43:$A$76)-1))+1)-INDEX(Tables!$B$43:$B$76,MAX(1,MIN(IFERROR(MATCH(AG24,Tables!$A$43:$A$76,1),1),ROWS(Tables!$A$43:$A$76)-1))))/(INDEX(Tables!$A$43:$A$76,MAX(1,MIN(IFERROR(MATCH(AG24,Tables!$A$43:$A$76,1),1),ROWS(Tables!$A$43:$A$76)-1))+1)-INDEX(Tables!$A$43:$A$76,MAX(1,MIN(IFERROR(MATCH(AG24,Tables!$A$43:$A$76,1),1),ROWS(Tables!$A$43:$A$76)-1))))),(INDEX(Tables!$D$43:$D$76,MAX(1,MIN(IFERROR(MATCH(AG24,Tables!$C$43:$C$76,1),1),ROWS(Tables!$C$43:$C$76)-1)))+(AG24-INDEX(Tables!$C$43:$C$76,MAX(1,MIN(IFERROR(MATCH(AG24,Tables!$C$43:$C$76,1),1),ROWS(Tables!$C$43:$C$76)-1))))*(INDEX(Tables!$D$43:$D$76,MAX(1,MIN(IFERROR(MATCH(AG24,Tables!$C$43:$C$76,1),1),ROWS(Tables!$C$43:$C$76)-1))+1)-INDEX(Tables!$D$43:$D$76,MAX(1,MIN(IFERROR(MATCH(AG24,Tables!$C$43:$C$76,1),1),ROWS(Tables!$C$43:$C$76)-1))))/(INDEX(Tables!$C$43:$C$76,MAX(1,MIN(IFERROR(MATCH(AG24,Tables!$C$43:$C$76,1),1),ROWS(Tables!$C$43:$C$76)-1))+1)-INDEX(Tables!$C$43:$C$76,MAX(1,MIN(IFERROR(MATCH(AG24,Tables!$C$43:$C$76,1),1),ROWS(Tables!$C$43:$C$76)-1))))))</f>
        <v>0.82142352941176466</v>
      </c>
      <c r="AM24" s="181">
        <f>(INDEX(Tables!$B$80:$B$87,MAX(1,MIN(IFERROR(MATCH(AH24,Tables!$A$80:$A$87,1),1),ROWS(Tables!$A$80:$A$87)-1)))+(AH24-INDEX(Tables!$A$80:$A$87,MAX(1,MIN(IFERROR(MATCH(AH24,Tables!$A$80:$A$87,1),1),ROWS(Tables!$A$80:$A$87)-1))))*(INDEX(Tables!$B$80:$B$87,MAX(1,MIN(IFERROR(MATCH(AH24,Tables!$A$80:$A$87,1),1),ROWS(Tables!$A$80:$A$87)-1))+1)-INDEX(Tables!$B$80:$B$87,MAX(1,MIN(IFERROR(MATCH(AH24,Tables!$A$80:$A$87,1),1),ROWS(Tables!$A$80:$A$87)-1))))/(INDEX(Tables!$A$80:$A$87,MAX(1,MIN(IFERROR(MATCH(AH24,Tables!$A$80:$A$87,1),1),ROWS(Tables!$A$80:$A$87)-1))+1)-INDEX(Tables!$A$80:$A$87,MAX(1,MIN(IFERROR(MATCH(AH24,Tables!$A$80:$A$87,1),1),ROWS(Tables!$A$80:$A$87)-1)))))</f>
        <v>1.2567086956521738</v>
      </c>
      <c r="AN24" s="181">
        <f t="shared" si="7"/>
        <v>1581.6906504058738</v>
      </c>
      <c r="AO24" s="181">
        <f>(INDEX(Tables!$B$91:$B$94,MAX(1,MIN(IFERROR(MATCH(P24,Tables!$A$91:$A$94,1),1),ROWS(Tables!$A$91:$A$94)-1)))+(P24-INDEX(Tables!$A$91:$A$94,MAX(1,MIN(IFERROR(MATCH(P24,Tables!$A$91:$A$94,1),1),ROWS(Tables!$A$91:$A$94)-1))))*(INDEX(Tables!$B$91:$B$94,MAX(1,MIN(IFERROR(MATCH(P24,Tables!$A$91:$A$94,1),1),ROWS(Tables!$A$91:$A$94)-1))+1)-INDEX(Tables!$B$91:$B$94,MAX(1,MIN(IFERROR(MATCH(P24,Tables!$A$91:$A$94,1),1),ROWS(Tables!$A$91:$A$94)-1))))/(INDEX(Tables!$A$91:$A$94,MAX(1,MIN(IFERROR(MATCH(P24,Tables!$A$91:$A$94,1),1),ROWS(Tables!$A$91:$A$94)-1))+1)-INDEX(Tables!$A$91:$A$94,MAX(1,MIN(IFERROR(MATCH(P24,Tables!$A$91:$A$94,1),1),ROWS(Tables!$A$91:$A$94)-1)))))</f>
        <v>1.5</v>
      </c>
      <c r="AP24" s="181">
        <f>IF(AD24=5000,(INDEX(Tables!$B$99:$B$118,MAX(1,MIN(IFERROR(MATCH(AF24,Tables!$A$99:$A$118,1),1),ROWS(Tables!$A$99:$A$118)-1)))+(AF24-INDEX(Tables!$A$99:$A$118,MAX(1,MIN(IFERROR(MATCH(AF24,Tables!$A$99:$A$118,1),1),ROWS(Tables!$A$99:$A$118)-1))))*(INDEX(Tables!$B$99:$B$118,MAX(1,MIN(IFERROR(MATCH(AF24,Tables!$A$99:$A$118,1),1),ROWS(Tables!$A$99:$A$118)-1))+1)-INDEX(Tables!$B$99:$B$118,MAX(1,MIN(IFERROR(MATCH(AF24,Tables!$A$99:$A$118,1),1),ROWS(Tables!$A$99:$A$118)-1))))/(INDEX(Tables!$A$99:$A$118,MAX(1,MIN(IFERROR(MATCH(AF24,Tables!$A$99:$A$118,1),1),ROWS(Tables!$A$99:$A$118)-1))+1)-INDEX(Tables!$A$99:$A$118,MAX(1,MIN(IFERROR(MATCH(AF24,Tables!$A$99:$A$118,1),1),ROWS(Tables!$A$99:$A$118)-1))))),IF(AD24=10000,(INDEX(Tables!$D$99:$D$118,MAX(1,MIN(IFERROR(MATCH(AF24,Tables!$C$99:$C$118,1),1),ROWS(Tables!$C$99:$C$118)-1)))+(AF24-INDEX(Tables!$C$99:$C$118,MAX(1,MIN(IFERROR(MATCH(AF24,Tables!$C$99:$C$118,1),1),ROWS(Tables!$C$99:$C$118)-1))))*(INDEX(Tables!$D$99:$D$118,MAX(1,MIN(IFERROR(MATCH(AF24,Tables!$C$99:$C$118,1),1),ROWS(Tables!$C$99:$C$118)-1))+1)-INDEX(Tables!$D$99:$D$118,MAX(1,MIN(IFERROR(MATCH(AF24,Tables!$C$99:$C$118,1),1),ROWS(Tables!$C$99:$C$118)-1))))/(INDEX(Tables!$C$99:$C$118,MAX(1,MIN(IFERROR(MATCH(AF24,Tables!$C$99:$C$118,1),1),ROWS(Tables!$C$99:$C$118)-1))+1)-INDEX(Tables!$C$99:$C$118,MAX(1,MIN(IFERROR(MATCH(AF24,Tables!$C$99:$C$118,1),1),ROWS(Tables!$C$99:$C$118)-1))))),(INDEX(Tables!$F$99:$F$118,MAX(1,MIN(IFERROR(MATCH(AF24,Tables!$E$99:$E$118,1),1),ROWS(Tables!$E$99:$E$118)-1)))+(AF24-INDEX(Tables!$E$99:$E$118,MAX(1,MIN(IFERROR(MATCH(AF24,Tables!$E$99:$E$118,1),1),ROWS(Tables!$E$99:$E$118)-1))))*(INDEX(Tables!$F$99:$F$118,MAX(1,MIN(IFERROR(MATCH(AF24,Tables!$E$99:$E$118,1),1),ROWS(Tables!$E$99:$E$118)-1))+1)-INDEX(Tables!$F$99:$F$118,MAX(1,MIN(IFERROR(MATCH(AF24,Tables!$E$99:$E$118,1),1),ROWS(Tables!$E$99:$E$118)-1))))/(INDEX(Tables!$E$99:$E$118,MAX(1,MIN(IFERROR(MATCH(AF24,Tables!$E$99:$E$118,1),1),ROWS(Tables!$E$99:$E$118)-1))+1)-INDEX(Tables!$E$99:$E$118,MAX(1,MIN(IFERROR(MATCH(AF24,Tables!$E$99:$E$118,1),1),ROWS(Tables!$E$99:$E$118)-1)))))))</f>
        <v>14.383768166089965</v>
      </c>
      <c r="AQ24" s="181">
        <f>IF(P24&lt;6,(INDEX(Tables!$B$123:$B$138,MAX(1,MIN(IFERROR(MATCH(U24,Tables!$A$123:$A$138,1),1),ROWS(Tables!$A$123:$A$138)-1)))+(U24-INDEX(Tables!$A$123:$A$138,MAX(1,MIN(IFERROR(MATCH(U24,Tables!$A$123:$A$138,1),1),ROWS(Tables!$A$123:$A$138)-1))))*(INDEX(Tables!$B$123:$B$138,MAX(1,MIN(IFERROR(MATCH(U24,Tables!$A$123:$A$138,1),1),ROWS(Tables!$A$123:$A$138)-1))+1)-INDEX(Tables!$B$123:$B$138,MAX(1,MIN(IFERROR(MATCH(U24,Tables!$A$123:$A$138,1),1),ROWS(Tables!$A$123:$A$138)-1))))/(INDEX(Tables!$A$123:$A$138,MAX(1,MIN(IFERROR(MATCH(U24,Tables!$A$123:$A$138,1),1),ROWS(Tables!$A$123:$A$138)-1))+1)-INDEX(Tables!$A$123:$A$138,MAX(1,MIN(IFERROR(MATCH(U24,Tables!$A$123:$A$138,1),1),ROWS(Tables!$A$123:$A$138)-1))))),IF(P24&lt;8,(INDEX(Tables!$D$123:$D$138,MAX(1,MIN(IFERROR(MATCH(U24,Tables!$C$123:$C$138,1),1),ROWS(Tables!$C$123:$C$138)-1)))+(U24-INDEX(Tables!$C$123:$C$138,MAX(1,MIN(IFERROR(MATCH(U24,Tables!$C$123:$C$138,1),1),ROWS(Tables!$C$123:$C$138)-1))))*(INDEX(Tables!$D$123:$D$138,MAX(1,MIN(IFERROR(MATCH(U24,Tables!$C$123:$C$138,1),1),ROWS(Tables!$C$123:$C$138)-1))+1)-INDEX(Tables!$D$123:$D$138,MAX(1,MIN(IFERROR(MATCH(U24,Tables!$C$123:$C$138,1),1),ROWS(Tables!$C$123:$C$138)-1))))/(INDEX(Tables!$C$123:$C$138,MAX(1,MIN(IFERROR(MATCH(U24,Tables!$C$123:$C$138,1),1),ROWS(Tables!$C$123:$C$138)-1))+1)-INDEX(Tables!$C$123:$C$138,MAX(1,MIN(IFERROR(MATCH(U24,Tables!$C$123:$C$138,1),1),ROWS(Tables!$C$123:$C$138)-1))))),IF(P24&lt;10,(INDEX(Tables!$F$123:$F$138,MAX(1,MIN(IFERROR(MATCH(U24,Tables!$E$123:$E$138,1),1),ROWS(Tables!$E$123:$E$138)-1)))+(U24-INDEX(Tables!$E$123:$E$138,MAX(1,MIN(IFERROR(MATCH(U24,Tables!$E$123:$E$138,1),1),ROWS(Tables!$E$123:$E$138)-1))))*(INDEX(Tables!$F$123:$F$138,MAX(1,MIN(IFERROR(MATCH(U24,Tables!$E$123:$E$138,1),1),ROWS(Tables!$E$123:$E$138)-1))+1)-INDEX(Tables!$F$123:$F$138,MAX(1,MIN(IFERROR(MATCH(U24,Tables!$E$123:$E$138,1),1),ROWS(Tables!$E$123:$E$138)-1))))/(INDEX(Tables!$E$123:$E$138,MAX(1,MIN(IFERROR(MATCH(U24,Tables!$E$123:$E$138,1),1),ROWS(Tables!$E$123:$E$138)-1))+1)-INDEX(Tables!$E$123:$E$138,MAX(1,MIN(IFERROR(MATCH(U24,Tables!$E$123:$E$138,1),1),ROWS(Tables!$E$123:$E$138)-1))))),(INDEX(Tables!$H$123:$H$138,MAX(1,MIN(IFERROR(MATCH(U24,Tables!$G$123:$G$138,1),1),ROWS(Tables!$G$123:$G$138)-1)))+(U24-INDEX(Tables!$G$123:$G$138,MAX(1,MIN(IFERROR(MATCH(U24,Tables!$G$123:$G$138,1),1),ROWS(Tables!$G$123:$G$138)-1))))*(INDEX(Tables!$H$123:$H$138,MAX(1,MIN(IFERROR(MATCH(U24,Tables!$G$123:$G$138,1),1),ROWS(Tables!$G$123:$G$138)-1))+1)-INDEX(Tables!$H$123:$H$138,MAX(1,MIN(IFERROR(MATCH(U24,Tables!$G$123:$G$138,1),1),ROWS(Tables!$G$123:$G$138)-1))))/(INDEX(Tables!$G$123:$G$138,MAX(1,MIN(IFERROR(MATCH(U24,Tables!$G$123:$G$138,1),1),ROWS(Tables!$G$123:$G$138)-1))+1)-INDEX(Tables!$G$123:$G$138,MAX(1,MIN(IFERROR(MATCH(U24,Tables!$G$123:$G$138,1),1),ROWS(Tables!$G$123:$G$138)-1))))))))</f>
        <v>1.389875</v>
      </c>
      <c r="AR24" s="181">
        <f>IF(OR(P24&gt;=4,U24&gt;12),VLOOKUP(R24&amp;" "&amp;S24,Tables!$D$143:$F$148,2,FALSE),VLOOKUP(R24&amp;" "&amp;S24,Tables!$A$143:$C$148,2,FALSE))</f>
        <v>1</v>
      </c>
      <c r="AS24" s="181">
        <f>IF(OR(P24&gt;=4,U24&gt;12),VLOOKUP(R24&amp;" "&amp;S24,Tables!$D$143:$F$148,3,FALSE),VLOOKUP(R24&amp;" "&amp;S24,Tables!$A$143:$C$148,3,FALSE))</f>
        <v>0.75</v>
      </c>
      <c r="AT24" s="181">
        <f t="shared" si="8"/>
        <v>1874.2162293604019</v>
      </c>
      <c r="AU24" s="181">
        <f>IF(AD24=5000,(INDEX(Tables!$B$244:$B$263,MAX(1,MIN(IFERROR(MATCH(AF24,Tables!$A$244:$A$263,1),1),ROWS(Tables!$A$244:$A$263)-1)))+(AF24-INDEX(Tables!$A$244:$A$263,MAX(1,MIN(IFERROR(MATCH(AF24,Tables!$A$244:$A$263,1),1),ROWS(Tables!$A$244:$A$263)-1))))*(INDEX(Tables!$B$244:$B$263,MAX(1,MIN(IFERROR(MATCH(AF24,Tables!$A$244:$A$263,1),1),ROWS(Tables!$A$244:$A$263)-1))+1)-INDEX(Tables!$B$244:$B$263,MAX(1,MIN(IFERROR(MATCH(AF24,Tables!$A$244:$A$263,1),1),ROWS(Tables!$A$244:$A$263)-1))))/(INDEX(Tables!$A$244:$A$263,MAX(1,MIN(IFERROR(MATCH(AF24,Tables!$A$244:$A$263,1),1),ROWS(Tables!$A$244:$A$263)-1))+1)-INDEX(Tables!$A$244:$A$263,MAX(1,MIN(IFERROR(MATCH(AF24,Tables!$A$244:$A$263,1),1),ROWS(Tables!$A$244:$A$263)-1))))),IF(AD24=10000,(INDEX(Tables!$D$244:$D$263,MAX(1,MIN(IFERROR(MATCH(AF24,Tables!$C$244:$C$263,1),1),ROWS(Tables!$C$244:$C$263)-1)))+(AF24-INDEX(Tables!$C$244:$C$263,MAX(1,MIN(IFERROR(MATCH(AF24,Tables!$C$244:$C$263,1),1),ROWS(Tables!$C$244:$C$263)-1))))*(INDEX(Tables!$D$244:$D$263,MAX(1,MIN(IFERROR(MATCH(AF24,Tables!$C$244:$C$263,1),1),ROWS(Tables!$C$244:$C$263)-1))+1)-INDEX(Tables!$D$244:$D$263,MAX(1,MIN(IFERROR(MATCH(AF24,Tables!$C$244:$C$263,1),1),ROWS(Tables!$C$244:$C$263)-1))))/(INDEX(Tables!$C$244:$C$263,MAX(1,MIN(IFERROR(MATCH(AF24,Tables!$C$244:$C$263,1),1),ROWS(Tables!$C$244:$C$263)-1))+1)-INDEX(Tables!$C$244:$C$263,MAX(1,MIN(IFERROR(MATCH(AF24,Tables!$C$244:$C$263,1),1),ROWS(Tables!$C$244:$C$263)-1))))),(INDEX(Tables!$F$244:$F$263,MAX(1,MIN(IFERROR(MATCH(AF24,Tables!$E$244:$E$263,1),1),ROWS(Tables!$E$244:$E$263)-1)))+(AF24-INDEX(Tables!$E$244:$E$263,MAX(1,MIN(IFERROR(MATCH(AF24,Tables!$E$244:$E$263,1),1),ROWS(Tables!$E$244:$E$263)-1))))*(INDEX(Tables!$F$244:$F$263,MAX(1,MIN(IFERROR(MATCH(AF24,Tables!$E$244:$E$263,1),1),ROWS(Tables!$E$244:$E$263)-1))+1)-INDEX(Tables!$F$244:$F$263,MAX(1,MIN(IFERROR(MATCH(AF24,Tables!$E$244:$E$263,1),1),ROWS(Tables!$E$244:$E$263)-1))))/(INDEX(Tables!$E$244:$E$263,MAX(1,MIN(IFERROR(MATCH(AF24,Tables!$E$244:$E$263,1),1),ROWS(Tables!$E$244:$E$263)-1))+1)-INDEX(Tables!$E$244:$E$263,MAX(1,MIN(IFERROR(MATCH(AF24,Tables!$E$244:$E$263,1),1),ROWS(Tables!$E$244:$E$263)-1)))))))</f>
        <v>9.8291333333333331</v>
      </c>
      <c r="AV24" s="181">
        <f>IF(P24&lt;6,(INDEX(Tables!$B$260:$B$274,MAX(1,MIN(IFERROR(MATCH(U24,Tables!$A$260:$A$274,1),1),ROWS(Tables!$A$260:$A$274)-1)))+(U24-INDEX(Tables!$A$260:$A$274,MAX(1,MIN(IFERROR(MATCH(U24,Tables!$A$260:$A$274,1),1),ROWS(Tables!$A$260:$A$274)-1))))*(INDEX(Tables!$B$260:$B$274,MAX(1,MIN(IFERROR(MATCH(U24,Tables!$A$260:$A$274,1),1),ROWS(Tables!$A$260:$A$274)-1))+1)-INDEX(Tables!$B$260:$B$274,MAX(1,MIN(IFERROR(MATCH(U24,Tables!$A$260:$A$274,1),1),ROWS(Tables!$A$260:$A$274)-1))))/(INDEX(Tables!$A$260:$A$274,MAX(1,MIN(IFERROR(MATCH(U24,Tables!$A$260:$A$274,1),1),ROWS(Tables!$A$260:$A$274)-1))+1)-INDEX(Tables!$A$260:$A$274,MAX(1,MIN(IFERROR(MATCH(U24,Tables!$A$260:$A$274,1),1),ROWS(Tables!$A$260:$A$274)-1))))),IF(P24&lt;8,(INDEX(Tables!$D$260:$D$274,MAX(1,MIN(IFERROR(MATCH(U24,Tables!$C$260:$C$274,1),1),ROWS(Tables!$C$260:$C$274)-1)))+(U24-INDEX(Tables!$C$260:$C$274,MAX(1,MIN(IFERROR(MATCH(U24,Tables!$C$260:$C$274,1),1),ROWS(Tables!$C$260:$C$274)-1))))*(INDEX(Tables!$D$260:$D$274,MAX(1,MIN(IFERROR(MATCH(U24,Tables!$C$260:$C$274,1),1),ROWS(Tables!$C$260:$C$274)-1))+1)-INDEX(Tables!$D$260:$D$274,MAX(1,MIN(IFERROR(MATCH(U24,Tables!$C$260:$C$274,1),1),ROWS(Tables!$C$260:$C$274)-1))))/(INDEX(Tables!$C$260:$C$274,MAX(1,MIN(IFERROR(MATCH(U24,Tables!$C$260:$C$274,1),1),ROWS(Tables!$C$260:$C$274)-1))+1)-INDEX(Tables!$C$260:$C$274,MAX(1,MIN(IFERROR(MATCH(U24,Tables!$C$260:$C$274,1),1),ROWS(Tables!$C$260:$C$274)-1))))),IF(P24&lt;10,(INDEX(Tables!$F$260:$F$274,MAX(1,MIN(IFERROR(MATCH(U24,Tables!$E$260:$E$274,1),1),ROWS(Tables!$E$260:$E$274)-1)))+(U24-INDEX(Tables!$E$260:$E$274,MAX(1,MIN(IFERROR(MATCH(U24,Tables!$E$260:$E$274,1),1),ROWS(Tables!$E$260:$E$274)-1))))*(INDEX(Tables!$F$260:$F$274,MAX(1,MIN(IFERROR(MATCH(U24,Tables!$E$260:$E$274,1),1),ROWS(Tables!$E$260:$E$274)-1))+1)-INDEX(Tables!$F$260:$F$274,MAX(1,MIN(IFERROR(MATCH(U24,Tables!$E$260:$E$274,1),1),ROWS(Tables!$E$260:$E$274)-1))))/(INDEX(Tables!$E$260:$E$274,MAX(1,MIN(IFERROR(MATCH(U24,Tables!$E$260:$E$274,1),1),ROWS(Tables!$E$260:$E$274)-1))+1)-INDEX(Tables!$E$260:$E$274,MAX(1,MIN(IFERROR(MATCH(U24,Tables!$E$260:$E$274,1),1),ROWS(Tables!$E$260:$E$274)-1))))),(INDEX(Tables!$H$260:$H$274,MAX(1,MIN(IFERROR(MATCH(U24,Tables!$G$260:$G$274,1),1),ROWS(Tables!$G$260:$G$274)-1)))+(U24-INDEX(Tables!$G$260:$G$274,MAX(1,MIN(IFERROR(MATCH(U24,Tables!$G$260:$G$274,1),1),ROWS(Tables!$G$260:$G$274)-1))))*(INDEX(Tables!$H$260:$H$274,MAX(1,MIN(IFERROR(MATCH(U24,Tables!$G$260:$G$274,1),1),ROWS(Tables!$G$260:$G$274)-1))+1)-INDEX(Tables!$H$260:$H$274,MAX(1,MIN(IFERROR(MATCH(U24,Tables!$G$260:$G$274,1),1),ROWS(Tables!$G$260:$G$274)-1))))/(INDEX(Tables!$G$260:$G$274,MAX(1,MIN(IFERROR(MATCH(U24,Tables!$G$260:$G$274,1),1),ROWS(Tables!$G$260:$G$274)-1))+1)-INDEX(Tables!$G$260:$G$274,MAX(1,MIN(IFERROR(MATCH(U24,Tables!$G$260:$G$274,1),1),ROWS(Tables!$G$260:$G$274)-1))))))))</f>
        <v>1.3123750000000001</v>
      </c>
      <c r="AW24" s="181">
        <f t="shared" si="9"/>
        <v>1209.3289554687501</v>
      </c>
      <c r="AX24" s="181">
        <f t="shared" si="10"/>
        <v>157714.28571428571</v>
      </c>
      <c r="AY24" s="181">
        <f t="shared" si="11"/>
        <v>161170.19259405197</v>
      </c>
      <c r="AZ24" s="181">
        <f t="shared" si="12"/>
        <v>48998.12186487623</v>
      </c>
      <c r="BA24" s="181">
        <f t="shared" si="13"/>
        <v>-6000</v>
      </c>
      <c r="BB24" s="181">
        <f t="shared" si="14"/>
        <v>147569.0349502012</v>
      </c>
      <c r="BC24" s="181">
        <f t="shared" si="15"/>
        <v>46800</v>
      </c>
      <c r="BD24" s="181">
        <f>VLOOKUP(V24&amp;" "&amp;J24,Tables!$A$152:$E$239,4,FALSE)</f>
        <v>12000</v>
      </c>
      <c r="BE24" s="181">
        <f>VLOOKUP(V24&amp;" "&amp;J24,Tables!$A$152:$E$239,5,FALSE)</f>
        <v>23000</v>
      </c>
      <c r="BF24" s="181">
        <f t="shared" si="16"/>
        <v>8640</v>
      </c>
      <c r="BG24" s="181">
        <f t="shared" si="17"/>
        <v>16560</v>
      </c>
      <c r="BH24" s="181">
        <f t="shared" si="18"/>
        <v>160714.28571428571</v>
      </c>
      <c r="BI24" s="181">
        <f t="shared" si="19"/>
        <v>46800</v>
      </c>
      <c r="BJ24" s="181">
        <f t="shared" si="20"/>
        <v>147569.0349502012</v>
      </c>
      <c r="BK24" s="181">
        <f t="shared" si="21"/>
        <v>46800</v>
      </c>
      <c r="BL24" s="181">
        <f t="shared" si="22"/>
        <v>1209.3289554687501</v>
      </c>
      <c r="BM24" s="181">
        <f t="shared" si="23"/>
        <v>8640</v>
      </c>
      <c r="BN24" s="181">
        <f t="shared" si="24"/>
        <v>1874.2162293604019</v>
      </c>
      <c r="BO24" s="181">
        <f t="shared" si="25"/>
        <v>16560</v>
      </c>
      <c r="BP24" t="str">
        <f t="shared" si="26"/>
        <v>Fail</v>
      </c>
      <c r="BQ24" t="str">
        <f t="shared" si="27"/>
        <v>Fail</v>
      </c>
      <c r="BR24" t="str">
        <f t="shared" si="28"/>
        <v>Pass</v>
      </c>
      <c r="BS24" t="str">
        <f t="shared" si="29"/>
        <v>Pass</v>
      </c>
      <c r="BT24" t="str">
        <f t="shared" si="30"/>
        <v>Fail</v>
      </c>
      <c r="BU24" t="str">
        <f t="shared" si="31"/>
        <v>Barlow Stress</v>
      </c>
    </row>
    <row r="25" spans="1:73">
      <c r="A25" t="s">
        <v>617</v>
      </c>
      <c r="B25" s="181">
        <v>23</v>
      </c>
      <c r="C25" t="s">
        <v>594</v>
      </c>
      <c r="D25" s="181">
        <v>12</v>
      </c>
      <c r="E25" s="181">
        <v>0.193</v>
      </c>
      <c r="F25" t="s">
        <v>117</v>
      </c>
      <c r="G25" t="s">
        <v>119</v>
      </c>
      <c r="H25" t="s">
        <v>122</v>
      </c>
      <c r="I25" s="181">
        <v>1</v>
      </c>
      <c r="J25" t="s">
        <v>126</v>
      </c>
      <c r="K25" t="s">
        <v>129</v>
      </c>
      <c r="L25" s="181">
        <v>70</v>
      </c>
      <c r="M25" s="181">
        <v>6000</v>
      </c>
      <c r="N25" t="s">
        <v>391</v>
      </c>
      <c r="O25" s="181">
        <v>120</v>
      </c>
      <c r="P25" s="181">
        <v>6</v>
      </c>
      <c r="Q25" s="181">
        <v>14.75</v>
      </c>
      <c r="R25" t="s">
        <v>154</v>
      </c>
      <c r="S25" t="s">
        <v>420</v>
      </c>
      <c r="T25" s="181">
        <v>70</v>
      </c>
      <c r="U25" s="181">
        <f>HLOOKUP(D25,'Highway Loading'!$C$155:$AD$156,2,FALSE)</f>
        <v>12.75</v>
      </c>
      <c r="V25" s="181">
        <f>IF(ISBLANK(G25),"",INDEX('Highway Loading'!$C$216:$AG$216,1,MATCH(G25,'Highway Loading'!$C$215:$AG$215,0)))</f>
        <v>65000</v>
      </c>
      <c r="W25" s="181">
        <f>INDEX('Highway Loading'!$I$245:$L$253,MATCH(H25,'Highway Loading'!$H$245:$H$253,0),MATCH(I25,'Highway Loading'!$I$244:$L$244,0))</f>
        <v>0.72</v>
      </c>
      <c r="X25" s="181">
        <f t="shared" si="0"/>
        <v>1</v>
      </c>
      <c r="Y25" s="181">
        <f>VLOOKUP(K25,'Highway Loading'!$B$283:$E$292,2,FALSE)</f>
        <v>29000000</v>
      </c>
      <c r="Z25" s="181">
        <f>VLOOKUP(K25,'Highway Loading'!$B$283:$E$292,3,FALSE)</f>
        <v>0.3</v>
      </c>
      <c r="AA25" s="181">
        <f>VLOOKUP(K25,'Highway Loading'!$B$283:$E$292,4,FALSE)</f>
        <v>6.4999999999999996E-6</v>
      </c>
      <c r="AB25" s="181">
        <f t="shared" si="1"/>
        <v>1</v>
      </c>
      <c r="AC25" s="181">
        <f>VLOOKUP(N25,'Highway Loading'!$B$256:$D$261,2,FALSE)</f>
        <v>1000</v>
      </c>
      <c r="AD25" s="181">
        <f>VLOOKUP(N25,'Highway Loading'!$B$256:$D$261,3,FALSE)</f>
        <v>10000</v>
      </c>
      <c r="AE25" s="181">
        <f>VLOOKUP(S25,'Highway Loading'!$B$340:$C$341,2,FALSE)</f>
        <v>12000</v>
      </c>
      <c r="AF25" s="181">
        <f t="shared" si="2"/>
        <v>1.5137254901960785E-2</v>
      </c>
      <c r="AG25" s="181">
        <f t="shared" si="3"/>
        <v>4.8813559322033901</v>
      </c>
      <c r="AH25" s="181">
        <f t="shared" si="4"/>
        <v>1.1568627450980393</v>
      </c>
      <c r="AI25" s="181">
        <f t="shared" si="5"/>
        <v>198186.52849740931</v>
      </c>
      <c r="AJ25" s="181">
        <f t="shared" si="6"/>
        <v>46800</v>
      </c>
      <c r="AK25" s="181">
        <f>IF(AC25=200,(INDEX(Tables!$B$17:$B$38,MAX(1,MIN(IFERROR(MATCH(AF25,Tables!$A$17:$A$38,1),1),ROWS(Tables!$A$17:$A$38)-1)))+(AF25-INDEX(Tables!$A$17:$A$38,MAX(1,MIN(IFERROR(MATCH(AF25,Tables!$A$17:$A$38,1),1),ROWS(Tables!$A$17:$A$38)-1))))*(INDEX(Tables!$B$17:$B$38,MAX(1,MIN(IFERROR(MATCH(AF25,Tables!$A$17:$A$38,1),1),ROWS(Tables!$A$17:$A$38)-1))+1)-INDEX(Tables!$B$17:$B$38,MAX(1,MIN(IFERROR(MATCH(AF25,Tables!$A$17:$A$38,1),1),ROWS(Tables!$A$17:$A$38)-1))))/(INDEX(Tables!$A$17:$A$38,MAX(1,MIN(IFERROR(MATCH(AF25,Tables!$A$17:$A$38,1),1),ROWS(Tables!$A$17:$A$38)-1))+1)-INDEX(Tables!$A$17:$A$38,MAX(1,MIN(IFERROR(MATCH(AF25,Tables!$A$17:$A$38,1),1),ROWS(Tables!$A$17:$A$38)-1))))),IF(AC25=500,(INDEX(Tables!$D$17:$D$38,MAX(1,MIN(IFERROR(MATCH(AF25,Tables!$C$17:$C$38,1),1),ROWS(Tables!$C$17:$C$38)-1)))+(AF25-INDEX(Tables!$C$17:$C$38,MAX(1,MIN(IFERROR(MATCH(AF25,Tables!$C$17:$C$38,1),1),ROWS(Tables!$C$17:$C$38)-1))))*(INDEX(Tables!$D$17:$D$38,MAX(1,MIN(IFERROR(MATCH(AF25,Tables!$C$17:$C$38,1),1),ROWS(Tables!$C$17:$C$38)-1))+1)-INDEX(Tables!$D$17:$D$38,MAX(1,MIN(IFERROR(MATCH(AF25,Tables!$C$17:$C$38,1),1),ROWS(Tables!$C$17:$C$38)-1))))/(INDEX(Tables!$C$17:$C$38,MAX(1,MIN(IFERROR(MATCH(AF25,Tables!$C$17:$C$38,1),1),ROWS(Tables!$C$17:$C$38)-1))+1)-INDEX(Tables!$C$17:$C$38,MAX(1,MIN(IFERROR(MATCH(AF25,Tables!$C$17:$C$38,1),1),ROWS(Tables!$C$17:$C$38)-1))))),IF(AC25=1000,(INDEX(Tables!$F$17:$F$38,MAX(1,MIN(IFERROR(MATCH(AF25,Tables!$E$17:$E$38,1),1),ROWS(Tables!$E$17:$E$38)-1)))+(AF25-INDEX(Tables!$E$17:$E$38,MAX(1,MIN(IFERROR(MATCH(AF25,Tables!$E$17:$E$38,1),1),ROWS(Tables!$E$17:$E$38)-1))))*(INDEX(Tables!$F$17:$F$38,MAX(1,MIN(IFERROR(MATCH(AF25,Tables!$E$17:$E$38,1),1),ROWS(Tables!$E$17:$E$38)-1))+1)-INDEX(Tables!$F$17:$F$38,MAX(1,MIN(IFERROR(MATCH(AF25,Tables!$E$17:$E$38,1),1),ROWS(Tables!$E$17:$E$38)-1))))/(INDEX(Tables!$E$17:$E$38,MAX(1,MIN(IFERROR(MATCH(AF25,Tables!$E$17:$E$38,1),1),ROWS(Tables!$E$17:$E$38)-1))+1)-INDEX(Tables!$E$17:$E$38,MAX(1,MIN(IFERROR(MATCH(AF25,Tables!$E$17:$E$38,1),1),ROWS(Tables!$E$17:$E$38)-1))))),(INDEX(Tables!$H$17:$H$38,MAX(1,MIN(IFERROR(MATCH(AF25,Tables!$G$17:$G$38,1),1),ROWS(Tables!$G$17:$G$38)-1)))+(AF25-INDEX(Tables!$G$17:$G$38,MAX(1,MIN(IFERROR(MATCH(AF25,Tables!$G$17:$G$38,1),1),ROWS(Tables!$G$17:$G$38)-1))))*(INDEX(Tables!$H$17:$H$38,MAX(1,MIN(IFERROR(MATCH(AF25,Tables!$G$17:$G$38,1),1),ROWS(Tables!$G$17:$G$38)-1))+1)-INDEX(Tables!$H$17:$H$38,MAX(1,MIN(IFERROR(MATCH(AF25,Tables!$G$17:$G$38,1),1),ROWS(Tables!$G$17:$G$38)-1))))/(INDEX(Tables!$G$17:$G$38,MAX(1,MIN(IFERROR(MATCH(AF25,Tables!$G$17:$G$38,1),1),ROWS(Tables!$G$17:$G$38)-1))+1)-INDEX(Tables!$G$17:$G$38,MAX(1,MIN(IFERROR(MATCH(AF25,Tables!$G$17:$G$38,1),1),ROWS(Tables!$G$17:$G$38)-1))))))))</f>
        <v>3235.1960784313724</v>
      </c>
      <c r="AL25" s="181">
        <f>IF(AC25&lt;1000,(INDEX(Tables!$B$43:$B$76,MAX(1,MIN(IFERROR(MATCH(AG25,Tables!$A$43:$A$76,1),1),ROWS(Tables!$A$43:$A$76)-1)))+(AG25-INDEX(Tables!$A$43:$A$76,MAX(1,MIN(IFERROR(MATCH(AG25,Tables!$A$43:$A$76,1),1),ROWS(Tables!$A$43:$A$76)-1))))*(INDEX(Tables!$B$43:$B$76,MAX(1,MIN(IFERROR(MATCH(AG25,Tables!$A$43:$A$76,1),1),ROWS(Tables!$A$43:$A$76)-1))+1)-INDEX(Tables!$B$43:$B$76,MAX(1,MIN(IFERROR(MATCH(AG25,Tables!$A$43:$A$76,1),1),ROWS(Tables!$A$43:$A$76)-1))))/(INDEX(Tables!$A$43:$A$76,MAX(1,MIN(IFERROR(MATCH(AG25,Tables!$A$43:$A$76,1),1),ROWS(Tables!$A$43:$A$76)-1))+1)-INDEX(Tables!$A$43:$A$76,MAX(1,MIN(IFERROR(MATCH(AG25,Tables!$A$43:$A$76,1),1),ROWS(Tables!$A$43:$A$76)-1))))),(INDEX(Tables!$D$43:$D$76,MAX(1,MIN(IFERROR(MATCH(AG25,Tables!$C$43:$C$76,1),1),ROWS(Tables!$C$43:$C$76)-1)))+(AG25-INDEX(Tables!$C$43:$C$76,MAX(1,MIN(IFERROR(MATCH(AG25,Tables!$C$43:$C$76,1),1),ROWS(Tables!$C$43:$C$76)-1))))*(INDEX(Tables!$D$43:$D$76,MAX(1,MIN(IFERROR(MATCH(AG25,Tables!$C$43:$C$76,1),1),ROWS(Tables!$C$43:$C$76)-1))+1)-INDEX(Tables!$D$43:$D$76,MAX(1,MIN(IFERROR(MATCH(AG25,Tables!$C$43:$C$76,1),1),ROWS(Tables!$C$43:$C$76)-1))))/(INDEX(Tables!$C$43:$C$76,MAX(1,MIN(IFERROR(MATCH(AG25,Tables!$C$43:$C$76,1),1),ROWS(Tables!$C$43:$C$76)-1))+1)-INDEX(Tables!$C$43:$C$76,MAX(1,MIN(IFERROR(MATCH(AG25,Tables!$C$43:$C$76,1),1),ROWS(Tables!$C$43:$C$76)-1))))))</f>
        <v>0.95557627118644062</v>
      </c>
      <c r="AM25" s="181">
        <f>(INDEX(Tables!$B$80:$B$87,MAX(1,MIN(IFERROR(MATCH(AH25,Tables!$A$80:$A$87,1),1),ROWS(Tables!$A$80:$A$87)-1)))+(AH25-INDEX(Tables!$A$80:$A$87,MAX(1,MIN(IFERROR(MATCH(AH25,Tables!$A$80:$A$87,1),1),ROWS(Tables!$A$80:$A$87)-1))))*(INDEX(Tables!$B$80:$B$87,MAX(1,MIN(IFERROR(MATCH(AH25,Tables!$A$80:$A$87,1),1),ROWS(Tables!$A$80:$A$87)-1))+1)-INDEX(Tables!$B$80:$B$87,MAX(1,MIN(IFERROR(MATCH(AH25,Tables!$A$80:$A$87,1),1),ROWS(Tables!$A$80:$A$87)-1))))/(INDEX(Tables!$A$80:$A$87,MAX(1,MIN(IFERROR(MATCH(AH25,Tables!$A$80:$A$87,1),1),ROWS(Tables!$A$80:$A$87)-1))+1)-INDEX(Tables!$A$80:$A$87,MAX(1,MIN(IFERROR(MATCH(AH25,Tables!$A$80:$A$87,1),1),ROWS(Tables!$A$80:$A$87)-1)))))</f>
        <v>1.1041078431372553</v>
      </c>
      <c r="AN25" s="181">
        <f t="shared" si="7"/>
        <v>3022.2135746464178</v>
      </c>
      <c r="AO25" s="181">
        <f>(INDEX(Tables!$B$91:$B$94,MAX(1,MIN(IFERROR(MATCH(P25,Tables!$A$91:$A$94,1),1),ROWS(Tables!$A$91:$A$94)-1)))+(P25-INDEX(Tables!$A$91:$A$94,MAX(1,MIN(IFERROR(MATCH(P25,Tables!$A$91:$A$94,1),1),ROWS(Tables!$A$91:$A$94)-1))))*(INDEX(Tables!$B$91:$B$94,MAX(1,MIN(IFERROR(MATCH(P25,Tables!$A$91:$A$94,1),1),ROWS(Tables!$A$91:$A$94)-1))+1)-INDEX(Tables!$B$91:$B$94,MAX(1,MIN(IFERROR(MATCH(P25,Tables!$A$91:$A$94,1),1),ROWS(Tables!$A$91:$A$94)-1))))/(INDEX(Tables!$A$91:$A$94,MAX(1,MIN(IFERROR(MATCH(P25,Tables!$A$91:$A$94,1),1),ROWS(Tables!$A$91:$A$94)-1))+1)-INDEX(Tables!$A$91:$A$94,MAX(1,MIN(IFERROR(MATCH(P25,Tables!$A$91:$A$94,1),1),ROWS(Tables!$A$91:$A$94)-1)))))</f>
        <v>1.476219512195122</v>
      </c>
      <c r="AP25" s="181">
        <f>IF(AD25=5000,(INDEX(Tables!$B$99:$B$118,MAX(1,MIN(IFERROR(MATCH(AF25,Tables!$A$99:$A$118,1),1),ROWS(Tables!$A$99:$A$118)-1)))+(AF25-INDEX(Tables!$A$99:$A$118,MAX(1,MIN(IFERROR(MATCH(AF25,Tables!$A$99:$A$118,1),1),ROWS(Tables!$A$99:$A$118)-1))))*(INDEX(Tables!$B$99:$B$118,MAX(1,MIN(IFERROR(MATCH(AF25,Tables!$A$99:$A$118,1),1),ROWS(Tables!$A$99:$A$118)-1))+1)-INDEX(Tables!$B$99:$B$118,MAX(1,MIN(IFERROR(MATCH(AF25,Tables!$A$99:$A$118,1),1),ROWS(Tables!$A$99:$A$118)-1))))/(INDEX(Tables!$A$99:$A$118,MAX(1,MIN(IFERROR(MATCH(AF25,Tables!$A$99:$A$118,1),1),ROWS(Tables!$A$99:$A$118)-1))+1)-INDEX(Tables!$A$99:$A$118,MAX(1,MIN(IFERROR(MATCH(AF25,Tables!$A$99:$A$118,1),1),ROWS(Tables!$A$99:$A$118)-1))))),IF(AD25=10000,(INDEX(Tables!$D$99:$D$118,MAX(1,MIN(IFERROR(MATCH(AF25,Tables!$C$99:$C$118,1),1),ROWS(Tables!$C$99:$C$118)-1)))+(AF25-INDEX(Tables!$C$99:$C$118,MAX(1,MIN(IFERROR(MATCH(AF25,Tables!$C$99:$C$118,1),1),ROWS(Tables!$C$99:$C$118)-1))))*(INDEX(Tables!$D$99:$D$118,MAX(1,MIN(IFERROR(MATCH(AF25,Tables!$C$99:$C$118,1),1),ROWS(Tables!$C$99:$C$118)-1))+1)-INDEX(Tables!$D$99:$D$118,MAX(1,MIN(IFERROR(MATCH(AF25,Tables!$C$99:$C$118,1),1),ROWS(Tables!$C$99:$C$118)-1))))/(INDEX(Tables!$C$99:$C$118,MAX(1,MIN(IFERROR(MATCH(AF25,Tables!$C$99:$C$118,1),1),ROWS(Tables!$C$99:$C$118)-1))+1)-INDEX(Tables!$C$99:$C$118,MAX(1,MIN(IFERROR(MATCH(AF25,Tables!$C$99:$C$118,1),1),ROWS(Tables!$C$99:$C$118)-1))))),(INDEX(Tables!$F$99:$F$118,MAX(1,MIN(IFERROR(MATCH(AF25,Tables!$E$99:$E$118,1),1),ROWS(Tables!$E$99:$E$118)-1)))+(AF25-INDEX(Tables!$E$99:$E$118,MAX(1,MIN(IFERROR(MATCH(AF25,Tables!$E$99:$E$118,1),1),ROWS(Tables!$E$99:$E$118)-1))))*(INDEX(Tables!$F$99:$F$118,MAX(1,MIN(IFERROR(MATCH(AF25,Tables!$E$99:$E$118,1),1),ROWS(Tables!$E$99:$E$118)-1))+1)-INDEX(Tables!$F$99:$F$118,MAX(1,MIN(IFERROR(MATCH(AF25,Tables!$E$99:$E$118,1),1),ROWS(Tables!$E$99:$E$118)-1))))/(INDEX(Tables!$E$99:$E$118,MAX(1,MIN(IFERROR(MATCH(AF25,Tables!$E$99:$E$118,1),1),ROWS(Tables!$E$99:$E$118)-1))+1)-INDEX(Tables!$E$99:$E$118,MAX(1,MIN(IFERROR(MATCH(AF25,Tables!$E$99:$E$118,1),1),ROWS(Tables!$E$99:$E$118)-1)))))))</f>
        <v>14.719467653728158</v>
      </c>
      <c r="AQ25" s="181">
        <f>IF(P25&lt;6,(INDEX(Tables!$B$123:$B$138,MAX(1,MIN(IFERROR(MATCH(U25,Tables!$A$123:$A$138,1),1),ROWS(Tables!$A$123:$A$138)-1)))+(U25-INDEX(Tables!$A$123:$A$138,MAX(1,MIN(IFERROR(MATCH(U25,Tables!$A$123:$A$138,1),1),ROWS(Tables!$A$123:$A$138)-1))))*(INDEX(Tables!$B$123:$B$138,MAX(1,MIN(IFERROR(MATCH(U25,Tables!$A$123:$A$138,1),1),ROWS(Tables!$A$123:$A$138)-1))+1)-INDEX(Tables!$B$123:$B$138,MAX(1,MIN(IFERROR(MATCH(U25,Tables!$A$123:$A$138,1),1),ROWS(Tables!$A$123:$A$138)-1))))/(INDEX(Tables!$A$123:$A$138,MAX(1,MIN(IFERROR(MATCH(U25,Tables!$A$123:$A$138,1),1),ROWS(Tables!$A$123:$A$138)-1))+1)-INDEX(Tables!$A$123:$A$138,MAX(1,MIN(IFERROR(MATCH(U25,Tables!$A$123:$A$138,1),1),ROWS(Tables!$A$123:$A$138)-1))))),IF(P25&lt;8,(INDEX(Tables!$D$123:$D$138,MAX(1,MIN(IFERROR(MATCH(U25,Tables!$C$123:$C$138,1),1),ROWS(Tables!$C$123:$C$138)-1)))+(U25-INDEX(Tables!$C$123:$C$138,MAX(1,MIN(IFERROR(MATCH(U25,Tables!$C$123:$C$138,1),1),ROWS(Tables!$C$123:$C$138)-1))))*(INDEX(Tables!$D$123:$D$138,MAX(1,MIN(IFERROR(MATCH(U25,Tables!$C$123:$C$138,1),1),ROWS(Tables!$C$123:$C$138)-1))+1)-INDEX(Tables!$D$123:$D$138,MAX(1,MIN(IFERROR(MATCH(U25,Tables!$C$123:$C$138,1),1),ROWS(Tables!$C$123:$C$138)-1))))/(INDEX(Tables!$C$123:$C$138,MAX(1,MIN(IFERROR(MATCH(U25,Tables!$C$123:$C$138,1),1),ROWS(Tables!$C$123:$C$138)-1))+1)-INDEX(Tables!$C$123:$C$138,MAX(1,MIN(IFERROR(MATCH(U25,Tables!$C$123:$C$138,1),1),ROWS(Tables!$C$123:$C$138)-1))))),IF(P25&lt;10,(INDEX(Tables!$F$123:$F$138,MAX(1,MIN(IFERROR(MATCH(U25,Tables!$E$123:$E$138,1),1),ROWS(Tables!$E$123:$E$138)-1)))+(U25-INDEX(Tables!$E$123:$E$138,MAX(1,MIN(IFERROR(MATCH(U25,Tables!$E$123:$E$138,1),1),ROWS(Tables!$E$123:$E$138)-1))))*(INDEX(Tables!$F$123:$F$138,MAX(1,MIN(IFERROR(MATCH(U25,Tables!$E$123:$E$138,1),1),ROWS(Tables!$E$123:$E$138)-1))+1)-INDEX(Tables!$F$123:$F$138,MAX(1,MIN(IFERROR(MATCH(U25,Tables!$E$123:$E$138,1),1),ROWS(Tables!$E$123:$E$138)-1))))/(INDEX(Tables!$E$123:$E$138,MAX(1,MIN(IFERROR(MATCH(U25,Tables!$E$123:$E$138,1),1),ROWS(Tables!$E$123:$E$138)-1))+1)-INDEX(Tables!$E$123:$E$138,MAX(1,MIN(IFERROR(MATCH(U25,Tables!$E$123:$E$138,1),1),ROWS(Tables!$E$123:$E$138)-1))))),(INDEX(Tables!$H$123:$H$138,MAX(1,MIN(IFERROR(MATCH(U25,Tables!$G$123:$G$138,1),1),ROWS(Tables!$G$123:$G$138)-1)))+(U25-INDEX(Tables!$G$123:$G$138,MAX(1,MIN(IFERROR(MATCH(U25,Tables!$G$123:$G$138,1),1),ROWS(Tables!$G$123:$G$138)-1))))*(INDEX(Tables!$H$123:$H$138,MAX(1,MIN(IFERROR(MATCH(U25,Tables!$G$123:$G$138,1),1),ROWS(Tables!$G$123:$G$138)-1))+1)-INDEX(Tables!$H$123:$H$138,MAX(1,MIN(IFERROR(MATCH(U25,Tables!$G$123:$G$138,1),1),ROWS(Tables!$G$123:$G$138)-1))))/(INDEX(Tables!$G$123:$G$138,MAX(1,MIN(IFERROR(MATCH(U25,Tables!$G$123:$G$138,1),1),ROWS(Tables!$G$123:$G$138)-1))+1)-INDEX(Tables!$G$123:$G$138,MAX(1,MIN(IFERROR(MATCH(U25,Tables!$G$123:$G$138,1),1),ROWS(Tables!$G$123:$G$138)-1))))))))</f>
        <v>1.01675</v>
      </c>
      <c r="AR25" s="181">
        <f>IF(OR(P25&gt;=4,U25&gt;12),VLOOKUP(R25&amp;" "&amp;S25,Tables!$D$143:$F$148,2,FALSE),VLOOKUP(R25&amp;" "&amp;S25,Tables!$A$143:$C$148,2,FALSE))</f>
        <v>1</v>
      </c>
      <c r="AS25" s="181">
        <f>IF(OR(P25&gt;=4,U25&gt;12),VLOOKUP(R25&amp;" "&amp;S25,Tables!$D$143:$F$148,3,FALSE),VLOOKUP(R25&amp;" "&amp;S25,Tables!$A$143:$C$148,3,FALSE))</f>
        <v>0.65</v>
      </c>
      <c r="AT25" s="181">
        <f t="shared" si="8"/>
        <v>1196.7111476304326</v>
      </c>
      <c r="AU25" s="181">
        <f>IF(AD25=5000,(INDEX(Tables!$B$244:$B$263,MAX(1,MIN(IFERROR(MATCH(AF25,Tables!$A$244:$A$263,1),1),ROWS(Tables!$A$244:$A$263)-1)))+(AF25-INDEX(Tables!$A$244:$A$263,MAX(1,MIN(IFERROR(MATCH(AF25,Tables!$A$244:$A$263,1),1),ROWS(Tables!$A$244:$A$263)-1))))*(INDEX(Tables!$B$244:$B$263,MAX(1,MIN(IFERROR(MATCH(AF25,Tables!$A$244:$A$263,1),1),ROWS(Tables!$A$244:$A$263)-1))+1)-INDEX(Tables!$B$244:$B$263,MAX(1,MIN(IFERROR(MATCH(AF25,Tables!$A$244:$A$263,1),1),ROWS(Tables!$A$244:$A$263)-1))))/(INDEX(Tables!$A$244:$A$263,MAX(1,MIN(IFERROR(MATCH(AF25,Tables!$A$244:$A$263,1),1),ROWS(Tables!$A$244:$A$263)-1))+1)-INDEX(Tables!$A$244:$A$263,MAX(1,MIN(IFERROR(MATCH(AF25,Tables!$A$244:$A$263,1),1),ROWS(Tables!$A$244:$A$263)-1))))),IF(AD25=10000,(INDEX(Tables!$D$244:$D$263,MAX(1,MIN(IFERROR(MATCH(AF25,Tables!$C$244:$C$263,1),1),ROWS(Tables!$C$244:$C$263)-1)))+(AF25-INDEX(Tables!$C$244:$C$263,MAX(1,MIN(IFERROR(MATCH(AF25,Tables!$C$244:$C$263,1),1),ROWS(Tables!$C$244:$C$263)-1))))*(INDEX(Tables!$D$244:$D$263,MAX(1,MIN(IFERROR(MATCH(AF25,Tables!$C$244:$C$263,1),1),ROWS(Tables!$C$244:$C$263)-1))+1)-INDEX(Tables!$D$244:$D$263,MAX(1,MIN(IFERROR(MATCH(AF25,Tables!$C$244:$C$263,1),1),ROWS(Tables!$C$244:$C$263)-1))))/(INDEX(Tables!$C$244:$C$263,MAX(1,MIN(IFERROR(MATCH(AF25,Tables!$C$244:$C$263,1),1),ROWS(Tables!$C$244:$C$263)-1))+1)-INDEX(Tables!$C$244:$C$263,MAX(1,MIN(IFERROR(MATCH(AF25,Tables!$C$244:$C$263,1),1),ROWS(Tables!$C$244:$C$263)-1))))),(INDEX(Tables!$F$244:$F$263,MAX(1,MIN(IFERROR(MATCH(AF25,Tables!$E$244:$E$263,1),1),ROWS(Tables!$E$244:$E$263)-1)))+(AF25-INDEX(Tables!$E$244:$E$263,MAX(1,MIN(IFERROR(MATCH(AF25,Tables!$E$244:$E$263,1),1),ROWS(Tables!$E$244:$E$263)-1))))*(INDEX(Tables!$F$244:$F$263,MAX(1,MIN(IFERROR(MATCH(AF25,Tables!$E$244:$E$263,1),1),ROWS(Tables!$E$244:$E$263)-1))+1)-INDEX(Tables!$F$244:$F$263,MAX(1,MIN(IFERROR(MATCH(AF25,Tables!$E$244:$E$263,1),1),ROWS(Tables!$E$244:$E$263)-1))))/(INDEX(Tables!$E$244:$E$263,MAX(1,MIN(IFERROR(MATCH(AF25,Tables!$E$244:$E$263,1),1),ROWS(Tables!$E$244:$E$263)-1))+1)-INDEX(Tables!$E$244:$E$263,MAX(1,MIN(IFERROR(MATCH(AF25,Tables!$E$244:$E$263,1),1),ROWS(Tables!$E$244:$E$263)-1)))))))</f>
        <v>9.9936039215686279</v>
      </c>
      <c r="AV25" s="181">
        <f>IF(P25&lt;6,(INDEX(Tables!$B$260:$B$274,MAX(1,MIN(IFERROR(MATCH(U25,Tables!$A$260:$A$274,1),1),ROWS(Tables!$A$260:$A$274)-1)))+(U25-INDEX(Tables!$A$260:$A$274,MAX(1,MIN(IFERROR(MATCH(U25,Tables!$A$260:$A$274,1),1),ROWS(Tables!$A$260:$A$274)-1))))*(INDEX(Tables!$B$260:$B$274,MAX(1,MIN(IFERROR(MATCH(U25,Tables!$A$260:$A$274,1),1),ROWS(Tables!$A$260:$A$274)-1))+1)-INDEX(Tables!$B$260:$B$274,MAX(1,MIN(IFERROR(MATCH(U25,Tables!$A$260:$A$274,1),1),ROWS(Tables!$A$260:$A$274)-1))))/(INDEX(Tables!$A$260:$A$274,MAX(1,MIN(IFERROR(MATCH(U25,Tables!$A$260:$A$274,1),1),ROWS(Tables!$A$260:$A$274)-1))+1)-INDEX(Tables!$A$260:$A$274,MAX(1,MIN(IFERROR(MATCH(U25,Tables!$A$260:$A$274,1),1),ROWS(Tables!$A$260:$A$274)-1))))),IF(P25&lt;8,(INDEX(Tables!$D$260:$D$274,MAX(1,MIN(IFERROR(MATCH(U25,Tables!$C$260:$C$274,1),1),ROWS(Tables!$C$260:$C$274)-1)))+(U25-INDEX(Tables!$C$260:$C$274,MAX(1,MIN(IFERROR(MATCH(U25,Tables!$C$260:$C$274,1),1),ROWS(Tables!$C$260:$C$274)-1))))*(INDEX(Tables!$D$260:$D$274,MAX(1,MIN(IFERROR(MATCH(U25,Tables!$C$260:$C$274,1),1),ROWS(Tables!$C$260:$C$274)-1))+1)-INDEX(Tables!$D$260:$D$274,MAX(1,MIN(IFERROR(MATCH(U25,Tables!$C$260:$C$274,1),1),ROWS(Tables!$C$260:$C$274)-1))))/(INDEX(Tables!$C$260:$C$274,MAX(1,MIN(IFERROR(MATCH(U25,Tables!$C$260:$C$274,1),1),ROWS(Tables!$C$260:$C$274)-1))+1)-INDEX(Tables!$C$260:$C$274,MAX(1,MIN(IFERROR(MATCH(U25,Tables!$C$260:$C$274,1),1),ROWS(Tables!$C$260:$C$274)-1))))),IF(P25&lt;10,(INDEX(Tables!$F$260:$F$274,MAX(1,MIN(IFERROR(MATCH(U25,Tables!$E$260:$E$274,1),1),ROWS(Tables!$E$260:$E$274)-1)))+(U25-INDEX(Tables!$E$260:$E$274,MAX(1,MIN(IFERROR(MATCH(U25,Tables!$E$260:$E$274,1),1),ROWS(Tables!$E$260:$E$274)-1))))*(INDEX(Tables!$F$260:$F$274,MAX(1,MIN(IFERROR(MATCH(U25,Tables!$E$260:$E$274,1),1),ROWS(Tables!$E$260:$E$274)-1))+1)-INDEX(Tables!$F$260:$F$274,MAX(1,MIN(IFERROR(MATCH(U25,Tables!$E$260:$E$274,1),1),ROWS(Tables!$E$260:$E$274)-1))))/(INDEX(Tables!$E$260:$E$274,MAX(1,MIN(IFERROR(MATCH(U25,Tables!$E$260:$E$274,1),1),ROWS(Tables!$E$260:$E$274)-1))+1)-INDEX(Tables!$E$260:$E$274,MAX(1,MIN(IFERROR(MATCH(U25,Tables!$E$260:$E$274,1),1),ROWS(Tables!$E$260:$E$274)-1))))),(INDEX(Tables!$H$260:$H$274,MAX(1,MIN(IFERROR(MATCH(U25,Tables!$G$260:$G$274,1),1),ROWS(Tables!$G$260:$G$274)-1)))+(U25-INDEX(Tables!$G$260:$G$274,MAX(1,MIN(IFERROR(MATCH(U25,Tables!$G$260:$G$274,1),1),ROWS(Tables!$G$260:$G$274)-1))))*(INDEX(Tables!$H$260:$H$274,MAX(1,MIN(IFERROR(MATCH(U25,Tables!$G$260:$G$274,1),1),ROWS(Tables!$G$260:$G$274)-1))+1)-INDEX(Tables!$H$260:$H$274,MAX(1,MIN(IFERROR(MATCH(U25,Tables!$G$260:$G$274,1),1),ROWS(Tables!$G$260:$G$274)-1))))/(INDEX(Tables!$G$260:$G$274,MAX(1,MIN(IFERROR(MATCH(U25,Tables!$G$260:$G$274,1),1),ROWS(Tables!$G$260:$G$274)-1))+1)-INDEX(Tables!$G$260:$G$274,MAX(1,MIN(IFERROR(MATCH(U25,Tables!$G$260:$G$274,1),1),ROWS(Tables!$G$260:$G$274)-1))))))))</f>
        <v>1.0024999999999999</v>
      </c>
      <c r="AW25" s="181">
        <f t="shared" si="9"/>
        <v>801.10522856729733</v>
      </c>
      <c r="AX25" s="181">
        <f t="shared" si="10"/>
        <v>195186.52849740931</v>
      </c>
      <c r="AY25" s="181">
        <f t="shared" si="11"/>
        <v>199405.45321968617</v>
      </c>
      <c r="AZ25" s="181">
        <f t="shared" si="12"/>
        <v>60263.727850184012</v>
      </c>
      <c r="BA25" s="181">
        <f t="shared" si="13"/>
        <v>-6000</v>
      </c>
      <c r="BB25" s="181">
        <f t="shared" si="14"/>
        <v>181580.14976834596</v>
      </c>
      <c r="BC25" s="181">
        <f t="shared" si="15"/>
        <v>46800</v>
      </c>
      <c r="BD25" s="181">
        <f>VLOOKUP(V25&amp;" "&amp;J25,Tables!$A$152:$E$239,4,FALSE)</f>
        <v>12000</v>
      </c>
      <c r="BE25" s="181">
        <f>VLOOKUP(V25&amp;" "&amp;J25,Tables!$A$152:$E$239,5,FALSE)</f>
        <v>23000</v>
      </c>
      <c r="BF25" s="181">
        <f t="shared" si="16"/>
        <v>8640</v>
      </c>
      <c r="BG25" s="181">
        <f t="shared" si="17"/>
        <v>16560</v>
      </c>
      <c r="BH25" s="181">
        <f t="shared" si="18"/>
        <v>198186.52849740931</v>
      </c>
      <c r="BI25" s="181">
        <f t="shared" si="19"/>
        <v>46800</v>
      </c>
      <c r="BJ25" s="181">
        <f t="shared" si="20"/>
        <v>181580.14976834596</v>
      </c>
      <c r="BK25" s="181">
        <f t="shared" si="21"/>
        <v>46800</v>
      </c>
      <c r="BL25" s="181">
        <f t="shared" si="22"/>
        <v>801.10522856729733</v>
      </c>
      <c r="BM25" s="181">
        <f t="shared" si="23"/>
        <v>8640</v>
      </c>
      <c r="BN25" s="181">
        <f t="shared" si="24"/>
        <v>1196.7111476304326</v>
      </c>
      <c r="BO25" s="181">
        <f t="shared" si="25"/>
        <v>16560</v>
      </c>
      <c r="BP25" t="str">
        <f t="shared" si="26"/>
        <v>Fail</v>
      </c>
      <c r="BQ25" t="str">
        <f t="shared" si="27"/>
        <v>Fail</v>
      </c>
      <c r="BR25" t="str">
        <f t="shared" si="28"/>
        <v>Pass</v>
      </c>
      <c r="BS25" t="str">
        <f t="shared" si="29"/>
        <v>Pass</v>
      </c>
      <c r="BT25" t="str">
        <f t="shared" si="30"/>
        <v>Fail</v>
      </c>
      <c r="BU25" t="str">
        <f t="shared" si="31"/>
        <v>Barlow Stress</v>
      </c>
    </row>
    <row r="26" spans="1:73">
      <c r="A26" t="s">
        <v>618</v>
      </c>
      <c r="B26" s="181">
        <v>24</v>
      </c>
      <c r="C26" t="s">
        <v>594</v>
      </c>
      <c r="D26" s="181">
        <v>16</v>
      </c>
      <c r="E26" s="181">
        <v>0.20100000000000001</v>
      </c>
      <c r="F26" t="s">
        <v>117</v>
      </c>
      <c r="G26" t="s">
        <v>119</v>
      </c>
      <c r="H26" t="s">
        <v>122</v>
      </c>
      <c r="I26" s="181">
        <v>1</v>
      </c>
      <c r="J26" t="s">
        <v>126</v>
      </c>
      <c r="K26" t="s">
        <v>129</v>
      </c>
      <c r="L26" s="181">
        <v>70</v>
      </c>
      <c r="M26" s="181">
        <v>-14.73</v>
      </c>
      <c r="N26" t="s">
        <v>391</v>
      </c>
      <c r="O26" s="181">
        <v>120</v>
      </c>
      <c r="P26" s="181">
        <v>8</v>
      </c>
      <c r="Q26" s="181">
        <v>18</v>
      </c>
      <c r="R26" t="s">
        <v>154</v>
      </c>
      <c r="S26" t="s">
        <v>420</v>
      </c>
      <c r="T26" s="181">
        <v>70</v>
      </c>
      <c r="U26" s="181">
        <f>HLOOKUP(D26,'Highway Loading'!$C$155:$AD$156,2,FALSE)</f>
        <v>16</v>
      </c>
      <c r="V26" s="181">
        <f>IF(ISBLANK(G26),"",INDEX('Highway Loading'!$C$216:$AG$216,1,MATCH(G26,'Highway Loading'!$C$215:$AG$215,0)))</f>
        <v>65000</v>
      </c>
      <c r="W26" s="181">
        <f>INDEX('Highway Loading'!$I$245:$L$253,MATCH(H26,'Highway Loading'!$H$245:$H$253,0),MATCH(I26,'Highway Loading'!$I$244:$L$244,0))</f>
        <v>0.72</v>
      </c>
      <c r="X26" s="181">
        <f t="shared" si="0"/>
        <v>1</v>
      </c>
      <c r="Y26" s="181">
        <f>VLOOKUP(K26,'Highway Loading'!$B$283:$E$292,2,FALSE)</f>
        <v>29000000</v>
      </c>
      <c r="Z26" s="181">
        <f>VLOOKUP(K26,'Highway Loading'!$B$283:$E$292,3,FALSE)</f>
        <v>0.3</v>
      </c>
      <c r="AA26" s="181">
        <f>VLOOKUP(K26,'Highway Loading'!$B$283:$E$292,4,FALSE)</f>
        <v>6.4999999999999996E-6</v>
      </c>
      <c r="AB26" s="181">
        <f t="shared" si="1"/>
        <v>1</v>
      </c>
      <c r="AC26" s="181">
        <f>VLOOKUP(N26,'Highway Loading'!$B$256:$D$261,2,FALSE)</f>
        <v>1000</v>
      </c>
      <c r="AD26" s="181">
        <f>VLOOKUP(N26,'Highway Loading'!$B$256:$D$261,3,FALSE)</f>
        <v>10000</v>
      </c>
      <c r="AE26" s="181">
        <f>VLOOKUP(S26,'Highway Loading'!$B$340:$C$341,2,FALSE)</f>
        <v>12000</v>
      </c>
      <c r="AF26" s="181">
        <f t="shared" si="2"/>
        <v>1.2562500000000001E-2</v>
      </c>
      <c r="AG26" s="181">
        <f t="shared" si="3"/>
        <v>5.333333333333333</v>
      </c>
      <c r="AH26" s="181">
        <f t="shared" si="4"/>
        <v>1.125</v>
      </c>
      <c r="AI26" s="181">
        <f t="shared" si="5"/>
        <v>-586.26865671641792</v>
      </c>
      <c r="AJ26" s="181">
        <f t="shared" si="6"/>
        <v>46800</v>
      </c>
      <c r="AK26" s="181">
        <f>IF(AC26=200,(INDEX(Tables!$B$17:$B$38,MAX(1,MIN(IFERROR(MATCH(AF26,Tables!$A$17:$A$38,1),1),ROWS(Tables!$A$17:$A$38)-1)))+(AF26-INDEX(Tables!$A$17:$A$38,MAX(1,MIN(IFERROR(MATCH(AF26,Tables!$A$17:$A$38,1),1),ROWS(Tables!$A$17:$A$38)-1))))*(INDEX(Tables!$B$17:$B$38,MAX(1,MIN(IFERROR(MATCH(AF26,Tables!$A$17:$A$38,1),1),ROWS(Tables!$A$17:$A$38)-1))+1)-INDEX(Tables!$B$17:$B$38,MAX(1,MIN(IFERROR(MATCH(AF26,Tables!$A$17:$A$38,1),1),ROWS(Tables!$A$17:$A$38)-1))))/(INDEX(Tables!$A$17:$A$38,MAX(1,MIN(IFERROR(MATCH(AF26,Tables!$A$17:$A$38,1),1),ROWS(Tables!$A$17:$A$38)-1))+1)-INDEX(Tables!$A$17:$A$38,MAX(1,MIN(IFERROR(MATCH(AF26,Tables!$A$17:$A$38,1),1),ROWS(Tables!$A$17:$A$38)-1))))),IF(AC26=500,(INDEX(Tables!$D$17:$D$38,MAX(1,MIN(IFERROR(MATCH(AF26,Tables!$C$17:$C$38,1),1),ROWS(Tables!$C$17:$C$38)-1)))+(AF26-INDEX(Tables!$C$17:$C$38,MAX(1,MIN(IFERROR(MATCH(AF26,Tables!$C$17:$C$38,1),1),ROWS(Tables!$C$17:$C$38)-1))))*(INDEX(Tables!$D$17:$D$38,MAX(1,MIN(IFERROR(MATCH(AF26,Tables!$C$17:$C$38,1),1),ROWS(Tables!$C$17:$C$38)-1))+1)-INDEX(Tables!$D$17:$D$38,MAX(1,MIN(IFERROR(MATCH(AF26,Tables!$C$17:$C$38,1),1),ROWS(Tables!$C$17:$C$38)-1))))/(INDEX(Tables!$C$17:$C$38,MAX(1,MIN(IFERROR(MATCH(AF26,Tables!$C$17:$C$38,1),1),ROWS(Tables!$C$17:$C$38)-1))+1)-INDEX(Tables!$C$17:$C$38,MAX(1,MIN(IFERROR(MATCH(AF26,Tables!$C$17:$C$38,1),1),ROWS(Tables!$C$17:$C$38)-1))))),IF(AC26=1000,(INDEX(Tables!$F$17:$F$38,MAX(1,MIN(IFERROR(MATCH(AF26,Tables!$E$17:$E$38,1),1),ROWS(Tables!$E$17:$E$38)-1)))+(AF26-INDEX(Tables!$E$17:$E$38,MAX(1,MIN(IFERROR(MATCH(AF26,Tables!$E$17:$E$38,1),1),ROWS(Tables!$E$17:$E$38)-1))))*(INDEX(Tables!$F$17:$F$38,MAX(1,MIN(IFERROR(MATCH(AF26,Tables!$E$17:$E$38,1),1),ROWS(Tables!$E$17:$E$38)-1))+1)-INDEX(Tables!$F$17:$F$38,MAX(1,MIN(IFERROR(MATCH(AF26,Tables!$E$17:$E$38,1),1),ROWS(Tables!$E$17:$E$38)-1))))/(INDEX(Tables!$E$17:$E$38,MAX(1,MIN(IFERROR(MATCH(AF26,Tables!$E$17:$E$38,1),1),ROWS(Tables!$E$17:$E$38)-1))+1)-INDEX(Tables!$E$17:$E$38,MAX(1,MIN(IFERROR(MATCH(AF26,Tables!$E$17:$E$38,1),1),ROWS(Tables!$E$17:$E$38)-1))))),(INDEX(Tables!$H$17:$H$38,MAX(1,MIN(IFERROR(MATCH(AF26,Tables!$G$17:$G$38,1),1),ROWS(Tables!$G$17:$G$38)-1)))+(AF26-INDEX(Tables!$G$17:$G$38,MAX(1,MIN(IFERROR(MATCH(AF26,Tables!$G$17:$G$38,1),1),ROWS(Tables!$G$17:$G$38)-1))))*(INDEX(Tables!$H$17:$H$38,MAX(1,MIN(IFERROR(MATCH(AF26,Tables!$G$17:$G$38,1),1),ROWS(Tables!$G$17:$G$38)-1))+1)-INDEX(Tables!$H$17:$H$38,MAX(1,MIN(IFERROR(MATCH(AF26,Tables!$G$17:$G$38,1),1),ROWS(Tables!$G$17:$G$38)-1))))/(INDEX(Tables!$G$17:$G$38,MAX(1,MIN(IFERROR(MATCH(AF26,Tables!$G$17:$G$38,1),1),ROWS(Tables!$G$17:$G$38)-1))+1)-INDEX(Tables!$G$17:$G$38,MAX(1,MIN(IFERROR(MATCH(AF26,Tables!$G$17:$G$38,1),1),ROWS(Tables!$G$17:$G$38)-1))))))))</f>
        <v>3866.4749999999999</v>
      </c>
      <c r="AL26" s="181">
        <f>IF(AC26&lt;1000,(INDEX(Tables!$B$43:$B$76,MAX(1,MIN(IFERROR(MATCH(AG26,Tables!$A$43:$A$76,1),1),ROWS(Tables!$A$43:$A$76)-1)))+(AG26-INDEX(Tables!$A$43:$A$76,MAX(1,MIN(IFERROR(MATCH(AG26,Tables!$A$43:$A$76,1),1),ROWS(Tables!$A$43:$A$76)-1))))*(INDEX(Tables!$B$43:$B$76,MAX(1,MIN(IFERROR(MATCH(AG26,Tables!$A$43:$A$76,1),1),ROWS(Tables!$A$43:$A$76)-1))+1)-INDEX(Tables!$B$43:$B$76,MAX(1,MIN(IFERROR(MATCH(AG26,Tables!$A$43:$A$76,1),1),ROWS(Tables!$A$43:$A$76)-1))))/(INDEX(Tables!$A$43:$A$76,MAX(1,MIN(IFERROR(MATCH(AG26,Tables!$A$43:$A$76,1),1),ROWS(Tables!$A$43:$A$76)-1))+1)-INDEX(Tables!$A$43:$A$76,MAX(1,MIN(IFERROR(MATCH(AG26,Tables!$A$43:$A$76,1),1),ROWS(Tables!$A$43:$A$76)-1))))),(INDEX(Tables!$D$43:$D$76,MAX(1,MIN(IFERROR(MATCH(AG26,Tables!$C$43:$C$76,1),1),ROWS(Tables!$C$43:$C$76)-1)))+(AG26-INDEX(Tables!$C$43:$C$76,MAX(1,MIN(IFERROR(MATCH(AG26,Tables!$C$43:$C$76,1),1),ROWS(Tables!$C$43:$C$76)-1))))*(INDEX(Tables!$D$43:$D$76,MAX(1,MIN(IFERROR(MATCH(AG26,Tables!$C$43:$C$76,1),1),ROWS(Tables!$C$43:$C$76)-1))+1)-INDEX(Tables!$D$43:$D$76,MAX(1,MIN(IFERROR(MATCH(AG26,Tables!$C$43:$C$76,1),1),ROWS(Tables!$C$43:$C$76)-1))))/(INDEX(Tables!$C$43:$C$76,MAX(1,MIN(IFERROR(MATCH(AG26,Tables!$C$43:$C$76,1),1),ROWS(Tables!$C$43:$C$76)-1))+1)-INDEX(Tables!$C$43:$C$76,MAX(1,MIN(IFERROR(MATCH(AG26,Tables!$C$43:$C$76,1),1),ROWS(Tables!$C$43:$C$76)-1))))))</f>
        <v>0.98666666666666658</v>
      </c>
      <c r="AM26" s="181">
        <f>(INDEX(Tables!$B$80:$B$87,MAX(1,MIN(IFERROR(MATCH(AH26,Tables!$A$80:$A$87,1),1),ROWS(Tables!$A$80:$A$87)-1)))+(AH26-INDEX(Tables!$A$80:$A$87,MAX(1,MIN(IFERROR(MATCH(AH26,Tables!$A$80:$A$87,1),1),ROWS(Tables!$A$80:$A$87)-1))))*(INDEX(Tables!$B$80:$B$87,MAX(1,MIN(IFERROR(MATCH(AH26,Tables!$A$80:$A$87,1),1),ROWS(Tables!$A$80:$A$87)-1))+1)-INDEX(Tables!$B$80:$B$87,MAX(1,MIN(IFERROR(MATCH(AH26,Tables!$A$80:$A$87,1),1),ROWS(Tables!$A$80:$A$87)-1))))/(INDEX(Tables!$A$80:$A$87,MAX(1,MIN(IFERROR(MATCH(AH26,Tables!$A$80:$A$87,1),1),ROWS(Tables!$A$80:$A$87)-1))+1)-INDEX(Tables!$A$80:$A$87,MAX(1,MIN(IFERROR(MATCH(AH26,Tables!$A$80:$A$87,1),1),ROWS(Tables!$A$80:$A$87)-1)))))</f>
        <v>1.04345</v>
      </c>
      <c r="AN26" s="181">
        <f t="shared" si="7"/>
        <v>4422.9781787777774</v>
      </c>
      <c r="AO26" s="181">
        <f>(INDEX(Tables!$B$91:$B$94,MAX(1,MIN(IFERROR(MATCH(P26,Tables!$A$91:$A$94,1),1),ROWS(Tables!$A$91:$A$94)-1)))+(P26-INDEX(Tables!$A$91:$A$94,MAX(1,MIN(IFERROR(MATCH(P26,Tables!$A$91:$A$94,1),1),ROWS(Tables!$A$91:$A$94)-1))))*(INDEX(Tables!$B$91:$B$94,MAX(1,MIN(IFERROR(MATCH(P26,Tables!$A$91:$A$94,1),1),ROWS(Tables!$A$91:$A$94)-1))+1)-INDEX(Tables!$B$91:$B$94,MAX(1,MIN(IFERROR(MATCH(P26,Tables!$A$91:$A$94,1),1),ROWS(Tables!$A$91:$A$94)-1))))/(INDEX(Tables!$A$91:$A$94,MAX(1,MIN(IFERROR(MATCH(P26,Tables!$A$91:$A$94,1),1),ROWS(Tables!$A$91:$A$94)-1))+1)-INDEX(Tables!$A$91:$A$94,MAX(1,MIN(IFERROR(MATCH(P26,Tables!$A$91:$A$94,1),1),ROWS(Tables!$A$91:$A$94)-1)))))</f>
        <v>1.4152439024390244</v>
      </c>
      <c r="AP26" s="181">
        <f>IF(AD26=5000,(INDEX(Tables!$B$99:$B$118,MAX(1,MIN(IFERROR(MATCH(AF26,Tables!$A$99:$A$118,1),1),ROWS(Tables!$A$99:$A$118)-1)))+(AF26-INDEX(Tables!$A$99:$A$118,MAX(1,MIN(IFERROR(MATCH(AF26,Tables!$A$99:$A$118,1),1),ROWS(Tables!$A$99:$A$118)-1))))*(INDEX(Tables!$B$99:$B$118,MAX(1,MIN(IFERROR(MATCH(AF26,Tables!$A$99:$A$118,1),1),ROWS(Tables!$A$99:$A$118)-1))+1)-INDEX(Tables!$B$99:$B$118,MAX(1,MIN(IFERROR(MATCH(AF26,Tables!$A$99:$A$118,1),1),ROWS(Tables!$A$99:$A$118)-1))))/(INDEX(Tables!$A$99:$A$118,MAX(1,MIN(IFERROR(MATCH(AF26,Tables!$A$99:$A$118,1),1),ROWS(Tables!$A$99:$A$118)-1))+1)-INDEX(Tables!$A$99:$A$118,MAX(1,MIN(IFERROR(MATCH(AF26,Tables!$A$99:$A$118,1),1),ROWS(Tables!$A$99:$A$118)-1))))),IF(AD26=10000,(INDEX(Tables!$D$99:$D$118,MAX(1,MIN(IFERROR(MATCH(AF26,Tables!$C$99:$C$118,1),1),ROWS(Tables!$C$99:$C$118)-1)))+(AF26-INDEX(Tables!$C$99:$C$118,MAX(1,MIN(IFERROR(MATCH(AF26,Tables!$C$99:$C$118,1),1),ROWS(Tables!$C$99:$C$118)-1))))*(INDEX(Tables!$D$99:$D$118,MAX(1,MIN(IFERROR(MATCH(AF26,Tables!$C$99:$C$118,1),1),ROWS(Tables!$C$99:$C$118)-1))+1)-INDEX(Tables!$D$99:$D$118,MAX(1,MIN(IFERROR(MATCH(AF26,Tables!$C$99:$C$118,1),1),ROWS(Tables!$C$99:$C$118)-1))))/(INDEX(Tables!$C$99:$C$118,MAX(1,MIN(IFERROR(MATCH(AF26,Tables!$C$99:$C$118,1),1),ROWS(Tables!$C$99:$C$118)-1))+1)-INDEX(Tables!$C$99:$C$118,MAX(1,MIN(IFERROR(MATCH(AF26,Tables!$C$99:$C$118,1),1),ROWS(Tables!$C$99:$C$118)-1))))),(INDEX(Tables!$F$99:$F$118,MAX(1,MIN(IFERROR(MATCH(AF26,Tables!$E$99:$E$118,1),1),ROWS(Tables!$E$99:$E$118)-1)))+(AF26-INDEX(Tables!$E$99:$E$118,MAX(1,MIN(IFERROR(MATCH(AF26,Tables!$E$99:$E$118,1),1),ROWS(Tables!$E$99:$E$118)-1))))*(INDEX(Tables!$F$99:$F$118,MAX(1,MIN(IFERROR(MATCH(AF26,Tables!$E$99:$E$118,1),1),ROWS(Tables!$E$99:$E$118)-1))+1)-INDEX(Tables!$F$99:$F$118,MAX(1,MIN(IFERROR(MATCH(AF26,Tables!$E$99:$E$118,1),1),ROWS(Tables!$E$99:$E$118)-1))))/(INDEX(Tables!$E$99:$E$118,MAX(1,MIN(IFERROR(MATCH(AF26,Tables!$E$99:$E$118,1),1),ROWS(Tables!$E$99:$E$118)-1))+1)-INDEX(Tables!$E$99:$E$118,MAX(1,MIN(IFERROR(MATCH(AF26,Tables!$E$99:$E$118,1),1),ROWS(Tables!$E$99:$E$118)-1)))))))</f>
        <v>14.196524590163936</v>
      </c>
      <c r="AQ26" s="181">
        <f>IF(P26&lt;6,(INDEX(Tables!$B$123:$B$138,MAX(1,MIN(IFERROR(MATCH(U26,Tables!$A$123:$A$138,1),1),ROWS(Tables!$A$123:$A$138)-1)))+(U26-INDEX(Tables!$A$123:$A$138,MAX(1,MIN(IFERROR(MATCH(U26,Tables!$A$123:$A$138,1),1),ROWS(Tables!$A$123:$A$138)-1))))*(INDEX(Tables!$B$123:$B$138,MAX(1,MIN(IFERROR(MATCH(U26,Tables!$A$123:$A$138,1),1),ROWS(Tables!$A$123:$A$138)-1))+1)-INDEX(Tables!$B$123:$B$138,MAX(1,MIN(IFERROR(MATCH(U26,Tables!$A$123:$A$138,1),1),ROWS(Tables!$A$123:$A$138)-1))))/(INDEX(Tables!$A$123:$A$138,MAX(1,MIN(IFERROR(MATCH(U26,Tables!$A$123:$A$138,1),1),ROWS(Tables!$A$123:$A$138)-1))+1)-INDEX(Tables!$A$123:$A$138,MAX(1,MIN(IFERROR(MATCH(U26,Tables!$A$123:$A$138,1),1),ROWS(Tables!$A$123:$A$138)-1))))),IF(P26&lt;8,(INDEX(Tables!$D$123:$D$138,MAX(1,MIN(IFERROR(MATCH(U26,Tables!$C$123:$C$138,1),1),ROWS(Tables!$C$123:$C$138)-1)))+(U26-INDEX(Tables!$C$123:$C$138,MAX(1,MIN(IFERROR(MATCH(U26,Tables!$C$123:$C$138,1),1),ROWS(Tables!$C$123:$C$138)-1))))*(INDEX(Tables!$D$123:$D$138,MAX(1,MIN(IFERROR(MATCH(U26,Tables!$C$123:$C$138,1),1),ROWS(Tables!$C$123:$C$138)-1))+1)-INDEX(Tables!$D$123:$D$138,MAX(1,MIN(IFERROR(MATCH(U26,Tables!$C$123:$C$138,1),1),ROWS(Tables!$C$123:$C$138)-1))))/(INDEX(Tables!$C$123:$C$138,MAX(1,MIN(IFERROR(MATCH(U26,Tables!$C$123:$C$138,1),1),ROWS(Tables!$C$123:$C$138)-1))+1)-INDEX(Tables!$C$123:$C$138,MAX(1,MIN(IFERROR(MATCH(U26,Tables!$C$123:$C$138,1),1),ROWS(Tables!$C$123:$C$138)-1))))),IF(P26&lt;10,(INDEX(Tables!$F$123:$F$138,MAX(1,MIN(IFERROR(MATCH(U26,Tables!$E$123:$E$138,1),1),ROWS(Tables!$E$123:$E$138)-1)))+(U26-INDEX(Tables!$E$123:$E$138,MAX(1,MIN(IFERROR(MATCH(U26,Tables!$E$123:$E$138,1),1),ROWS(Tables!$E$123:$E$138)-1))))*(INDEX(Tables!$F$123:$F$138,MAX(1,MIN(IFERROR(MATCH(U26,Tables!$E$123:$E$138,1),1),ROWS(Tables!$E$123:$E$138)-1))+1)-INDEX(Tables!$F$123:$F$138,MAX(1,MIN(IFERROR(MATCH(U26,Tables!$E$123:$E$138,1),1),ROWS(Tables!$E$123:$E$138)-1))))/(INDEX(Tables!$E$123:$E$138,MAX(1,MIN(IFERROR(MATCH(U26,Tables!$E$123:$E$138,1),1),ROWS(Tables!$E$123:$E$138)-1))+1)-INDEX(Tables!$E$123:$E$138,MAX(1,MIN(IFERROR(MATCH(U26,Tables!$E$123:$E$138,1),1),ROWS(Tables!$E$123:$E$138)-1))))),(INDEX(Tables!$H$123:$H$138,MAX(1,MIN(IFERROR(MATCH(U26,Tables!$G$123:$G$138,1),1),ROWS(Tables!$G$123:$G$138)-1)))+(U26-INDEX(Tables!$G$123:$G$138,MAX(1,MIN(IFERROR(MATCH(U26,Tables!$G$123:$G$138,1),1),ROWS(Tables!$G$123:$G$138)-1))))*(INDEX(Tables!$H$123:$H$138,MAX(1,MIN(IFERROR(MATCH(U26,Tables!$G$123:$G$138,1),1),ROWS(Tables!$G$123:$G$138)-1))+1)-INDEX(Tables!$H$123:$H$138,MAX(1,MIN(IFERROR(MATCH(U26,Tables!$G$123:$G$138,1),1),ROWS(Tables!$G$123:$G$138)-1))))/(INDEX(Tables!$G$123:$G$138,MAX(1,MIN(IFERROR(MATCH(U26,Tables!$G$123:$G$138,1),1),ROWS(Tables!$G$123:$G$138)-1))+1)-INDEX(Tables!$G$123:$G$138,MAX(1,MIN(IFERROR(MATCH(U26,Tables!$G$123:$G$138,1),1),ROWS(Tables!$G$123:$G$138)-1))))))))</f>
        <v>0.79200000000000004</v>
      </c>
      <c r="AR26" s="181">
        <f>IF(OR(P26&gt;=4,U26&gt;12),VLOOKUP(R26&amp;" "&amp;S26,Tables!$D$143:$F$148,2,FALSE),VLOOKUP(R26&amp;" "&amp;S26,Tables!$A$143:$C$148,2,FALSE))</f>
        <v>1</v>
      </c>
      <c r="AS26" s="181">
        <f>IF(OR(P26&gt;=4,U26&gt;12),VLOOKUP(R26&amp;" "&amp;S26,Tables!$D$143:$F$148,3,FALSE),VLOOKUP(R26&amp;" "&amp;S26,Tables!$A$143:$C$148,3,FALSE))</f>
        <v>0.65</v>
      </c>
      <c r="AT26" s="181">
        <f t="shared" si="8"/>
        <v>861.92727458216723</v>
      </c>
      <c r="AU26" s="181">
        <f>IF(AD26=5000,(INDEX(Tables!$B$244:$B$263,MAX(1,MIN(IFERROR(MATCH(AF26,Tables!$A$244:$A$263,1),1),ROWS(Tables!$A$244:$A$263)-1)))+(AF26-INDEX(Tables!$A$244:$A$263,MAX(1,MIN(IFERROR(MATCH(AF26,Tables!$A$244:$A$263,1),1),ROWS(Tables!$A$244:$A$263)-1))))*(INDEX(Tables!$B$244:$B$263,MAX(1,MIN(IFERROR(MATCH(AF26,Tables!$A$244:$A$263,1),1),ROWS(Tables!$A$244:$A$263)-1))+1)-INDEX(Tables!$B$244:$B$263,MAX(1,MIN(IFERROR(MATCH(AF26,Tables!$A$244:$A$263,1),1),ROWS(Tables!$A$244:$A$263)-1))))/(INDEX(Tables!$A$244:$A$263,MAX(1,MIN(IFERROR(MATCH(AF26,Tables!$A$244:$A$263,1),1),ROWS(Tables!$A$244:$A$263)-1))+1)-INDEX(Tables!$A$244:$A$263,MAX(1,MIN(IFERROR(MATCH(AF26,Tables!$A$244:$A$263,1),1),ROWS(Tables!$A$244:$A$263)-1))))),IF(AD26=10000,(INDEX(Tables!$D$244:$D$263,MAX(1,MIN(IFERROR(MATCH(AF26,Tables!$C$244:$C$263,1),1),ROWS(Tables!$C$244:$C$263)-1)))+(AF26-INDEX(Tables!$C$244:$C$263,MAX(1,MIN(IFERROR(MATCH(AF26,Tables!$C$244:$C$263,1),1),ROWS(Tables!$C$244:$C$263)-1))))*(INDEX(Tables!$D$244:$D$263,MAX(1,MIN(IFERROR(MATCH(AF26,Tables!$C$244:$C$263,1),1),ROWS(Tables!$C$244:$C$263)-1))+1)-INDEX(Tables!$D$244:$D$263,MAX(1,MIN(IFERROR(MATCH(AF26,Tables!$C$244:$C$263,1),1),ROWS(Tables!$C$244:$C$263)-1))))/(INDEX(Tables!$C$244:$C$263,MAX(1,MIN(IFERROR(MATCH(AF26,Tables!$C$244:$C$263,1),1),ROWS(Tables!$C$244:$C$263)-1))+1)-INDEX(Tables!$C$244:$C$263,MAX(1,MIN(IFERROR(MATCH(AF26,Tables!$C$244:$C$263,1),1),ROWS(Tables!$C$244:$C$263)-1))))),(INDEX(Tables!$F$244:$F$263,MAX(1,MIN(IFERROR(MATCH(AF26,Tables!$E$244:$E$263,1),1),ROWS(Tables!$E$244:$E$263)-1)))+(AF26-INDEX(Tables!$E$244:$E$263,MAX(1,MIN(IFERROR(MATCH(AF26,Tables!$E$244:$E$263,1),1),ROWS(Tables!$E$244:$E$263)-1))))*(INDEX(Tables!$F$244:$F$263,MAX(1,MIN(IFERROR(MATCH(AF26,Tables!$E$244:$E$263,1),1),ROWS(Tables!$E$244:$E$263)-1))+1)-INDEX(Tables!$F$244:$F$263,MAX(1,MIN(IFERROR(MATCH(AF26,Tables!$E$244:$E$263,1),1),ROWS(Tables!$E$244:$E$263)-1))))/(INDEX(Tables!$E$244:$E$263,MAX(1,MIN(IFERROR(MATCH(AF26,Tables!$E$244:$E$263,1),1),ROWS(Tables!$E$244:$E$263)-1))+1)-INDEX(Tables!$E$244:$E$263,MAX(1,MIN(IFERROR(MATCH(AF26,Tables!$E$244:$E$263,1),1),ROWS(Tables!$E$244:$E$263)-1)))))))</f>
        <v>9.8737916666666656</v>
      </c>
      <c r="AV26" s="181">
        <f>IF(P26&lt;6,(INDEX(Tables!$B$260:$B$274,MAX(1,MIN(IFERROR(MATCH(U26,Tables!$A$260:$A$274,1),1),ROWS(Tables!$A$260:$A$274)-1)))+(U26-INDEX(Tables!$A$260:$A$274,MAX(1,MIN(IFERROR(MATCH(U26,Tables!$A$260:$A$274,1),1),ROWS(Tables!$A$260:$A$274)-1))))*(INDEX(Tables!$B$260:$B$274,MAX(1,MIN(IFERROR(MATCH(U26,Tables!$A$260:$A$274,1),1),ROWS(Tables!$A$260:$A$274)-1))+1)-INDEX(Tables!$B$260:$B$274,MAX(1,MIN(IFERROR(MATCH(U26,Tables!$A$260:$A$274,1),1),ROWS(Tables!$A$260:$A$274)-1))))/(INDEX(Tables!$A$260:$A$274,MAX(1,MIN(IFERROR(MATCH(U26,Tables!$A$260:$A$274,1),1),ROWS(Tables!$A$260:$A$274)-1))+1)-INDEX(Tables!$A$260:$A$274,MAX(1,MIN(IFERROR(MATCH(U26,Tables!$A$260:$A$274,1),1),ROWS(Tables!$A$260:$A$274)-1))))),IF(P26&lt;8,(INDEX(Tables!$D$260:$D$274,MAX(1,MIN(IFERROR(MATCH(U26,Tables!$C$260:$C$274,1),1),ROWS(Tables!$C$260:$C$274)-1)))+(U26-INDEX(Tables!$C$260:$C$274,MAX(1,MIN(IFERROR(MATCH(U26,Tables!$C$260:$C$274,1),1),ROWS(Tables!$C$260:$C$274)-1))))*(INDEX(Tables!$D$260:$D$274,MAX(1,MIN(IFERROR(MATCH(U26,Tables!$C$260:$C$274,1),1),ROWS(Tables!$C$260:$C$274)-1))+1)-INDEX(Tables!$D$260:$D$274,MAX(1,MIN(IFERROR(MATCH(U26,Tables!$C$260:$C$274,1),1),ROWS(Tables!$C$260:$C$274)-1))))/(INDEX(Tables!$C$260:$C$274,MAX(1,MIN(IFERROR(MATCH(U26,Tables!$C$260:$C$274,1),1),ROWS(Tables!$C$260:$C$274)-1))+1)-INDEX(Tables!$C$260:$C$274,MAX(1,MIN(IFERROR(MATCH(U26,Tables!$C$260:$C$274,1),1),ROWS(Tables!$C$260:$C$274)-1))))),IF(P26&lt;10,(INDEX(Tables!$F$260:$F$274,MAX(1,MIN(IFERROR(MATCH(U26,Tables!$E$260:$E$274,1),1),ROWS(Tables!$E$260:$E$274)-1)))+(U26-INDEX(Tables!$E$260:$E$274,MAX(1,MIN(IFERROR(MATCH(U26,Tables!$E$260:$E$274,1),1),ROWS(Tables!$E$260:$E$274)-1))))*(INDEX(Tables!$F$260:$F$274,MAX(1,MIN(IFERROR(MATCH(U26,Tables!$E$260:$E$274,1),1),ROWS(Tables!$E$260:$E$274)-1))+1)-INDEX(Tables!$F$260:$F$274,MAX(1,MIN(IFERROR(MATCH(U26,Tables!$E$260:$E$274,1),1),ROWS(Tables!$E$260:$E$274)-1))))/(INDEX(Tables!$E$260:$E$274,MAX(1,MIN(IFERROR(MATCH(U26,Tables!$E$260:$E$274,1),1),ROWS(Tables!$E$260:$E$274)-1))+1)-INDEX(Tables!$E$260:$E$274,MAX(1,MIN(IFERROR(MATCH(U26,Tables!$E$260:$E$274,1),1),ROWS(Tables!$E$260:$E$274)-1))))),(INDEX(Tables!$H$260:$H$274,MAX(1,MIN(IFERROR(MATCH(U26,Tables!$G$260:$G$274,1),1),ROWS(Tables!$G$260:$G$274)-1)))+(U26-INDEX(Tables!$G$260:$G$274,MAX(1,MIN(IFERROR(MATCH(U26,Tables!$G$260:$G$274,1),1),ROWS(Tables!$G$260:$G$274)-1))))*(INDEX(Tables!$H$260:$H$274,MAX(1,MIN(IFERROR(MATCH(U26,Tables!$G$260:$G$274,1),1),ROWS(Tables!$G$260:$G$274)-1))+1)-INDEX(Tables!$H$260:$H$274,MAX(1,MIN(IFERROR(MATCH(U26,Tables!$G$260:$G$274,1),1),ROWS(Tables!$G$260:$G$274)-1))))/(INDEX(Tables!$G$260:$G$274,MAX(1,MIN(IFERROR(MATCH(U26,Tables!$G$260:$G$274,1),1),ROWS(Tables!$G$260:$G$274)-1))+1)-INDEX(Tables!$G$260:$G$274,MAX(1,MIN(IFERROR(MATCH(U26,Tables!$G$260:$G$274,1),1),ROWS(Tables!$G$260:$G$274)-1))))))))</f>
        <v>0.84099999999999997</v>
      </c>
      <c r="AW26" s="181">
        <f t="shared" si="9"/>
        <v>636.56588242113389</v>
      </c>
      <c r="AX26" s="181">
        <f t="shared" si="10"/>
        <v>-578.90365671641791</v>
      </c>
      <c r="AY26" s="181">
        <f t="shared" si="11"/>
        <v>4706.0017966435271</v>
      </c>
      <c r="AZ26" s="181">
        <f t="shared" si="12"/>
        <v>1789.7882390395416</v>
      </c>
      <c r="BA26" s="181">
        <f t="shared" si="13"/>
        <v>14.73</v>
      </c>
      <c r="BB26" s="181">
        <f t="shared" si="14"/>
        <v>4102.6311274302034</v>
      </c>
      <c r="BC26" s="181">
        <f t="shared" si="15"/>
        <v>46800</v>
      </c>
      <c r="BD26" s="181">
        <f>VLOOKUP(V26&amp;" "&amp;J26,Tables!$A$152:$E$239,4,FALSE)</f>
        <v>12000</v>
      </c>
      <c r="BE26" s="181">
        <f>VLOOKUP(V26&amp;" "&amp;J26,Tables!$A$152:$E$239,5,FALSE)</f>
        <v>23000</v>
      </c>
      <c r="BF26" s="181">
        <f t="shared" si="16"/>
        <v>8640</v>
      </c>
      <c r="BG26" s="181">
        <f t="shared" si="17"/>
        <v>16560</v>
      </c>
      <c r="BH26" s="181">
        <f t="shared" si="18"/>
        <v>-586.26865671641792</v>
      </c>
      <c r="BI26" s="181">
        <f t="shared" si="19"/>
        <v>46800</v>
      </c>
      <c r="BJ26" s="181">
        <f t="shared" si="20"/>
        <v>4102.6311274302034</v>
      </c>
      <c r="BK26" s="181">
        <f t="shared" si="21"/>
        <v>46800</v>
      </c>
      <c r="BL26" s="181">
        <f t="shared" si="22"/>
        <v>636.56588242113389</v>
      </c>
      <c r="BM26" s="181">
        <f t="shared" si="23"/>
        <v>8640</v>
      </c>
      <c r="BN26" s="181">
        <f t="shared" si="24"/>
        <v>861.92727458216723</v>
      </c>
      <c r="BO26" s="181">
        <f t="shared" si="25"/>
        <v>16560</v>
      </c>
      <c r="BP26" t="str">
        <f t="shared" si="26"/>
        <v>Pass</v>
      </c>
      <c r="BQ26" t="str">
        <f t="shared" si="27"/>
        <v>Pass</v>
      </c>
      <c r="BR26" t="str">
        <f t="shared" si="28"/>
        <v>Pass</v>
      </c>
      <c r="BS26" t="str">
        <f t="shared" si="29"/>
        <v>Pass</v>
      </c>
      <c r="BT26" t="str">
        <f t="shared" si="30"/>
        <v>Pass</v>
      </c>
      <c r="BU26" t="str">
        <f t="shared" si="31"/>
        <v>Effective Stress</v>
      </c>
    </row>
    <row r="27" spans="1:73">
      <c r="A27" t="s">
        <v>619</v>
      </c>
      <c r="B27" s="181">
        <v>25</v>
      </c>
      <c r="C27" t="s">
        <v>594</v>
      </c>
      <c r="D27" s="181">
        <v>24</v>
      </c>
      <c r="E27" s="181">
        <v>0.26300000000000001</v>
      </c>
      <c r="F27" t="s">
        <v>117</v>
      </c>
      <c r="G27" t="s">
        <v>119</v>
      </c>
      <c r="H27" t="s">
        <v>122</v>
      </c>
      <c r="I27" s="181">
        <v>1</v>
      </c>
      <c r="J27" t="s">
        <v>126</v>
      </c>
      <c r="K27" t="s">
        <v>129</v>
      </c>
      <c r="L27" s="181">
        <v>70</v>
      </c>
      <c r="M27" s="181">
        <v>-14.73</v>
      </c>
      <c r="N27" t="s">
        <v>392</v>
      </c>
      <c r="O27" s="181">
        <v>120</v>
      </c>
      <c r="P27" s="181">
        <v>10</v>
      </c>
      <c r="Q27" s="181">
        <v>26</v>
      </c>
      <c r="R27" t="s">
        <v>154</v>
      </c>
      <c r="S27" t="s">
        <v>420</v>
      </c>
      <c r="T27" s="181">
        <v>70</v>
      </c>
      <c r="U27" s="181">
        <f>HLOOKUP(D27,'Highway Loading'!$C$155:$AD$156,2,FALSE)</f>
        <v>24</v>
      </c>
      <c r="V27" s="181">
        <f>IF(ISBLANK(G27),"",INDEX('Highway Loading'!$C$216:$AG$216,1,MATCH(G27,'Highway Loading'!$C$215:$AG$215,0)))</f>
        <v>65000</v>
      </c>
      <c r="W27" s="181">
        <f>INDEX('Highway Loading'!$I$245:$L$253,MATCH(H27,'Highway Loading'!$H$245:$H$253,0),MATCH(I27,'Highway Loading'!$I$244:$L$244,0))</f>
        <v>0.72</v>
      </c>
      <c r="X27" s="181">
        <f t="shared" si="0"/>
        <v>1</v>
      </c>
      <c r="Y27" s="181">
        <f>VLOOKUP(K27,'Highway Loading'!$B$283:$E$292,2,FALSE)</f>
        <v>29000000</v>
      </c>
      <c r="Z27" s="181">
        <f>VLOOKUP(K27,'Highway Loading'!$B$283:$E$292,3,FALSE)</f>
        <v>0.3</v>
      </c>
      <c r="AA27" s="181">
        <f>VLOOKUP(K27,'Highway Loading'!$B$283:$E$292,4,FALSE)</f>
        <v>6.4999999999999996E-6</v>
      </c>
      <c r="AB27" s="181">
        <f t="shared" si="1"/>
        <v>1</v>
      </c>
      <c r="AC27" s="181">
        <f>VLOOKUP(N27,'Highway Loading'!$B$256:$D$261,2,FALSE)</f>
        <v>2000</v>
      </c>
      <c r="AD27" s="181">
        <f>VLOOKUP(N27,'Highway Loading'!$B$256:$D$261,3,FALSE)</f>
        <v>20000</v>
      </c>
      <c r="AE27" s="181">
        <f>VLOOKUP(S27,'Highway Loading'!$B$340:$C$341,2,FALSE)</f>
        <v>12000</v>
      </c>
      <c r="AF27" s="181">
        <f t="shared" si="2"/>
        <v>1.0958333333333334E-2</v>
      </c>
      <c r="AG27" s="181">
        <f t="shared" si="3"/>
        <v>4.615384615384615</v>
      </c>
      <c r="AH27" s="181">
        <f t="shared" si="4"/>
        <v>1.0833333333333333</v>
      </c>
      <c r="AI27" s="181">
        <f t="shared" si="5"/>
        <v>-672.09125475285168</v>
      </c>
      <c r="AJ27" s="181">
        <f t="shared" si="6"/>
        <v>46800</v>
      </c>
      <c r="AK27" s="181">
        <f>IF(AC27=200,(INDEX(Tables!$B$17:$B$38,MAX(1,MIN(IFERROR(MATCH(AF27,Tables!$A$17:$A$38,1),1),ROWS(Tables!$A$17:$A$38)-1)))+(AF27-INDEX(Tables!$A$17:$A$38,MAX(1,MIN(IFERROR(MATCH(AF27,Tables!$A$17:$A$38,1),1),ROWS(Tables!$A$17:$A$38)-1))))*(INDEX(Tables!$B$17:$B$38,MAX(1,MIN(IFERROR(MATCH(AF27,Tables!$A$17:$A$38,1),1),ROWS(Tables!$A$17:$A$38)-1))+1)-INDEX(Tables!$B$17:$B$38,MAX(1,MIN(IFERROR(MATCH(AF27,Tables!$A$17:$A$38,1),1),ROWS(Tables!$A$17:$A$38)-1))))/(INDEX(Tables!$A$17:$A$38,MAX(1,MIN(IFERROR(MATCH(AF27,Tables!$A$17:$A$38,1),1),ROWS(Tables!$A$17:$A$38)-1))+1)-INDEX(Tables!$A$17:$A$38,MAX(1,MIN(IFERROR(MATCH(AF27,Tables!$A$17:$A$38,1),1),ROWS(Tables!$A$17:$A$38)-1))))),IF(AC27=500,(INDEX(Tables!$D$17:$D$38,MAX(1,MIN(IFERROR(MATCH(AF27,Tables!$C$17:$C$38,1),1),ROWS(Tables!$C$17:$C$38)-1)))+(AF27-INDEX(Tables!$C$17:$C$38,MAX(1,MIN(IFERROR(MATCH(AF27,Tables!$C$17:$C$38,1),1),ROWS(Tables!$C$17:$C$38)-1))))*(INDEX(Tables!$D$17:$D$38,MAX(1,MIN(IFERROR(MATCH(AF27,Tables!$C$17:$C$38,1),1),ROWS(Tables!$C$17:$C$38)-1))+1)-INDEX(Tables!$D$17:$D$38,MAX(1,MIN(IFERROR(MATCH(AF27,Tables!$C$17:$C$38,1),1),ROWS(Tables!$C$17:$C$38)-1))))/(INDEX(Tables!$C$17:$C$38,MAX(1,MIN(IFERROR(MATCH(AF27,Tables!$C$17:$C$38,1),1),ROWS(Tables!$C$17:$C$38)-1))+1)-INDEX(Tables!$C$17:$C$38,MAX(1,MIN(IFERROR(MATCH(AF27,Tables!$C$17:$C$38,1),1),ROWS(Tables!$C$17:$C$38)-1))))),IF(AC27=1000,(INDEX(Tables!$F$17:$F$38,MAX(1,MIN(IFERROR(MATCH(AF27,Tables!$E$17:$E$38,1),1),ROWS(Tables!$E$17:$E$38)-1)))+(AF27-INDEX(Tables!$E$17:$E$38,MAX(1,MIN(IFERROR(MATCH(AF27,Tables!$E$17:$E$38,1),1),ROWS(Tables!$E$17:$E$38)-1))))*(INDEX(Tables!$F$17:$F$38,MAX(1,MIN(IFERROR(MATCH(AF27,Tables!$E$17:$E$38,1),1),ROWS(Tables!$E$17:$E$38)-1))+1)-INDEX(Tables!$F$17:$F$38,MAX(1,MIN(IFERROR(MATCH(AF27,Tables!$E$17:$E$38,1),1),ROWS(Tables!$E$17:$E$38)-1))))/(INDEX(Tables!$E$17:$E$38,MAX(1,MIN(IFERROR(MATCH(AF27,Tables!$E$17:$E$38,1),1),ROWS(Tables!$E$17:$E$38)-1))+1)-INDEX(Tables!$E$17:$E$38,MAX(1,MIN(IFERROR(MATCH(AF27,Tables!$E$17:$E$38,1),1),ROWS(Tables!$E$17:$E$38)-1))))),(INDEX(Tables!$H$17:$H$38,MAX(1,MIN(IFERROR(MATCH(AF27,Tables!$G$17:$G$38,1),1),ROWS(Tables!$G$17:$G$38)-1)))+(AF27-INDEX(Tables!$G$17:$G$38,MAX(1,MIN(IFERROR(MATCH(AF27,Tables!$G$17:$G$38,1),1),ROWS(Tables!$G$17:$G$38)-1))))*(INDEX(Tables!$H$17:$H$38,MAX(1,MIN(IFERROR(MATCH(AF27,Tables!$G$17:$G$38,1),1),ROWS(Tables!$G$17:$G$38)-1))+1)-INDEX(Tables!$H$17:$H$38,MAX(1,MIN(IFERROR(MATCH(AF27,Tables!$G$17:$G$38,1),1),ROWS(Tables!$G$17:$G$38)-1))))/(INDEX(Tables!$G$17:$G$38,MAX(1,MIN(IFERROR(MATCH(AF27,Tables!$G$17:$G$38,1),1),ROWS(Tables!$G$17:$G$38)-1))+1)-INDEX(Tables!$G$17:$G$38,MAX(1,MIN(IFERROR(MATCH(AF27,Tables!$G$17:$G$38,1),1),ROWS(Tables!$G$17:$G$38)-1))))))))</f>
        <v>3042.7833333333333</v>
      </c>
      <c r="AL27" s="181">
        <f>IF(AC27&lt;1000,(INDEX(Tables!$B$43:$B$76,MAX(1,MIN(IFERROR(MATCH(AG27,Tables!$A$43:$A$76,1),1),ROWS(Tables!$A$43:$A$76)-1)))+(AG27-INDEX(Tables!$A$43:$A$76,MAX(1,MIN(IFERROR(MATCH(AG27,Tables!$A$43:$A$76,1),1),ROWS(Tables!$A$43:$A$76)-1))))*(INDEX(Tables!$B$43:$B$76,MAX(1,MIN(IFERROR(MATCH(AG27,Tables!$A$43:$A$76,1),1),ROWS(Tables!$A$43:$A$76)-1))+1)-INDEX(Tables!$B$43:$B$76,MAX(1,MIN(IFERROR(MATCH(AG27,Tables!$A$43:$A$76,1),1),ROWS(Tables!$A$43:$A$76)-1))))/(INDEX(Tables!$A$43:$A$76,MAX(1,MIN(IFERROR(MATCH(AG27,Tables!$A$43:$A$76,1),1),ROWS(Tables!$A$43:$A$76)-1))+1)-INDEX(Tables!$A$43:$A$76,MAX(1,MIN(IFERROR(MATCH(AG27,Tables!$A$43:$A$76,1),1),ROWS(Tables!$A$43:$A$76)-1))))),(INDEX(Tables!$D$43:$D$76,MAX(1,MIN(IFERROR(MATCH(AG27,Tables!$C$43:$C$76,1),1),ROWS(Tables!$C$43:$C$76)-1)))+(AG27-INDEX(Tables!$C$43:$C$76,MAX(1,MIN(IFERROR(MATCH(AG27,Tables!$C$43:$C$76,1),1),ROWS(Tables!$C$43:$C$76)-1))))*(INDEX(Tables!$D$43:$D$76,MAX(1,MIN(IFERROR(MATCH(AG27,Tables!$C$43:$C$76,1),1),ROWS(Tables!$C$43:$C$76)-1))+1)-INDEX(Tables!$D$43:$D$76,MAX(1,MIN(IFERROR(MATCH(AG27,Tables!$C$43:$C$76,1),1),ROWS(Tables!$C$43:$C$76)-1))))/(INDEX(Tables!$C$43:$C$76,MAX(1,MIN(IFERROR(MATCH(AG27,Tables!$C$43:$C$76,1),1),ROWS(Tables!$C$43:$C$76)-1))+1)-INDEX(Tables!$C$43:$C$76,MAX(1,MIN(IFERROR(MATCH(AG27,Tables!$C$43:$C$76,1),1),ROWS(Tables!$C$43:$C$76)-1))))))</f>
        <v>0.9366923076923076</v>
      </c>
      <c r="AM27" s="181">
        <f>(INDEX(Tables!$B$80:$B$87,MAX(1,MIN(IFERROR(MATCH(AH27,Tables!$A$80:$A$87,1),1),ROWS(Tables!$A$80:$A$87)-1)))+(AH27-INDEX(Tables!$A$80:$A$87,MAX(1,MIN(IFERROR(MATCH(AH27,Tables!$A$80:$A$87,1),1),ROWS(Tables!$A$80:$A$87)-1))))*(INDEX(Tables!$B$80:$B$87,MAX(1,MIN(IFERROR(MATCH(AH27,Tables!$A$80:$A$87,1),1),ROWS(Tables!$A$80:$A$87)-1))+1)-INDEX(Tables!$B$80:$B$87,MAX(1,MIN(IFERROR(MATCH(AH27,Tables!$A$80:$A$87,1),1),ROWS(Tables!$A$80:$A$87)-1))))/(INDEX(Tables!$A$80:$A$87,MAX(1,MIN(IFERROR(MATCH(AH27,Tables!$A$80:$A$87,1),1),ROWS(Tables!$A$80:$A$87)-1))+1)-INDEX(Tables!$A$80:$A$87,MAX(1,MIN(IFERROR(MATCH(AH27,Tables!$A$80:$A$87,1),1),ROWS(Tables!$A$80:$A$87)-1)))))</f>
        <v>0.96739999999999982</v>
      </c>
      <c r="AN27" s="181">
        <f t="shared" si="7"/>
        <v>4595.394659180768</v>
      </c>
      <c r="AO27" s="181">
        <f>(INDEX(Tables!$B$91:$B$94,MAX(1,MIN(IFERROR(MATCH(P27,Tables!$A$91:$A$94,1),1),ROWS(Tables!$A$91:$A$94)-1)))+(P27-INDEX(Tables!$A$91:$A$94,MAX(1,MIN(IFERROR(MATCH(P27,Tables!$A$91:$A$94,1),1),ROWS(Tables!$A$91:$A$94)-1))))*(INDEX(Tables!$B$91:$B$94,MAX(1,MIN(IFERROR(MATCH(P27,Tables!$A$91:$A$94,1),1),ROWS(Tables!$A$91:$A$94)-1))+1)-INDEX(Tables!$B$91:$B$94,MAX(1,MIN(IFERROR(MATCH(P27,Tables!$A$91:$A$94,1),1),ROWS(Tables!$A$91:$A$94)-1))))/(INDEX(Tables!$A$91:$A$94,MAX(1,MIN(IFERROR(MATCH(P27,Tables!$A$91:$A$94,1),1),ROWS(Tables!$A$91:$A$94)-1))+1)-INDEX(Tables!$A$91:$A$94,MAX(1,MIN(IFERROR(MATCH(P27,Tables!$A$91:$A$94,1),1),ROWS(Tables!$A$91:$A$94)-1)))))</f>
        <v>1.3542682926829268</v>
      </c>
      <c r="AP27" s="181">
        <f>IF(AD27=5000,(INDEX(Tables!$B$99:$B$118,MAX(1,MIN(IFERROR(MATCH(AF27,Tables!$A$99:$A$118,1),1),ROWS(Tables!$A$99:$A$118)-1)))+(AF27-INDEX(Tables!$A$99:$A$118,MAX(1,MIN(IFERROR(MATCH(AF27,Tables!$A$99:$A$118,1),1),ROWS(Tables!$A$99:$A$118)-1))))*(INDEX(Tables!$B$99:$B$118,MAX(1,MIN(IFERROR(MATCH(AF27,Tables!$A$99:$A$118,1),1),ROWS(Tables!$A$99:$A$118)-1))+1)-INDEX(Tables!$B$99:$B$118,MAX(1,MIN(IFERROR(MATCH(AF27,Tables!$A$99:$A$118,1),1),ROWS(Tables!$A$99:$A$118)-1))))/(INDEX(Tables!$A$99:$A$118,MAX(1,MIN(IFERROR(MATCH(AF27,Tables!$A$99:$A$118,1),1),ROWS(Tables!$A$99:$A$118)-1))+1)-INDEX(Tables!$A$99:$A$118,MAX(1,MIN(IFERROR(MATCH(AF27,Tables!$A$99:$A$118,1),1),ROWS(Tables!$A$99:$A$118)-1))))),IF(AD27=10000,(INDEX(Tables!$D$99:$D$118,MAX(1,MIN(IFERROR(MATCH(AF27,Tables!$C$99:$C$118,1),1),ROWS(Tables!$C$99:$C$118)-1)))+(AF27-INDEX(Tables!$C$99:$C$118,MAX(1,MIN(IFERROR(MATCH(AF27,Tables!$C$99:$C$118,1),1),ROWS(Tables!$C$99:$C$118)-1))))*(INDEX(Tables!$D$99:$D$118,MAX(1,MIN(IFERROR(MATCH(AF27,Tables!$C$99:$C$118,1),1),ROWS(Tables!$C$99:$C$118)-1))+1)-INDEX(Tables!$D$99:$D$118,MAX(1,MIN(IFERROR(MATCH(AF27,Tables!$C$99:$C$118,1),1),ROWS(Tables!$C$99:$C$118)-1))))/(INDEX(Tables!$C$99:$C$118,MAX(1,MIN(IFERROR(MATCH(AF27,Tables!$C$99:$C$118,1),1),ROWS(Tables!$C$99:$C$118)-1))+1)-INDEX(Tables!$C$99:$C$118,MAX(1,MIN(IFERROR(MATCH(AF27,Tables!$C$99:$C$118,1),1),ROWS(Tables!$C$99:$C$118)-1))))),(INDEX(Tables!$F$99:$F$118,MAX(1,MIN(IFERROR(MATCH(AF27,Tables!$E$99:$E$118,1),1),ROWS(Tables!$E$99:$E$118)-1)))+(AF27-INDEX(Tables!$E$99:$E$118,MAX(1,MIN(IFERROR(MATCH(AF27,Tables!$E$99:$E$118,1),1),ROWS(Tables!$E$99:$E$118)-1))))*(INDEX(Tables!$F$99:$F$118,MAX(1,MIN(IFERROR(MATCH(AF27,Tables!$E$99:$E$118,1),1),ROWS(Tables!$E$99:$E$118)-1))+1)-INDEX(Tables!$F$99:$F$118,MAX(1,MIN(IFERROR(MATCH(AF27,Tables!$E$99:$E$118,1),1),ROWS(Tables!$E$99:$E$118)-1))))/(INDEX(Tables!$E$99:$E$118,MAX(1,MIN(IFERROR(MATCH(AF27,Tables!$E$99:$E$118,1),1),ROWS(Tables!$E$99:$E$118)-1))+1)-INDEX(Tables!$E$99:$E$118,MAX(1,MIN(IFERROR(MATCH(AF27,Tables!$E$99:$E$118,1),1),ROWS(Tables!$E$99:$E$118)-1)))))))</f>
        <v>7.4227488888888891</v>
      </c>
      <c r="AQ27" s="181">
        <f>IF(P27&lt;6,(INDEX(Tables!$B$123:$B$138,MAX(1,MIN(IFERROR(MATCH(U27,Tables!$A$123:$A$138,1),1),ROWS(Tables!$A$123:$A$138)-1)))+(U27-INDEX(Tables!$A$123:$A$138,MAX(1,MIN(IFERROR(MATCH(U27,Tables!$A$123:$A$138,1),1),ROWS(Tables!$A$123:$A$138)-1))))*(INDEX(Tables!$B$123:$B$138,MAX(1,MIN(IFERROR(MATCH(U27,Tables!$A$123:$A$138,1),1),ROWS(Tables!$A$123:$A$138)-1))+1)-INDEX(Tables!$B$123:$B$138,MAX(1,MIN(IFERROR(MATCH(U27,Tables!$A$123:$A$138,1),1),ROWS(Tables!$A$123:$A$138)-1))))/(INDEX(Tables!$A$123:$A$138,MAX(1,MIN(IFERROR(MATCH(U27,Tables!$A$123:$A$138,1),1),ROWS(Tables!$A$123:$A$138)-1))+1)-INDEX(Tables!$A$123:$A$138,MAX(1,MIN(IFERROR(MATCH(U27,Tables!$A$123:$A$138,1),1),ROWS(Tables!$A$123:$A$138)-1))))),IF(P27&lt;8,(INDEX(Tables!$D$123:$D$138,MAX(1,MIN(IFERROR(MATCH(U27,Tables!$C$123:$C$138,1),1),ROWS(Tables!$C$123:$C$138)-1)))+(U27-INDEX(Tables!$C$123:$C$138,MAX(1,MIN(IFERROR(MATCH(U27,Tables!$C$123:$C$138,1),1),ROWS(Tables!$C$123:$C$138)-1))))*(INDEX(Tables!$D$123:$D$138,MAX(1,MIN(IFERROR(MATCH(U27,Tables!$C$123:$C$138,1),1),ROWS(Tables!$C$123:$C$138)-1))+1)-INDEX(Tables!$D$123:$D$138,MAX(1,MIN(IFERROR(MATCH(U27,Tables!$C$123:$C$138,1),1),ROWS(Tables!$C$123:$C$138)-1))))/(INDEX(Tables!$C$123:$C$138,MAX(1,MIN(IFERROR(MATCH(U27,Tables!$C$123:$C$138,1),1),ROWS(Tables!$C$123:$C$138)-1))+1)-INDEX(Tables!$C$123:$C$138,MAX(1,MIN(IFERROR(MATCH(U27,Tables!$C$123:$C$138,1),1),ROWS(Tables!$C$123:$C$138)-1))))),IF(P27&lt;10,(INDEX(Tables!$F$123:$F$138,MAX(1,MIN(IFERROR(MATCH(U27,Tables!$E$123:$E$138,1),1),ROWS(Tables!$E$123:$E$138)-1)))+(U27-INDEX(Tables!$E$123:$E$138,MAX(1,MIN(IFERROR(MATCH(U27,Tables!$E$123:$E$138,1),1),ROWS(Tables!$E$123:$E$138)-1))))*(INDEX(Tables!$F$123:$F$138,MAX(1,MIN(IFERROR(MATCH(U27,Tables!$E$123:$E$138,1),1),ROWS(Tables!$E$123:$E$138)-1))+1)-INDEX(Tables!$F$123:$F$138,MAX(1,MIN(IFERROR(MATCH(U27,Tables!$E$123:$E$138,1),1),ROWS(Tables!$E$123:$E$138)-1))))/(INDEX(Tables!$E$123:$E$138,MAX(1,MIN(IFERROR(MATCH(U27,Tables!$E$123:$E$138,1),1),ROWS(Tables!$E$123:$E$138)-1))+1)-INDEX(Tables!$E$123:$E$138,MAX(1,MIN(IFERROR(MATCH(U27,Tables!$E$123:$E$138,1),1),ROWS(Tables!$E$123:$E$138)-1))))),(INDEX(Tables!$H$123:$H$138,MAX(1,MIN(IFERROR(MATCH(U27,Tables!$G$123:$G$138,1),1),ROWS(Tables!$G$123:$G$138)-1)))+(U27-INDEX(Tables!$G$123:$G$138,MAX(1,MIN(IFERROR(MATCH(U27,Tables!$G$123:$G$138,1),1),ROWS(Tables!$G$123:$G$138)-1))))*(INDEX(Tables!$H$123:$H$138,MAX(1,MIN(IFERROR(MATCH(U27,Tables!$G$123:$G$138,1),1),ROWS(Tables!$G$123:$G$138)-1))+1)-INDEX(Tables!$H$123:$H$138,MAX(1,MIN(IFERROR(MATCH(U27,Tables!$G$123:$G$138,1),1),ROWS(Tables!$G$123:$G$138)-1))))/(INDEX(Tables!$G$123:$G$138,MAX(1,MIN(IFERROR(MATCH(U27,Tables!$G$123:$G$138,1),1),ROWS(Tables!$G$123:$G$138)-1))+1)-INDEX(Tables!$G$123:$G$138,MAX(1,MIN(IFERROR(MATCH(U27,Tables!$G$123:$G$138,1),1),ROWS(Tables!$G$123:$G$138)-1))))))))</f>
        <v>0.57750000000000001</v>
      </c>
      <c r="AR27" s="181">
        <f>IF(OR(P27&gt;=4,U27&gt;12),VLOOKUP(R27&amp;" "&amp;S27,Tables!$D$143:$F$148,2,FALSE),VLOOKUP(R27&amp;" "&amp;S27,Tables!$A$143:$C$148,2,FALSE))</f>
        <v>1</v>
      </c>
      <c r="AS27" s="181">
        <f>IF(OR(P27&gt;=4,U27&gt;12),VLOOKUP(R27&amp;" "&amp;S27,Tables!$D$143:$F$148,3,FALSE),VLOOKUP(R27&amp;" "&amp;S27,Tables!$A$143:$C$148,3,FALSE))</f>
        <v>0.65</v>
      </c>
      <c r="AT27" s="181">
        <f t="shared" si="8"/>
        <v>314.4514330698255</v>
      </c>
      <c r="AU27" s="181">
        <f>IF(AD27=5000,(INDEX(Tables!$B$244:$B$263,MAX(1,MIN(IFERROR(MATCH(AF27,Tables!$A$244:$A$263,1),1),ROWS(Tables!$A$244:$A$263)-1)))+(AF27-INDEX(Tables!$A$244:$A$263,MAX(1,MIN(IFERROR(MATCH(AF27,Tables!$A$244:$A$263,1),1),ROWS(Tables!$A$244:$A$263)-1))))*(INDEX(Tables!$B$244:$B$263,MAX(1,MIN(IFERROR(MATCH(AF27,Tables!$A$244:$A$263,1),1),ROWS(Tables!$A$244:$A$263)-1))+1)-INDEX(Tables!$B$244:$B$263,MAX(1,MIN(IFERROR(MATCH(AF27,Tables!$A$244:$A$263,1),1),ROWS(Tables!$A$244:$A$263)-1))))/(INDEX(Tables!$A$244:$A$263,MAX(1,MIN(IFERROR(MATCH(AF27,Tables!$A$244:$A$263,1),1),ROWS(Tables!$A$244:$A$263)-1))+1)-INDEX(Tables!$A$244:$A$263,MAX(1,MIN(IFERROR(MATCH(AF27,Tables!$A$244:$A$263,1),1),ROWS(Tables!$A$244:$A$263)-1))))),IF(AD27=10000,(INDEX(Tables!$D$244:$D$263,MAX(1,MIN(IFERROR(MATCH(AF27,Tables!$C$244:$C$263,1),1),ROWS(Tables!$C$244:$C$263)-1)))+(AF27-INDEX(Tables!$C$244:$C$263,MAX(1,MIN(IFERROR(MATCH(AF27,Tables!$C$244:$C$263,1),1),ROWS(Tables!$C$244:$C$263)-1))))*(INDEX(Tables!$D$244:$D$263,MAX(1,MIN(IFERROR(MATCH(AF27,Tables!$C$244:$C$263,1),1),ROWS(Tables!$C$244:$C$263)-1))+1)-INDEX(Tables!$D$244:$D$263,MAX(1,MIN(IFERROR(MATCH(AF27,Tables!$C$244:$C$263,1),1),ROWS(Tables!$C$244:$C$263)-1))))/(INDEX(Tables!$C$244:$C$263,MAX(1,MIN(IFERROR(MATCH(AF27,Tables!$C$244:$C$263,1),1),ROWS(Tables!$C$244:$C$263)-1))+1)-INDEX(Tables!$C$244:$C$263,MAX(1,MIN(IFERROR(MATCH(AF27,Tables!$C$244:$C$263,1),1),ROWS(Tables!$C$244:$C$263)-1))))),(INDEX(Tables!$F$244:$F$263,MAX(1,MIN(IFERROR(MATCH(AF27,Tables!$E$244:$E$263,1),1),ROWS(Tables!$E$244:$E$263)-1)))+(AF27-INDEX(Tables!$E$244:$E$263,MAX(1,MIN(IFERROR(MATCH(AF27,Tables!$E$244:$E$263,1),1),ROWS(Tables!$E$244:$E$263)-1))))*(INDEX(Tables!$F$244:$F$263,MAX(1,MIN(IFERROR(MATCH(AF27,Tables!$E$244:$E$263,1),1),ROWS(Tables!$E$244:$E$263)-1))+1)-INDEX(Tables!$F$244:$F$263,MAX(1,MIN(IFERROR(MATCH(AF27,Tables!$E$244:$E$263,1),1),ROWS(Tables!$E$244:$E$263)-1))))/(INDEX(Tables!$E$244:$E$263,MAX(1,MIN(IFERROR(MATCH(AF27,Tables!$E$244:$E$263,1),1),ROWS(Tables!$E$244:$E$263)-1))+1)-INDEX(Tables!$E$244:$E$263,MAX(1,MIN(IFERROR(MATCH(AF27,Tables!$E$244:$E$263,1),1),ROWS(Tables!$E$244:$E$263)-1)))))))</f>
        <v>6.1483981481481482</v>
      </c>
      <c r="AV27" s="181">
        <f>IF(P27&lt;6,(INDEX(Tables!$B$260:$B$274,MAX(1,MIN(IFERROR(MATCH(U27,Tables!$A$260:$A$274,1),1),ROWS(Tables!$A$260:$A$274)-1)))+(U27-INDEX(Tables!$A$260:$A$274,MAX(1,MIN(IFERROR(MATCH(U27,Tables!$A$260:$A$274,1),1),ROWS(Tables!$A$260:$A$274)-1))))*(INDEX(Tables!$B$260:$B$274,MAX(1,MIN(IFERROR(MATCH(U27,Tables!$A$260:$A$274,1),1),ROWS(Tables!$A$260:$A$274)-1))+1)-INDEX(Tables!$B$260:$B$274,MAX(1,MIN(IFERROR(MATCH(U27,Tables!$A$260:$A$274,1),1),ROWS(Tables!$A$260:$A$274)-1))))/(INDEX(Tables!$A$260:$A$274,MAX(1,MIN(IFERROR(MATCH(U27,Tables!$A$260:$A$274,1),1),ROWS(Tables!$A$260:$A$274)-1))+1)-INDEX(Tables!$A$260:$A$274,MAX(1,MIN(IFERROR(MATCH(U27,Tables!$A$260:$A$274,1),1),ROWS(Tables!$A$260:$A$274)-1))))),IF(P27&lt;8,(INDEX(Tables!$D$260:$D$274,MAX(1,MIN(IFERROR(MATCH(U27,Tables!$C$260:$C$274,1),1),ROWS(Tables!$C$260:$C$274)-1)))+(U27-INDEX(Tables!$C$260:$C$274,MAX(1,MIN(IFERROR(MATCH(U27,Tables!$C$260:$C$274,1),1),ROWS(Tables!$C$260:$C$274)-1))))*(INDEX(Tables!$D$260:$D$274,MAX(1,MIN(IFERROR(MATCH(U27,Tables!$C$260:$C$274,1),1),ROWS(Tables!$C$260:$C$274)-1))+1)-INDEX(Tables!$D$260:$D$274,MAX(1,MIN(IFERROR(MATCH(U27,Tables!$C$260:$C$274,1),1),ROWS(Tables!$C$260:$C$274)-1))))/(INDEX(Tables!$C$260:$C$274,MAX(1,MIN(IFERROR(MATCH(U27,Tables!$C$260:$C$274,1),1),ROWS(Tables!$C$260:$C$274)-1))+1)-INDEX(Tables!$C$260:$C$274,MAX(1,MIN(IFERROR(MATCH(U27,Tables!$C$260:$C$274,1),1),ROWS(Tables!$C$260:$C$274)-1))))),IF(P27&lt;10,(INDEX(Tables!$F$260:$F$274,MAX(1,MIN(IFERROR(MATCH(U27,Tables!$E$260:$E$274,1),1),ROWS(Tables!$E$260:$E$274)-1)))+(U27-INDEX(Tables!$E$260:$E$274,MAX(1,MIN(IFERROR(MATCH(U27,Tables!$E$260:$E$274,1),1),ROWS(Tables!$E$260:$E$274)-1))))*(INDEX(Tables!$F$260:$F$274,MAX(1,MIN(IFERROR(MATCH(U27,Tables!$E$260:$E$274,1),1),ROWS(Tables!$E$260:$E$274)-1))+1)-INDEX(Tables!$F$260:$F$274,MAX(1,MIN(IFERROR(MATCH(U27,Tables!$E$260:$E$274,1),1),ROWS(Tables!$E$260:$E$274)-1))))/(INDEX(Tables!$E$260:$E$274,MAX(1,MIN(IFERROR(MATCH(U27,Tables!$E$260:$E$274,1),1),ROWS(Tables!$E$260:$E$274)-1))+1)-INDEX(Tables!$E$260:$E$274,MAX(1,MIN(IFERROR(MATCH(U27,Tables!$E$260:$E$274,1),1),ROWS(Tables!$E$260:$E$274)-1))))),(INDEX(Tables!$H$260:$H$274,MAX(1,MIN(IFERROR(MATCH(U27,Tables!$G$260:$G$274,1),1),ROWS(Tables!$G$260:$G$274)-1)))+(U27-INDEX(Tables!$G$260:$G$274,MAX(1,MIN(IFERROR(MATCH(U27,Tables!$G$260:$G$274,1),1),ROWS(Tables!$G$260:$G$274)-1))))*(INDEX(Tables!$H$260:$H$274,MAX(1,MIN(IFERROR(MATCH(U27,Tables!$G$260:$G$274,1),1),ROWS(Tables!$G$260:$G$274)-1))+1)-INDEX(Tables!$H$260:$H$274,MAX(1,MIN(IFERROR(MATCH(U27,Tables!$G$260:$G$274,1),1),ROWS(Tables!$G$260:$G$274)-1))))/(INDEX(Tables!$G$260:$G$274,MAX(1,MIN(IFERROR(MATCH(U27,Tables!$G$260:$G$274,1),1),ROWS(Tables!$G$260:$G$274)-1))+1)-INDEX(Tables!$G$260:$G$274,MAX(1,MIN(IFERROR(MATCH(U27,Tables!$G$260:$G$274,1),1),ROWS(Tables!$G$260:$G$274)-1))))))))</f>
        <v>0.64533333333333331</v>
      </c>
      <c r="AW27" s="181">
        <f t="shared" si="9"/>
        <v>291.06025294727988</v>
      </c>
      <c r="AX27" s="181">
        <f t="shared" si="10"/>
        <v>-664.72625475285167</v>
      </c>
      <c r="AY27" s="181">
        <f t="shared" si="11"/>
        <v>4245.1198374977421</v>
      </c>
      <c r="AZ27" s="181">
        <f t="shared" si="12"/>
        <v>1470.2607742756547</v>
      </c>
      <c r="BA27" s="181">
        <f t="shared" si="13"/>
        <v>14.73</v>
      </c>
      <c r="BB27" s="181">
        <f t="shared" si="14"/>
        <v>3722.5401833165902</v>
      </c>
      <c r="BC27" s="181">
        <f t="shared" si="15"/>
        <v>46800</v>
      </c>
      <c r="BD27" s="181">
        <f>VLOOKUP(V27&amp;" "&amp;J27,Tables!$A$152:$E$239,4,FALSE)</f>
        <v>12000</v>
      </c>
      <c r="BE27" s="181">
        <f>VLOOKUP(V27&amp;" "&amp;J27,Tables!$A$152:$E$239,5,FALSE)</f>
        <v>23000</v>
      </c>
      <c r="BF27" s="181">
        <f t="shared" si="16"/>
        <v>8640</v>
      </c>
      <c r="BG27" s="181">
        <f t="shared" si="17"/>
        <v>16560</v>
      </c>
      <c r="BH27" s="181">
        <f t="shared" si="18"/>
        <v>-672.09125475285168</v>
      </c>
      <c r="BI27" s="181">
        <f t="shared" si="19"/>
        <v>46800</v>
      </c>
      <c r="BJ27" s="181">
        <f t="shared" si="20"/>
        <v>3722.5401833165902</v>
      </c>
      <c r="BK27" s="181">
        <f t="shared" si="21"/>
        <v>46800</v>
      </c>
      <c r="BL27" s="181">
        <f t="shared" si="22"/>
        <v>291.06025294727988</v>
      </c>
      <c r="BM27" s="181">
        <f t="shared" si="23"/>
        <v>8640</v>
      </c>
      <c r="BN27" s="181">
        <f t="shared" si="24"/>
        <v>314.4514330698255</v>
      </c>
      <c r="BO27" s="181">
        <f t="shared" si="25"/>
        <v>16560</v>
      </c>
      <c r="BP27" t="str">
        <f t="shared" si="26"/>
        <v>Pass</v>
      </c>
      <c r="BQ27" t="str">
        <f t="shared" si="27"/>
        <v>Pass</v>
      </c>
      <c r="BR27" t="str">
        <f t="shared" si="28"/>
        <v>Pass</v>
      </c>
      <c r="BS27" t="str">
        <f t="shared" si="29"/>
        <v>Pass</v>
      </c>
      <c r="BT27" t="str">
        <f t="shared" si="30"/>
        <v>Pass</v>
      </c>
      <c r="BU27" t="str">
        <f t="shared" si="31"/>
        <v>Effective Stress</v>
      </c>
    </row>
    <row r="28" spans="1:73">
      <c r="A28" t="s">
        <v>620</v>
      </c>
      <c r="B28" s="181">
        <v>26</v>
      </c>
      <c r="C28" t="s">
        <v>594</v>
      </c>
      <c r="D28" s="181">
        <v>36</v>
      </c>
      <c r="E28" s="181">
        <v>0.32500000000000001</v>
      </c>
      <c r="F28" t="s">
        <v>117</v>
      </c>
      <c r="G28" t="s">
        <v>119</v>
      </c>
      <c r="H28" t="s">
        <v>122</v>
      </c>
      <c r="I28" s="181">
        <v>1</v>
      </c>
      <c r="J28" t="s">
        <v>126</v>
      </c>
      <c r="K28" t="s">
        <v>129</v>
      </c>
      <c r="L28" s="181">
        <v>70</v>
      </c>
      <c r="M28" s="181">
        <v>-14.73</v>
      </c>
      <c r="N28" t="s">
        <v>392</v>
      </c>
      <c r="O28" s="181">
        <v>120</v>
      </c>
      <c r="P28" s="181">
        <v>14</v>
      </c>
      <c r="Q28" s="181">
        <v>38</v>
      </c>
      <c r="R28" t="s">
        <v>154</v>
      </c>
      <c r="S28" t="s">
        <v>420</v>
      </c>
      <c r="T28" s="181">
        <v>70</v>
      </c>
      <c r="U28" s="181">
        <f>HLOOKUP(D28,'Highway Loading'!$C$155:$AD$156,2,FALSE)</f>
        <v>36</v>
      </c>
      <c r="V28" s="181">
        <f>IF(ISBLANK(G28),"",INDEX('Highway Loading'!$C$216:$AG$216,1,MATCH(G28,'Highway Loading'!$C$215:$AG$215,0)))</f>
        <v>65000</v>
      </c>
      <c r="W28" s="181">
        <f>INDEX('Highway Loading'!$I$245:$L$253,MATCH(H28,'Highway Loading'!$H$245:$H$253,0),MATCH(I28,'Highway Loading'!$I$244:$L$244,0))</f>
        <v>0.72</v>
      </c>
      <c r="X28" s="181">
        <f t="shared" si="0"/>
        <v>1</v>
      </c>
      <c r="Y28" s="181">
        <f>VLOOKUP(K28,'Highway Loading'!$B$283:$E$292,2,FALSE)</f>
        <v>29000000</v>
      </c>
      <c r="Z28" s="181">
        <f>VLOOKUP(K28,'Highway Loading'!$B$283:$E$292,3,FALSE)</f>
        <v>0.3</v>
      </c>
      <c r="AA28" s="181">
        <f>VLOOKUP(K28,'Highway Loading'!$B$283:$E$292,4,FALSE)</f>
        <v>6.4999999999999996E-6</v>
      </c>
      <c r="AB28" s="181">
        <f t="shared" si="1"/>
        <v>1</v>
      </c>
      <c r="AC28" s="181">
        <f>VLOOKUP(N28,'Highway Loading'!$B$256:$D$261,2,FALSE)</f>
        <v>2000</v>
      </c>
      <c r="AD28" s="181">
        <f>VLOOKUP(N28,'Highway Loading'!$B$256:$D$261,3,FALSE)</f>
        <v>20000</v>
      </c>
      <c r="AE28" s="181">
        <f>VLOOKUP(S28,'Highway Loading'!$B$340:$C$341,2,FALSE)</f>
        <v>12000</v>
      </c>
      <c r="AF28" s="181">
        <f t="shared" si="2"/>
        <v>9.0277777777777787E-3</v>
      </c>
      <c r="AG28" s="181">
        <f t="shared" si="3"/>
        <v>4.4210526315789478</v>
      </c>
      <c r="AH28" s="181">
        <f t="shared" si="4"/>
        <v>1.0555555555555556</v>
      </c>
      <c r="AI28" s="181">
        <f t="shared" si="5"/>
        <v>-815.81538461538457</v>
      </c>
      <c r="AJ28" s="181">
        <f t="shared" si="6"/>
        <v>46800</v>
      </c>
      <c r="AK28" s="181">
        <f>IF(AC28=200,(INDEX(Tables!$B$17:$B$38,MAX(1,MIN(IFERROR(MATCH(AF28,Tables!$A$17:$A$38,1),1),ROWS(Tables!$A$17:$A$38)-1)))+(AF28-INDEX(Tables!$A$17:$A$38,MAX(1,MIN(IFERROR(MATCH(AF28,Tables!$A$17:$A$38,1),1),ROWS(Tables!$A$17:$A$38)-1))))*(INDEX(Tables!$B$17:$B$38,MAX(1,MIN(IFERROR(MATCH(AF28,Tables!$A$17:$A$38,1),1),ROWS(Tables!$A$17:$A$38)-1))+1)-INDEX(Tables!$B$17:$B$38,MAX(1,MIN(IFERROR(MATCH(AF28,Tables!$A$17:$A$38,1),1),ROWS(Tables!$A$17:$A$38)-1))))/(INDEX(Tables!$A$17:$A$38,MAX(1,MIN(IFERROR(MATCH(AF28,Tables!$A$17:$A$38,1),1),ROWS(Tables!$A$17:$A$38)-1))+1)-INDEX(Tables!$A$17:$A$38,MAX(1,MIN(IFERROR(MATCH(AF28,Tables!$A$17:$A$38,1),1),ROWS(Tables!$A$17:$A$38)-1))))),IF(AC28=500,(INDEX(Tables!$D$17:$D$38,MAX(1,MIN(IFERROR(MATCH(AF28,Tables!$C$17:$C$38,1),1),ROWS(Tables!$C$17:$C$38)-1)))+(AF28-INDEX(Tables!$C$17:$C$38,MAX(1,MIN(IFERROR(MATCH(AF28,Tables!$C$17:$C$38,1),1),ROWS(Tables!$C$17:$C$38)-1))))*(INDEX(Tables!$D$17:$D$38,MAX(1,MIN(IFERROR(MATCH(AF28,Tables!$C$17:$C$38,1),1),ROWS(Tables!$C$17:$C$38)-1))+1)-INDEX(Tables!$D$17:$D$38,MAX(1,MIN(IFERROR(MATCH(AF28,Tables!$C$17:$C$38,1),1),ROWS(Tables!$C$17:$C$38)-1))))/(INDEX(Tables!$C$17:$C$38,MAX(1,MIN(IFERROR(MATCH(AF28,Tables!$C$17:$C$38,1),1),ROWS(Tables!$C$17:$C$38)-1))+1)-INDEX(Tables!$C$17:$C$38,MAX(1,MIN(IFERROR(MATCH(AF28,Tables!$C$17:$C$38,1),1),ROWS(Tables!$C$17:$C$38)-1))))),IF(AC28=1000,(INDEX(Tables!$F$17:$F$38,MAX(1,MIN(IFERROR(MATCH(AF28,Tables!$E$17:$E$38,1),1),ROWS(Tables!$E$17:$E$38)-1)))+(AF28-INDEX(Tables!$E$17:$E$38,MAX(1,MIN(IFERROR(MATCH(AF28,Tables!$E$17:$E$38,1),1),ROWS(Tables!$E$17:$E$38)-1))))*(INDEX(Tables!$F$17:$F$38,MAX(1,MIN(IFERROR(MATCH(AF28,Tables!$E$17:$E$38,1),1),ROWS(Tables!$E$17:$E$38)-1))+1)-INDEX(Tables!$F$17:$F$38,MAX(1,MIN(IFERROR(MATCH(AF28,Tables!$E$17:$E$38,1),1),ROWS(Tables!$E$17:$E$38)-1))))/(INDEX(Tables!$E$17:$E$38,MAX(1,MIN(IFERROR(MATCH(AF28,Tables!$E$17:$E$38,1),1),ROWS(Tables!$E$17:$E$38)-1))+1)-INDEX(Tables!$E$17:$E$38,MAX(1,MIN(IFERROR(MATCH(AF28,Tables!$E$17:$E$38,1),1),ROWS(Tables!$E$17:$E$38)-1))))),(INDEX(Tables!$H$17:$H$38,MAX(1,MIN(IFERROR(MATCH(AF28,Tables!$G$17:$G$38,1),1),ROWS(Tables!$G$17:$G$38)-1)))+(AF28-INDEX(Tables!$G$17:$G$38,MAX(1,MIN(IFERROR(MATCH(AF28,Tables!$G$17:$G$38,1),1),ROWS(Tables!$G$17:$G$38)-1))))*(INDEX(Tables!$H$17:$H$38,MAX(1,MIN(IFERROR(MATCH(AF28,Tables!$G$17:$G$38,1),1),ROWS(Tables!$G$17:$G$38)-1))+1)-INDEX(Tables!$H$17:$H$38,MAX(1,MIN(IFERROR(MATCH(AF28,Tables!$G$17:$G$38,1),1),ROWS(Tables!$G$17:$G$38)-1))))/(INDEX(Tables!$G$17:$G$38,MAX(1,MIN(IFERROR(MATCH(AF28,Tables!$G$17:$G$38,1),1),ROWS(Tables!$G$17:$G$38)-1))+1)-INDEX(Tables!$G$17:$G$38,MAX(1,MIN(IFERROR(MATCH(AF28,Tables!$G$17:$G$38,1),1),ROWS(Tables!$G$17:$G$38)-1))))))))</f>
        <v>3539.1111111111109</v>
      </c>
      <c r="AL28" s="181">
        <f>IF(AC28&lt;1000,(INDEX(Tables!$B$43:$B$76,MAX(1,MIN(IFERROR(MATCH(AG28,Tables!$A$43:$A$76,1),1),ROWS(Tables!$A$43:$A$76)-1)))+(AG28-INDEX(Tables!$A$43:$A$76,MAX(1,MIN(IFERROR(MATCH(AG28,Tables!$A$43:$A$76,1),1),ROWS(Tables!$A$43:$A$76)-1))))*(INDEX(Tables!$B$43:$B$76,MAX(1,MIN(IFERROR(MATCH(AG28,Tables!$A$43:$A$76,1),1),ROWS(Tables!$A$43:$A$76)-1))+1)-INDEX(Tables!$B$43:$B$76,MAX(1,MIN(IFERROR(MATCH(AG28,Tables!$A$43:$A$76,1),1),ROWS(Tables!$A$43:$A$76)-1))))/(INDEX(Tables!$A$43:$A$76,MAX(1,MIN(IFERROR(MATCH(AG28,Tables!$A$43:$A$76,1),1),ROWS(Tables!$A$43:$A$76)-1))+1)-INDEX(Tables!$A$43:$A$76,MAX(1,MIN(IFERROR(MATCH(AG28,Tables!$A$43:$A$76,1),1),ROWS(Tables!$A$43:$A$76)-1))))),(INDEX(Tables!$D$43:$D$76,MAX(1,MIN(IFERROR(MATCH(AG28,Tables!$C$43:$C$76,1),1),ROWS(Tables!$C$43:$C$76)-1)))+(AG28-INDEX(Tables!$C$43:$C$76,MAX(1,MIN(IFERROR(MATCH(AG28,Tables!$C$43:$C$76,1),1),ROWS(Tables!$C$43:$C$76)-1))))*(INDEX(Tables!$D$43:$D$76,MAX(1,MIN(IFERROR(MATCH(AG28,Tables!$C$43:$C$76,1),1),ROWS(Tables!$C$43:$C$76)-1))+1)-INDEX(Tables!$D$43:$D$76,MAX(1,MIN(IFERROR(MATCH(AG28,Tables!$C$43:$C$76,1),1),ROWS(Tables!$C$43:$C$76)-1))))/(INDEX(Tables!$C$43:$C$76,MAX(1,MIN(IFERROR(MATCH(AG28,Tables!$C$43:$C$76,1),1),ROWS(Tables!$C$43:$C$76)-1))+1)-INDEX(Tables!$C$43:$C$76,MAX(1,MIN(IFERROR(MATCH(AG28,Tables!$C$43:$C$76,1),1),ROWS(Tables!$C$43:$C$76)-1))))))</f>
        <v>0.92289473684210532</v>
      </c>
      <c r="AM28" s="181">
        <f>(INDEX(Tables!$B$80:$B$87,MAX(1,MIN(IFERROR(MATCH(AH28,Tables!$A$80:$A$87,1),1),ROWS(Tables!$A$80:$A$87)-1)))+(AH28-INDEX(Tables!$A$80:$A$87,MAX(1,MIN(IFERROR(MATCH(AH28,Tables!$A$80:$A$87,1),1),ROWS(Tables!$A$80:$A$87)-1))))*(INDEX(Tables!$B$80:$B$87,MAX(1,MIN(IFERROR(MATCH(AH28,Tables!$A$80:$A$87,1),1),ROWS(Tables!$A$80:$A$87)-1))+1)-INDEX(Tables!$B$80:$B$87,MAX(1,MIN(IFERROR(MATCH(AH28,Tables!$A$80:$A$87,1),1),ROWS(Tables!$A$80:$A$87)-1))))/(INDEX(Tables!$A$80:$A$87,MAX(1,MIN(IFERROR(MATCH(AH28,Tables!$A$80:$A$87,1),1),ROWS(Tables!$A$80:$A$87)-1))+1)-INDEX(Tables!$A$80:$A$87,MAX(1,MIN(IFERROR(MATCH(AH28,Tables!$A$80:$A$87,1),1),ROWS(Tables!$A$80:$A$87)-1)))))</f>
        <v>0.91873333333333329</v>
      </c>
      <c r="AN28" s="181">
        <f t="shared" si="7"/>
        <v>7501.9790881286553</v>
      </c>
      <c r="AO28" s="181">
        <f>(INDEX(Tables!$B$91:$B$94,MAX(1,MIN(IFERROR(MATCH(P28,Tables!$A$91:$A$94,1),1),ROWS(Tables!$A$91:$A$94)-1)))+(P28-INDEX(Tables!$A$91:$A$94,MAX(1,MIN(IFERROR(MATCH(P28,Tables!$A$91:$A$94,1),1),ROWS(Tables!$A$91:$A$94)-1))))*(INDEX(Tables!$B$91:$B$94,MAX(1,MIN(IFERROR(MATCH(P28,Tables!$A$91:$A$94,1),1),ROWS(Tables!$A$91:$A$94)-1))+1)-INDEX(Tables!$B$91:$B$94,MAX(1,MIN(IFERROR(MATCH(P28,Tables!$A$91:$A$94,1),1),ROWS(Tables!$A$91:$A$94)-1))))/(INDEX(Tables!$A$91:$A$94,MAX(1,MIN(IFERROR(MATCH(P28,Tables!$A$91:$A$94,1),1),ROWS(Tables!$A$91:$A$94)-1))+1)-INDEX(Tables!$A$91:$A$94,MAX(1,MIN(IFERROR(MATCH(P28,Tables!$A$91:$A$94,1),1),ROWS(Tables!$A$91:$A$94)-1)))))</f>
        <v>1.2323170731707318</v>
      </c>
      <c r="AP28" s="181">
        <f>IF(AD28=5000,(INDEX(Tables!$B$99:$B$118,MAX(1,MIN(IFERROR(MATCH(AF28,Tables!$A$99:$A$118,1),1),ROWS(Tables!$A$99:$A$118)-1)))+(AF28-INDEX(Tables!$A$99:$A$118,MAX(1,MIN(IFERROR(MATCH(AF28,Tables!$A$99:$A$118,1),1),ROWS(Tables!$A$99:$A$118)-1))))*(INDEX(Tables!$B$99:$B$118,MAX(1,MIN(IFERROR(MATCH(AF28,Tables!$A$99:$A$118,1),1),ROWS(Tables!$A$99:$A$118)-1))+1)-INDEX(Tables!$B$99:$B$118,MAX(1,MIN(IFERROR(MATCH(AF28,Tables!$A$99:$A$118,1),1),ROWS(Tables!$A$99:$A$118)-1))))/(INDEX(Tables!$A$99:$A$118,MAX(1,MIN(IFERROR(MATCH(AF28,Tables!$A$99:$A$118,1),1),ROWS(Tables!$A$99:$A$118)-1))+1)-INDEX(Tables!$A$99:$A$118,MAX(1,MIN(IFERROR(MATCH(AF28,Tables!$A$99:$A$118,1),1),ROWS(Tables!$A$99:$A$118)-1))))),IF(AD28=10000,(INDEX(Tables!$D$99:$D$118,MAX(1,MIN(IFERROR(MATCH(AF28,Tables!$C$99:$C$118,1),1),ROWS(Tables!$C$99:$C$118)-1)))+(AF28-INDEX(Tables!$C$99:$C$118,MAX(1,MIN(IFERROR(MATCH(AF28,Tables!$C$99:$C$118,1),1),ROWS(Tables!$C$99:$C$118)-1))))*(INDEX(Tables!$D$99:$D$118,MAX(1,MIN(IFERROR(MATCH(AF28,Tables!$C$99:$C$118,1),1),ROWS(Tables!$C$99:$C$118)-1))+1)-INDEX(Tables!$D$99:$D$118,MAX(1,MIN(IFERROR(MATCH(AF28,Tables!$C$99:$C$118,1),1),ROWS(Tables!$C$99:$C$118)-1))))/(INDEX(Tables!$C$99:$C$118,MAX(1,MIN(IFERROR(MATCH(AF28,Tables!$C$99:$C$118,1),1),ROWS(Tables!$C$99:$C$118)-1))+1)-INDEX(Tables!$C$99:$C$118,MAX(1,MIN(IFERROR(MATCH(AF28,Tables!$C$99:$C$118,1),1),ROWS(Tables!$C$99:$C$118)-1))))),(INDEX(Tables!$F$99:$F$118,MAX(1,MIN(IFERROR(MATCH(AF28,Tables!$E$99:$E$118,1),1),ROWS(Tables!$E$99:$E$118)-1)))+(AF28-INDEX(Tables!$E$99:$E$118,MAX(1,MIN(IFERROR(MATCH(AF28,Tables!$E$99:$E$118,1),1),ROWS(Tables!$E$99:$E$118)-1))))*(INDEX(Tables!$F$99:$F$118,MAX(1,MIN(IFERROR(MATCH(AF28,Tables!$E$99:$E$118,1),1),ROWS(Tables!$E$99:$E$118)-1))+1)-INDEX(Tables!$F$99:$F$118,MAX(1,MIN(IFERROR(MATCH(AF28,Tables!$E$99:$E$118,1),1),ROWS(Tables!$E$99:$E$118)-1))))/(INDEX(Tables!$E$99:$E$118,MAX(1,MIN(IFERROR(MATCH(AF28,Tables!$E$99:$E$118,1),1),ROWS(Tables!$E$99:$E$118)-1))+1)-INDEX(Tables!$E$99:$E$118,MAX(1,MIN(IFERROR(MATCH(AF28,Tables!$E$99:$E$118,1),1),ROWS(Tables!$E$99:$E$118)-1)))))))</f>
        <v>5.8886692506459957</v>
      </c>
      <c r="AQ28" s="181">
        <f>IF(P28&lt;6,(INDEX(Tables!$B$123:$B$138,MAX(1,MIN(IFERROR(MATCH(U28,Tables!$A$123:$A$138,1),1),ROWS(Tables!$A$123:$A$138)-1)))+(U28-INDEX(Tables!$A$123:$A$138,MAX(1,MIN(IFERROR(MATCH(U28,Tables!$A$123:$A$138,1),1),ROWS(Tables!$A$123:$A$138)-1))))*(INDEX(Tables!$B$123:$B$138,MAX(1,MIN(IFERROR(MATCH(U28,Tables!$A$123:$A$138,1),1),ROWS(Tables!$A$123:$A$138)-1))+1)-INDEX(Tables!$B$123:$B$138,MAX(1,MIN(IFERROR(MATCH(U28,Tables!$A$123:$A$138,1),1),ROWS(Tables!$A$123:$A$138)-1))))/(INDEX(Tables!$A$123:$A$138,MAX(1,MIN(IFERROR(MATCH(U28,Tables!$A$123:$A$138,1),1),ROWS(Tables!$A$123:$A$138)-1))+1)-INDEX(Tables!$A$123:$A$138,MAX(1,MIN(IFERROR(MATCH(U28,Tables!$A$123:$A$138,1),1),ROWS(Tables!$A$123:$A$138)-1))))),IF(P28&lt;8,(INDEX(Tables!$D$123:$D$138,MAX(1,MIN(IFERROR(MATCH(U28,Tables!$C$123:$C$138,1),1),ROWS(Tables!$C$123:$C$138)-1)))+(U28-INDEX(Tables!$C$123:$C$138,MAX(1,MIN(IFERROR(MATCH(U28,Tables!$C$123:$C$138,1),1),ROWS(Tables!$C$123:$C$138)-1))))*(INDEX(Tables!$D$123:$D$138,MAX(1,MIN(IFERROR(MATCH(U28,Tables!$C$123:$C$138,1),1),ROWS(Tables!$C$123:$C$138)-1))+1)-INDEX(Tables!$D$123:$D$138,MAX(1,MIN(IFERROR(MATCH(U28,Tables!$C$123:$C$138,1),1),ROWS(Tables!$C$123:$C$138)-1))))/(INDEX(Tables!$C$123:$C$138,MAX(1,MIN(IFERROR(MATCH(U28,Tables!$C$123:$C$138,1),1),ROWS(Tables!$C$123:$C$138)-1))+1)-INDEX(Tables!$C$123:$C$138,MAX(1,MIN(IFERROR(MATCH(U28,Tables!$C$123:$C$138,1),1),ROWS(Tables!$C$123:$C$138)-1))))),IF(P28&lt;10,(INDEX(Tables!$F$123:$F$138,MAX(1,MIN(IFERROR(MATCH(U28,Tables!$E$123:$E$138,1),1),ROWS(Tables!$E$123:$E$138)-1)))+(U28-INDEX(Tables!$E$123:$E$138,MAX(1,MIN(IFERROR(MATCH(U28,Tables!$E$123:$E$138,1),1),ROWS(Tables!$E$123:$E$138)-1))))*(INDEX(Tables!$F$123:$F$138,MAX(1,MIN(IFERROR(MATCH(U28,Tables!$E$123:$E$138,1),1),ROWS(Tables!$E$123:$E$138)-1))+1)-INDEX(Tables!$F$123:$F$138,MAX(1,MIN(IFERROR(MATCH(U28,Tables!$E$123:$E$138,1),1),ROWS(Tables!$E$123:$E$138)-1))))/(INDEX(Tables!$E$123:$E$138,MAX(1,MIN(IFERROR(MATCH(U28,Tables!$E$123:$E$138,1),1),ROWS(Tables!$E$123:$E$138)-1))+1)-INDEX(Tables!$E$123:$E$138,MAX(1,MIN(IFERROR(MATCH(U28,Tables!$E$123:$E$138,1),1),ROWS(Tables!$E$123:$E$138)-1))))),(INDEX(Tables!$H$123:$H$138,MAX(1,MIN(IFERROR(MATCH(U28,Tables!$G$123:$G$138,1),1),ROWS(Tables!$G$123:$G$138)-1)))+(U28-INDEX(Tables!$G$123:$G$138,MAX(1,MIN(IFERROR(MATCH(U28,Tables!$G$123:$G$138,1),1),ROWS(Tables!$G$123:$G$138)-1))))*(INDEX(Tables!$H$123:$H$138,MAX(1,MIN(IFERROR(MATCH(U28,Tables!$G$123:$G$138,1),1),ROWS(Tables!$G$123:$G$138)-1))+1)-INDEX(Tables!$H$123:$H$138,MAX(1,MIN(IFERROR(MATCH(U28,Tables!$G$123:$G$138,1),1),ROWS(Tables!$G$123:$G$138)-1))))/(INDEX(Tables!$G$123:$G$138,MAX(1,MIN(IFERROR(MATCH(U28,Tables!$G$123:$G$138,1),1),ROWS(Tables!$G$123:$G$138)-1))+1)-INDEX(Tables!$G$123:$G$138,MAX(1,MIN(IFERROR(MATCH(U28,Tables!$G$123:$G$138,1),1),ROWS(Tables!$G$123:$G$138)-1))))))))</f>
        <v>0.50060000000000004</v>
      </c>
      <c r="AR28" s="181">
        <f>IF(OR(P28&gt;=4,U28&gt;12),VLOOKUP(R28&amp;" "&amp;S28,Tables!$D$143:$F$148,2,FALSE),VLOOKUP(R28&amp;" "&amp;S28,Tables!$A$143:$C$148,2,FALSE))</f>
        <v>1</v>
      </c>
      <c r="AS28" s="181">
        <f>IF(OR(P28&gt;=4,U28&gt;12),VLOOKUP(R28&amp;" "&amp;S28,Tables!$D$143:$F$148,3,FALSE),VLOOKUP(R28&amp;" "&amp;S28,Tables!$A$143:$C$148,3,FALSE))</f>
        <v>0.65</v>
      </c>
      <c r="AT28" s="181">
        <f t="shared" si="8"/>
        <v>196.77167534411703</v>
      </c>
      <c r="AU28" s="181">
        <f>IF(AD28=5000,(INDEX(Tables!$B$244:$B$263,MAX(1,MIN(IFERROR(MATCH(AF28,Tables!$A$244:$A$263,1),1),ROWS(Tables!$A$244:$A$263)-1)))+(AF28-INDEX(Tables!$A$244:$A$263,MAX(1,MIN(IFERROR(MATCH(AF28,Tables!$A$244:$A$263,1),1),ROWS(Tables!$A$244:$A$263)-1))))*(INDEX(Tables!$B$244:$B$263,MAX(1,MIN(IFERROR(MATCH(AF28,Tables!$A$244:$A$263,1),1),ROWS(Tables!$A$244:$A$263)-1))+1)-INDEX(Tables!$B$244:$B$263,MAX(1,MIN(IFERROR(MATCH(AF28,Tables!$A$244:$A$263,1),1),ROWS(Tables!$A$244:$A$263)-1))))/(INDEX(Tables!$A$244:$A$263,MAX(1,MIN(IFERROR(MATCH(AF28,Tables!$A$244:$A$263,1),1),ROWS(Tables!$A$244:$A$263)-1))+1)-INDEX(Tables!$A$244:$A$263,MAX(1,MIN(IFERROR(MATCH(AF28,Tables!$A$244:$A$263,1),1),ROWS(Tables!$A$244:$A$263)-1))))),IF(AD28=10000,(INDEX(Tables!$D$244:$D$263,MAX(1,MIN(IFERROR(MATCH(AF28,Tables!$C$244:$C$263,1),1),ROWS(Tables!$C$244:$C$263)-1)))+(AF28-INDEX(Tables!$C$244:$C$263,MAX(1,MIN(IFERROR(MATCH(AF28,Tables!$C$244:$C$263,1),1),ROWS(Tables!$C$244:$C$263)-1))))*(INDEX(Tables!$D$244:$D$263,MAX(1,MIN(IFERROR(MATCH(AF28,Tables!$C$244:$C$263,1),1),ROWS(Tables!$C$244:$C$263)-1))+1)-INDEX(Tables!$D$244:$D$263,MAX(1,MIN(IFERROR(MATCH(AF28,Tables!$C$244:$C$263,1),1),ROWS(Tables!$C$244:$C$263)-1))))/(INDEX(Tables!$C$244:$C$263,MAX(1,MIN(IFERROR(MATCH(AF28,Tables!$C$244:$C$263,1),1),ROWS(Tables!$C$244:$C$263)-1))+1)-INDEX(Tables!$C$244:$C$263,MAX(1,MIN(IFERROR(MATCH(AF28,Tables!$C$244:$C$263,1),1),ROWS(Tables!$C$244:$C$263)-1))))),(INDEX(Tables!$F$244:$F$263,MAX(1,MIN(IFERROR(MATCH(AF28,Tables!$E$244:$E$263,1),1),ROWS(Tables!$E$244:$E$263)-1)))+(AF28-INDEX(Tables!$E$244:$E$263,MAX(1,MIN(IFERROR(MATCH(AF28,Tables!$E$244:$E$263,1),1),ROWS(Tables!$E$244:$E$263)-1))))*(INDEX(Tables!$F$244:$F$263,MAX(1,MIN(IFERROR(MATCH(AF28,Tables!$E$244:$E$263,1),1),ROWS(Tables!$E$244:$E$263)-1))+1)-INDEX(Tables!$F$244:$F$263,MAX(1,MIN(IFERROR(MATCH(AF28,Tables!$E$244:$E$263,1),1),ROWS(Tables!$E$244:$E$263)-1))))/(INDEX(Tables!$E$244:$E$263,MAX(1,MIN(IFERROR(MATCH(AF28,Tables!$E$244:$E$263,1),1),ROWS(Tables!$E$244:$E$263)-1))+1)-INDEX(Tables!$E$244:$E$263,MAX(1,MIN(IFERROR(MATCH(AF28,Tables!$E$244:$E$263,1),1),ROWS(Tables!$E$244:$E$263)-1)))))))</f>
        <v>6.0990000000000002</v>
      </c>
      <c r="AV28" s="181">
        <f>IF(P28&lt;6,(INDEX(Tables!$B$260:$B$274,MAX(1,MIN(IFERROR(MATCH(U28,Tables!$A$260:$A$274,1),1),ROWS(Tables!$A$260:$A$274)-1)))+(U28-INDEX(Tables!$A$260:$A$274,MAX(1,MIN(IFERROR(MATCH(U28,Tables!$A$260:$A$274,1),1),ROWS(Tables!$A$260:$A$274)-1))))*(INDEX(Tables!$B$260:$B$274,MAX(1,MIN(IFERROR(MATCH(U28,Tables!$A$260:$A$274,1),1),ROWS(Tables!$A$260:$A$274)-1))+1)-INDEX(Tables!$B$260:$B$274,MAX(1,MIN(IFERROR(MATCH(U28,Tables!$A$260:$A$274,1),1),ROWS(Tables!$A$260:$A$274)-1))))/(INDEX(Tables!$A$260:$A$274,MAX(1,MIN(IFERROR(MATCH(U28,Tables!$A$260:$A$274,1),1),ROWS(Tables!$A$260:$A$274)-1))+1)-INDEX(Tables!$A$260:$A$274,MAX(1,MIN(IFERROR(MATCH(U28,Tables!$A$260:$A$274,1),1),ROWS(Tables!$A$260:$A$274)-1))))),IF(P28&lt;8,(INDEX(Tables!$D$260:$D$274,MAX(1,MIN(IFERROR(MATCH(U28,Tables!$C$260:$C$274,1),1),ROWS(Tables!$C$260:$C$274)-1)))+(U28-INDEX(Tables!$C$260:$C$274,MAX(1,MIN(IFERROR(MATCH(U28,Tables!$C$260:$C$274,1),1),ROWS(Tables!$C$260:$C$274)-1))))*(INDEX(Tables!$D$260:$D$274,MAX(1,MIN(IFERROR(MATCH(U28,Tables!$C$260:$C$274,1),1),ROWS(Tables!$C$260:$C$274)-1))+1)-INDEX(Tables!$D$260:$D$274,MAX(1,MIN(IFERROR(MATCH(U28,Tables!$C$260:$C$274,1),1),ROWS(Tables!$C$260:$C$274)-1))))/(INDEX(Tables!$C$260:$C$274,MAX(1,MIN(IFERROR(MATCH(U28,Tables!$C$260:$C$274,1),1),ROWS(Tables!$C$260:$C$274)-1))+1)-INDEX(Tables!$C$260:$C$274,MAX(1,MIN(IFERROR(MATCH(U28,Tables!$C$260:$C$274,1),1),ROWS(Tables!$C$260:$C$274)-1))))),IF(P28&lt;10,(INDEX(Tables!$F$260:$F$274,MAX(1,MIN(IFERROR(MATCH(U28,Tables!$E$260:$E$274,1),1),ROWS(Tables!$E$260:$E$274)-1)))+(U28-INDEX(Tables!$E$260:$E$274,MAX(1,MIN(IFERROR(MATCH(U28,Tables!$E$260:$E$274,1),1),ROWS(Tables!$E$260:$E$274)-1))))*(INDEX(Tables!$F$260:$F$274,MAX(1,MIN(IFERROR(MATCH(U28,Tables!$E$260:$E$274,1),1),ROWS(Tables!$E$260:$E$274)-1))+1)-INDEX(Tables!$F$260:$F$274,MAX(1,MIN(IFERROR(MATCH(U28,Tables!$E$260:$E$274,1),1),ROWS(Tables!$E$260:$E$274)-1))))/(INDEX(Tables!$E$260:$E$274,MAX(1,MIN(IFERROR(MATCH(U28,Tables!$E$260:$E$274,1),1),ROWS(Tables!$E$260:$E$274)-1))+1)-INDEX(Tables!$E$260:$E$274,MAX(1,MIN(IFERROR(MATCH(U28,Tables!$E$260:$E$274,1),1),ROWS(Tables!$E$260:$E$274)-1))))),(INDEX(Tables!$H$260:$H$274,MAX(1,MIN(IFERROR(MATCH(U28,Tables!$G$260:$G$274,1),1),ROWS(Tables!$G$260:$G$274)-1)))+(U28-INDEX(Tables!$G$260:$G$274,MAX(1,MIN(IFERROR(MATCH(U28,Tables!$G$260:$G$274,1),1),ROWS(Tables!$G$260:$G$274)-1))))*(INDEX(Tables!$H$260:$H$274,MAX(1,MIN(IFERROR(MATCH(U28,Tables!$G$260:$G$274,1),1),ROWS(Tables!$G$260:$G$274)-1))+1)-INDEX(Tables!$H$260:$H$274,MAX(1,MIN(IFERROR(MATCH(U28,Tables!$G$260:$G$274,1),1),ROWS(Tables!$G$260:$G$274)-1))))/(INDEX(Tables!$G$260:$G$274,MAX(1,MIN(IFERROR(MATCH(U28,Tables!$G$260:$G$274,1),1),ROWS(Tables!$G$260:$G$274)-1))+1)-INDEX(Tables!$G$260:$G$274,MAX(1,MIN(IFERROR(MATCH(U28,Tables!$G$260:$G$274,1),1),ROWS(Tables!$G$260:$G$274)-1))))))))</f>
        <v>0.51828571428571424</v>
      </c>
      <c r="AW28" s="181">
        <f t="shared" si="9"/>
        <v>210.99999635452963</v>
      </c>
      <c r="AX28" s="181">
        <f t="shared" si="10"/>
        <v>-808.45038461538456</v>
      </c>
      <c r="AY28" s="181">
        <f t="shared" si="11"/>
        <v>6890.3003788573878</v>
      </c>
      <c r="AZ28" s="181">
        <f t="shared" si="12"/>
        <v>2219.0586074085109</v>
      </c>
      <c r="BA28" s="181">
        <f t="shared" si="13"/>
        <v>14.73</v>
      </c>
      <c r="BB28" s="181">
        <f t="shared" si="14"/>
        <v>6080.8318646131602</v>
      </c>
      <c r="BC28" s="181">
        <f t="shared" si="15"/>
        <v>46800</v>
      </c>
      <c r="BD28" s="181">
        <f>VLOOKUP(V28&amp;" "&amp;J28,Tables!$A$152:$E$239,4,FALSE)</f>
        <v>12000</v>
      </c>
      <c r="BE28" s="181">
        <f>VLOOKUP(V28&amp;" "&amp;J28,Tables!$A$152:$E$239,5,FALSE)</f>
        <v>23000</v>
      </c>
      <c r="BF28" s="181">
        <f t="shared" si="16"/>
        <v>8640</v>
      </c>
      <c r="BG28" s="181">
        <f t="shared" si="17"/>
        <v>16560</v>
      </c>
      <c r="BH28" s="181">
        <f t="shared" si="18"/>
        <v>-815.81538461538457</v>
      </c>
      <c r="BI28" s="181">
        <f t="shared" si="19"/>
        <v>46800</v>
      </c>
      <c r="BJ28" s="181">
        <f t="shared" si="20"/>
        <v>6080.8318646131602</v>
      </c>
      <c r="BK28" s="181">
        <f t="shared" si="21"/>
        <v>46800</v>
      </c>
      <c r="BL28" s="181">
        <f t="shared" si="22"/>
        <v>210.99999635452963</v>
      </c>
      <c r="BM28" s="181">
        <f t="shared" si="23"/>
        <v>8640</v>
      </c>
      <c r="BN28" s="181">
        <f t="shared" si="24"/>
        <v>196.77167534411703</v>
      </c>
      <c r="BO28" s="181">
        <f t="shared" si="25"/>
        <v>16560</v>
      </c>
      <c r="BP28" t="str">
        <f t="shared" si="26"/>
        <v>Pass</v>
      </c>
      <c r="BQ28" t="str">
        <f t="shared" si="27"/>
        <v>Pass</v>
      </c>
      <c r="BR28" t="str">
        <f t="shared" si="28"/>
        <v>Pass</v>
      </c>
      <c r="BS28" t="str">
        <f t="shared" si="29"/>
        <v>Pass</v>
      </c>
      <c r="BT28" t="str">
        <f t="shared" si="30"/>
        <v>Pass</v>
      </c>
      <c r="BU28" t="str">
        <f t="shared" si="31"/>
        <v>Effective Stress</v>
      </c>
    </row>
    <row r="29" spans="1:73">
      <c r="A29" t="s">
        <v>621</v>
      </c>
      <c r="B29" s="181">
        <v>27</v>
      </c>
      <c r="C29" t="s">
        <v>594</v>
      </c>
      <c r="D29" s="181">
        <v>48</v>
      </c>
      <c r="E29" s="181">
        <v>0.38800000000000001</v>
      </c>
      <c r="F29" t="s">
        <v>117</v>
      </c>
      <c r="G29" t="s">
        <v>119</v>
      </c>
      <c r="H29" t="s">
        <v>122</v>
      </c>
      <c r="I29" s="181">
        <v>1</v>
      </c>
      <c r="J29" t="s">
        <v>126</v>
      </c>
      <c r="K29" t="s">
        <v>129</v>
      </c>
      <c r="L29" s="181">
        <v>70</v>
      </c>
      <c r="M29" s="181">
        <v>0</v>
      </c>
      <c r="N29" t="s">
        <v>392</v>
      </c>
      <c r="O29" s="181">
        <v>120</v>
      </c>
      <c r="P29" s="181">
        <v>30</v>
      </c>
      <c r="Q29" s="181">
        <v>50</v>
      </c>
      <c r="R29" t="s">
        <v>154</v>
      </c>
      <c r="S29" t="s">
        <v>420</v>
      </c>
      <c r="T29" s="181">
        <v>70</v>
      </c>
      <c r="U29" s="181">
        <f>HLOOKUP(D29,'Highway Loading'!$C$155:$AD$156,2,FALSE)</f>
        <v>48</v>
      </c>
      <c r="V29" s="181">
        <f>IF(ISBLANK(G29),"",INDEX('Highway Loading'!$C$216:$AG$216,1,MATCH(G29,'Highway Loading'!$C$215:$AG$215,0)))</f>
        <v>65000</v>
      </c>
      <c r="W29" s="181">
        <f>INDEX('Highway Loading'!$I$245:$L$253,MATCH(H29,'Highway Loading'!$H$245:$H$253,0),MATCH(I29,'Highway Loading'!$I$244:$L$244,0))</f>
        <v>0.72</v>
      </c>
      <c r="X29" s="181">
        <f t="shared" si="0"/>
        <v>1</v>
      </c>
      <c r="Y29" s="181">
        <f>VLOOKUP(K29,'Highway Loading'!$B$283:$E$292,2,FALSE)</f>
        <v>29000000</v>
      </c>
      <c r="Z29" s="181">
        <f>VLOOKUP(K29,'Highway Loading'!$B$283:$E$292,3,FALSE)</f>
        <v>0.3</v>
      </c>
      <c r="AA29" s="181">
        <f>VLOOKUP(K29,'Highway Loading'!$B$283:$E$292,4,FALSE)</f>
        <v>6.4999999999999996E-6</v>
      </c>
      <c r="AB29" s="181">
        <f t="shared" si="1"/>
        <v>1</v>
      </c>
      <c r="AC29" s="181">
        <f>VLOOKUP(N29,'Highway Loading'!$B$256:$D$261,2,FALSE)</f>
        <v>2000</v>
      </c>
      <c r="AD29" s="181">
        <f>VLOOKUP(N29,'Highway Loading'!$B$256:$D$261,3,FALSE)</f>
        <v>20000</v>
      </c>
      <c r="AE29" s="181">
        <f>VLOOKUP(S29,'Highway Loading'!$B$340:$C$341,2,FALSE)</f>
        <v>12000</v>
      </c>
      <c r="AF29" s="181">
        <f t="shared" si="2"/>
        <v>8.083333333333333E-3</v>
      </c>
      <c r="AG29" s="181">
        <f t="shared" si="3"/>
        <v>7.2</v>
      </c>
      <c r="AH29" s="181">
        <f t="shared" si="4"/>
        <v>1.0416666666666667</v>
      </c>
      <c r="AI29" s="181">
        <f t="shared" si="5"/>
        <v>0</v>
      </c>
      <c r="AJ29" s="181">
        <f t="shared" si="6"/>
        <v>46800</v>
      </c>
      <c r="AK29" s="181">
        <f>IF(AC29=200,(INDEX(Tables!$B$17:$B$38,MAX(1,MIN(IFERROR(MATCH(AF29,Tables!$A$17:$A$38,1),1),ROWS(Tables!$A$17:$A$38)-1)))+(AF29-INDEX(Tables!$A$17:$A$38,MAX(1,MIN(IFERROR(MATCH(AF29,Tables!$A$17:$A$38,1),1),ROWS(Tables!$A$17:$A$38)-1))))*(INDEX(Tables!$B$17:$B$38,MAX(1,MIN(IFERROR(MATCH(AF29,Tables!$A$17:$A$38,1),1),ROWS(Tables!$A$17:$A$38)-1))+1)-INDEX(Tables!$B$17:$B$38,MAX(1,MIN(IFERROR(MATCH(AF29,Tables!$A$17:$A$38,1),1),ROWS(Tables!$A$17:$A$38)-1))))/(INDEX(Tables!$A$17:$A$38,MAX(1,MIN(IFERROR(MATCH(AF29,Tables!$A$17:$A$38,1),1),ROWS(Tables!$A$17:$A$38)-1))+1)-INDEX(Tables!$A$17:$A$38,MAX(1,MIN(IFERROR(MATCH(AF29,Tables!$A$17:$A$38,1),1),ROWS(Tables!$A$17:$A$38)-1))))),IF(AC29=500,(INDEX(Tables!$D$17:$D$38,MAX(1,MIN(IFERROR(MATCH(AF29,Tables!$C$17:$C$38,1),1),ROWS(Tables!$C$17:$C$38)-1)))+(AF29-INDEX(Tables!$C$17:$C$38,MAX(1,MIN(IFERROR(MATCH(AF29,Tables!$C$17:$C$38,1),1),ROWS(Tables!$C$17:$C$38)-1))))*(INDEX(Tables!$D$17:$D$38,MAX(1,MIN(IFERROR(MATCH(AF29,Tables!$C$17:$C$38,1),1),ROWS(Tables!$C$17:$C$38)-1))+1)-INDEX(Tables!$D$17:$D$38,MAX(1,MIN(IFERROR(MATCH(AF29,Tables!$C$17:$C$38,1),1),ROWS(Tables!$C$17:$C$38)-1))))/(INDEX(Tables!$C$17:$C$38,MAX(1,MIN(IFERROR(MATCH(AF29,Tables!$C$17:$C$38,1),1),ROWS(Tables!$C$17:$C$38)-1))+1)-INDEX(Tables!$C$17:$C$38,MAX(1,MIN(IFERROR(MATCH(AF29,Tables!$C$17:$C$38,1),1),ROWS(Tables!$C$17:$C$38)-1))))),IF(AC29=1000,(INDEX(Tables!$F$17:$F$38,MAX(1,MIN(IFERROR(MATCH(AF29,Tables!$E$17:$E$38,1),1),ROWS(Tables!$E$17:$E$38)-1)))+(AF29-INDEX(Tables!$E$17:$E$38,MAX(1,MIN(IFERROR(MATCH(AF29,Tables!$E$17:$E$38,1),1),ROWS(Tables!$E$17:$E$38)-1))))*(INDEX(Tables!$F$17:$F$38,MAX(1,MIN(IFERROR(MATCH(AF29,Tables!$E$17:$E$38,1),1),ROWS(Tables!$E$17:$E$38)-1))+1)-INDEX(Tables!$F$17:$F$38,MAX(1,MIN(IFERROR(MATCH(AF29,Tables!$E$17:$E$38,1),1),ROWS(Tables!$E$17:$E$38)-1))))/(INDEX(Tables!$E$17:$E$38,MAX(1,MIN(IFERROR(MATCH(AF29,Tables!$E$17:$E$38,1),1),ROWS(Tables!$E$17:$E$38)-1))+1)-INDEX(Tables!$E$17:$E$38,MAX(1,MIN(IFERROR(MATCH(AF29,Tables!$E$17:$E$38,1),1),ROWS(Tables!$E$17:$E$38)-1))))),(INDEX(Tables!$H$17:$H$38,MAX(1,MIN(IFERROR(MATCH(AF29,Tables!$G$17:$G$38,1),1),ROWS(Tables!$G$17:$G$38)-1)))+(AF29-INDEX(Tables!$G$17:$G$38,MAX(1,MIN(IFERROR(MATCH(AF29,Tables!$G$17:$G$38,1),1),ROWS(Tables!$G$17:$G$38)-1))))*(INDEX(Tables!$H$17:$H$38,MAX(1,MIN(IFERROR(MATCH(AF29,Tables!$G$17:$G$38,1),1),ROWS(Tables!$G$17:$G$38)-1))+1)-INDEX(Tables!$H$17:$H$38,MAX(1,MIN(IFERROR(MATCH(AF29,Tables!$G$17:$G$38,1),1),ROWS(Tables!$G$17:$G$38)-1))))/(INDEX(Tables!$G$17:$G$38,MAX(1,MIN(IFERROR(MATCH(AF29,Tables!$G$17:$G$38,1),1),ROWS(Tables!$G$17:$G$38)-1))+1)-INDEX(Tables!$G$17:$G$38,MAX(1,MIN(IFERROR(MATCH(AF29,Tables!$G$17:$G$38,1),1),ROWS(Tables!$G$17:$G$38)-1))))))))</f>
        <v>3869.3333333333335</v>
      </c>
      <c r="AL29" s="181">
        <f>IF(AC29&lt;1000,(INDEX(Tables!$B$43:$B$76,MAX(1,MIN(IFERROR(MATCH(AG29,Tables!$A$43:$A$76,1),1),ROWS(Tables!$A$43:$A$76)-1)))+(AG29-INDEX(Tables!$A$43:$A$76,MAX(1,MIN(IFERROR(MATCH(AG29,Tables!$A$43:$A$76,1),1),ROWS(Tables!$A$43:$A$76)-1))))*(INDEX(Tables!$B$43:$B$76,MAX(1,MIN(IFERROR(MATCH(AG29,Tables!$A$43:$A$76,1),1),ROWS(Tables!$A$43:$A$76)-1))+1)-INDEX(Tables!$B$43:$B$76,MAX(1,MIN(IFERROR(MATCH(AG29,Tables!$A$43:$A$76,1),1),ROWS(Tables!$A$43:$A$76)-1))))/(INDEX(Tables!$A$43:$A$76,MAX(1,MIN(IFERROR(MATCH(AG29,Tables!$A$43:$A$76,1),1),ROWS(Tables!$A$43:$A$76)-1))+1)-INDEX(Tables!$A$43:$A$76,MAX(1,MIN(IFERROR(MATCH(AG29,Tables!$A$43:$A$76,1),1),ROWS(Tables!$A$43:$A$76)-1))))),(INDEX(Tables!$D$43:$D$76,MAX(1,MIN(IFERROR(MATCH(AG29,Tables!$C$43:$C$76,1),1),ROWS(Tables!$C$43:$C$76)-1)))+(AG29-INDEX(Tables!$C$43:$C$76,MAX(1,MIN(IFERROR(MATCH(AG29,Tables!$C$43:$C$76,1),1),ROWS(Tables!$C$43:$C$76)-1))))*(INDEX(Tables!$D$43:$D$76,MAX(1,MIN(IFERROR(MATCH(AG29,Tables!$C$43:$C$76,1),1),ROWS(Tables!$C$43:$C$76)-1))+1)-INDEX(Tables!$D$43:$D$76,MAX(1,MIN(IFERROR(MATCH(AG29,Tables!$C$43:$C$76,1),1),ROWS(Tables!$C$43:$C$76)-1))))/(INDEX(Tables!$C$43:$C$76,MAX(1,MIN(IFERROR(MATCH(AG29,Tables!$C$43:$C$76,1),1),ROWS(Tables!$C$43:$C$76)-1))+1)-INDEX(Tables!$C$43:$C$76,MAX(1,MIN(IFERROR(MATCH(AG29,Tables!$C$43:$C$76,1),1),ROWS(Tables!$C$43:$C$76)-1))))))</f>
        <v>1.0784</v>
      </c>
      <c r="AM29" s="181">
        <f>(INDEX(Tables!$B$80:$B$87,MAX(1,MIN(IFERROR(MATCH(AH29,Tables!$A$80:$A$87,1),1),ROWS(Tables!$A$80:$A$87)-1)))+(AH29-INDEX(Tables!$A$80:$A$87,MAX(1,MIN(IFERROR(MATCH(AH29,Tables!$A$80:$A$87,1),1),ROWS(Tables!$A$80:$A$87)-1))))*(INDEX(Tables!$B$80:$B$87,MAX(1,MIN(IFERROR(MATCH(AH29,Tables!$A$80:$A$87,1),1),ROWS(Tables!$A$80:$A$87)-1))+1)-INDEX(Tables!$B$80:$B$87,MAX(1,MIN(IFERROR(MATCH(AH29,Tables!$A$80:$A$87,1),1),ROWS(Tables!$A$80:$A$87)-1))))/(INDEX(Tables!$A$80:$A$87,MAX(1,MIN(IFERROR(MATCH(AH29,Tables!$A$80:$A$87,1),1),ROWS(Tables!$A$80:$A$87)-1))+1)-INDEX(Tables!$A$80:$A$87,MAX(1,MIN(IFERROR(MATCH(AH29,Tables!$A$80:$A$87,1),1),ROWS(Tables!$A$80:$A$87)-1)))))</f>
        <v>0.89595000000000002</v>
      </c>
      <c r="AN29" s="181">
        <f t="shared" si="7"/>
        <v>12461.735897600003</v>
      </c>
      <c r="AO29" s="181">
        <f>(INDEX(Tables!$B$91:$B$94,MAX(1,MIN(IFERROR(MATCH(P29,Tables!$A$91:$A$94,1),1),ROWS(Tables!$A$91:$A$94)-1)))+(P29-INDEX(Tables!$A$91:$A$94,MAX(1,MIN(IFERROR(MATCH(P29,Tables!$A$91:$A$94,1),1),ROWS(Tables!$A$91:$A$94)-1))))*(INDEX(Tables!$B$91:$B$94,MAX(1,MIN(IFERROR(MATCH(P29,Tables!$A$91:$A$94,1),1),ROWS(Tables!$A$91:$A$94)-1))+1)-INDEX(Tables!$B$91:$B$94,MAX(1,MIN(IFERROR(MATCH(P29,Tables!$A$91:$A$94,1),1),ROWS(Tables!$A$91:$A$94)-1))))/(INDEX(Tables!$A$91:$A$94,MAX(1,MIN(IFERROR(MATCH(P29,Tables!$A$91:$A$94,1),1),ROWS(Tables!$A$91:$A$94)-1))+1)-INDEX(Tables!$A$91:$A$94,MAX(1,MIN(IFERROR(MATCH(P29,Tables!$A$91:$A$94,1),1),ROWS(Tables!$A$91:$A$94)-1)))))</f>
        <v>1</v>
      </c>
      <c r="AP29" s="181">
        <f>IF(AD29=5000,(INDEX(Tables!$B$99:$B$118,MAX(1,MIN(IFERROR(MATCH(AF29,Tables!$A$99:$A$118,1),1),ROWS(Tables!$A$99:$A$118)-1)))+(AF29-INDEX(Tables!$A$99:$A$118,MAX(1,MIN(IFERROR(MATCH(AF29,Tables!$A$99:$A$118,1),1),ROWS(Tables!$A$99:$A$118)-1))))*(INDEX(Tables!$B$99:$B$118,MAX(1,MIN(IFERROR(MATCH(AF29,Tables!$A$99:$A$118,1),1),ROWS(Tables!$A$99:$A$118)-1))+1)-INDEX(Tables!$B$99:$B$118,MAX(1,MIN(IFERROR(MATCH(AF29,Tables!$A$99:$A$118,1),1),ROWS(Tables!$A$99:$A$118)-1))))/(INDEX(Tables!$A$99:$A$118,MAX(1,MIN(IFERROR(MATCH(AF29,Tables!$A$99:$A$118,1),1),ROWS(Tables!$A$99:$A$118)-1))+1)-INDEX(Tables!$A$99:$A$118,MAX(1,MIN(IFERROR(MATCH(AF29,Tables!$A$99:$A$118,1),1),ROWS(Tables!$A$99:$A$118)-1))))),IF(AD29=10000,(INDEX(Tables!$D$99:$D$118,MAX(1,MIN(IFERROR(MATCH(AF29,Tables!$C$99:$C$118,1),1),ROWS(Tables!$C$99:$C$118)-1)))+(AF29-INDEX(Tables!$C$99:$C$118,MAX(1,MIN(IFERROR(MATCH(AF29,Tables!$C$99:$C$118,1),1),ROWS(Tables!$C$99:$C$118)-1))))*(INDEX(Tables!$D$99:$D$118,MAX(1,MIN(IFERROR(MATCH(AF29,Tables!$C$99:$C$118,1),1),ROWS(Tables!$C$99:$C$118)-1))+1)-INDEX(Tables!$D$99:$D$118,MAX(1,MIN(IFERROR(MATCH(AF29,Tables!$C$99:$C$118,1),1),ROWS(Tables!$C$99:$C$118)-1))))/(INDEX(Tables!$C$99:$C$118,MAX(1,MIN(IFERROR(MATCH(AF29,Tables!$C$99:$C$118,1),1),ROWS(Tables!$C$99:$C$118)-1))+1)-INDEX(Tables!$C$99:$C$118,MAX(1,MIN(IFERROR(MATCH(AF29,Tables!$C$99:$C$118,1),1),ROWS(Tables!$C$99:$C$118)-1))))),(INDEX(Tables!$F$99:$F$118,MAX(1,MIN(IFERROR(MATCH(AF29,Tables!$E$99:$E$118,1),1),ROWS(Tables!$E$99:$E$118)-1)))+(AF29-INDEX(Tables!$E$99:$E$118,MAX(1,MIN(IFERROR(MATCH(AF29,Tables!$E$99:$E$118,1),1),ROWS(Tables!$E$99:$E$118)-1))))*(INDEX(Tables!$F$99:$F$118,MAX(1,MIN(IFERROR(MATCH(AF29,Tables!$E$99:$E$118,1),1),ROWS(Tables!$E$99:$E$118)-1))+1)-INDEX(Tables!$F$99:$F$118,MAX(1,MIN(IFERROR(MATCH(AF29,Tables!$E$99:$E$118,1),1),ROWS(Tables!$E$99:$E$118)-1))))/(INDEX(Tables!$E$99:$E$118,MAX(1,MIN(IFERROR(MATCH(AF29,Tables!$E$99:$E$118,1),1),ROWS(Tables!$E$99:$E$118)-1))+1)-INDEX(Tables!$E$99:$E$118,MAX(1,MIN(IFERROR(MATCH(AF29,Tables!$E$99:$E$118,1),1),ROWS(Tables!$E$99:$E$118)-1)))))))</f>
        <v>5.0957751937984499</v>
      </c>
      <c r="AQ29" s="181">
        <f>IF(P29&lt;6,(INDEX(Tables!$B$123:$B$138,MAX(1,MIN(IFERROR(MATCH(U29,Tables!$A$123:$A$138,1),1),ROWS(Tables!$A$123:$A$138)-1)))+(U29-INDEX(Tables!$A$123:$A$138,MAX(1,MIN(IFERROR(MATCH(U29,Tables!$A$123:$A$138,1),1),ROWS(Tables!$A$123:$A$138)-1))))*(INDEX(Tables!$B$123:$B$138,MAX(1,MIN(IFERROR(MATCH(U29,Tables!$A$123:$A$138,1),1),ROWS(Tables!$A$123:$A$138)-1))+1)-INDEX(Tables!$B$123:$B$138,MAX(1,MIN(IFERROR(MATCH(U29,Tables!$A$123:$A$138,1),1),ROWS(Tables!$A$123:$A$138)-1))))/(INDEX(Tables!$A$123:$A$138,MAX(1,MIN(IFERROR(MATCH(U29,Tables!$A$123:$A$138,1),1),ROWS(Tables!$A$123:$A$138)-1))+1)-INDEX(Tables!$A$123:$A$138,MAX(1,MIN(IFERROR(MATCH(U29,Tables!$A$123:$A$138,1),1),ROWS(Tables!$A$123:$A$138)-1))))),IF(P29&lt;8,(INDEX(Tables!$D$123:$D$138,MAX(1,MIN(IFERROR(MATCH(U29,Tables!$C$123:$C$138,1),1),ROWS(Tables!$C$123:$C$138)-1)))+(U29-INDEX(Tables!$C$123:$C$138,MAX(1,MIN(IFERROR(MATCH(U29,Tables!$C$123:$C$138,1),1),ROWS(Tables!$C$123:$C$138)-1))))*(INDEX(Tables!$D$123:$D$138,MAX(1,MIN(IFERROR(MATCH(U29,Tables!$C$123:$C$138,1),1),ROWS(Tables!$C$123:$C$138)-1))+1)-INDEX(Tables!$D$123:$D$138,MAX(1,MIN(IFERROR(MATCH(U29,Tables!$C$123:$C$138,1),1),ROWS(Tables!$C$123:$C$138)-1))))/(INDEX(Tables!$C$123:$C$138,MAX(1,MIN(IFERROR(MATCH(U29,Tables!$C$123:$C$138,1),1),ROWS(Tables!$C$123:$C$138)-1))+1)-INDEX(Tables!$C$123:$C$138,MAX(1,MIN(IFERROR(MATCH(U29,Tables!$C$123:$C$138,1),1),ROWS(Tables!$C$123:$C$138)-1))))),IF(P29&lt;10,(INDEX(Tables!$F$123:$F$138,MAX(1,MIN(IFERROR(MATCH(U29,Tables!$E$123:$E$138,1),1),ROWS(Tables!$E$123:$E$138)-1)))+(U29-INDEX(Tables!$E$123:$E$138,MAX(1,MIN(IFERROR(MATCH(U29,Tables!$E$123:$E$138,1),1),ROWS(Tables!$E$123:$E$138)-1))))*(INDEX(Tables!$F$123:$F$138,MAX(1,MIN(IFERROR(MATCH(U29,Tables!$E$123:$E$138,1),1),ROWS(Tables!$E$123:$E$138)-1))+1)-INDEX(Tables!$F$123:$F$138,MAX(1,MIN(IFERROR(MATCH(U29,Tables!$E$123:$E$138,1),1),ROWS(Tables!$E$123:$E$138)-1))))/(INDEX(Tables!$E$123:$E$138,MAX(1,MIN(IFERROR(MATCH(U29,Tables!$E$123:$E$138,1),1),ROWS(Tables!$E$123:$E$138)-1))+1)-INDEX(Tables!$E$123:$E$138,MAX(1,MIN(IFERROR(MATCH(U29,Tables!$E$123:$E$138,1),1),ROWS(Tables!$E$123:$E$138)-1))))),(INDEX(Tables!$H$123:$H$138,MAX(1,MIN(IFERROR(MATCH(U29,Tables!$G$123:$G$138,1),1),ROWS(Tables!$G$123:$G$138)-1)))+(U29-INDEX(Tables!$G$123:$G$138,MAX(1,MIN(IFERROR(MATCH(U29,Tables!$G$123:$G$138,1),1),ROWS(Tables!$G$123:$G$138)-1))))*(INDEX(Tables!$H$123:$H$138,MAX(1,MIN(IFERROR(MATCH(U29,Tables!$G$123:$G$138,1),1),ROWS(Tables!$G$123:$G$138)-1))+1)-INDEX(Tables!$H$123:$H$138,MAX(1,MIN(IFERROR(MATCH(U29,Tables!$G$123:$G$138,1),1),ROWS(Tables!$G$123:$G$138)-1))))/(INDEX(Tables!$G$123:$G$138,MAX(1,MIN(IFERROR(MATCH(U29,Tables!$G$123:$G$138,1),1),ROWS(Tables!$G$123:$G$138)-1))+1)-INDEX(Tables!$G$123:$G$138,MAX(1,MIN(IFERROR(MATCH(U29,Tables!$G$123:$G$138,1),1),ROWS(Tables!$G$123:$G$138)-1))))))))</f>
        <v>0.46899999999999997</v>
      </c>
      <c r="AR29" s="181">
        <f>IF(OR(P29&gt;=4,U29&gt;12),VLOOKUP(R29&amp;" "&amp;S29,Tables!$D$143:$F$148,2,FALSE),VLOOKUP(R29&amp;" "&amp;S29,Tables!$A$143:$C$148,2,FALSE))</f>
        <v>1</v>
      </c>
      <c r="AS29" s="181">
        <f>IF(OR(P29&gt;=4,U29&gt;12),VLOOKUP(R29&amp;" "&amp;S29,Tables!$D$143:$F$148,3,FALSE),VLOOKUP(R29&amp;" "&amp;S29,Tables!$A$143:$C$148,3,FALSE))</f>
        <v>0.65</v>
      </c>
      <c r="AT29" s="181">
        <f t="shared" si="8"/>
        <v>129.45392231912146</v>
      </c>
      <c r="AU29" s="181">
        <f>IF(AD29=5000,(INDEX(Tables!$B$244:$B$263,MAX(1,MIN(IFERROR(MATCH(AF29,Tables!$A$244:$A$263,1),1),ROWS(Tables!$A$244:$A$263)-1)))+(AF29-INDEX(Tables!$A$244:$A$263,MAX(1,MIN(IFERROR(MATCH(AF29,Tables!$A$244:$A$263,1),1),ROWS(Tables!$A$244:$A$263)-1))))*(INDEX(Tables!$B$244:$B$263,MAX(1,MIN(IFERROR(MATCH(AF29,Tables!$A$244:$A$263,1),1),ROWS(Tables!$A$244:$A$263)-1))+1)-INDEX(Tables!$B$244:$B$263,MAX(1,MIN(IFERROR(MATCH(AF29,Tables!$A$244:$A$263,1),1),ROWS(Tables!$A$244:$A$263)-1))))/(INDEX(Tables!$A$244:$A$263,MAX(1,MIN(IFERROR(MATCH(AF29,Tables!$A$244:$A$263,1),1),ROWS(Tables!$A$244:$A$263)-1))+1)-INDEX(Tables!$A$244:$A$263,MAX(1,MIN(IFERROR(MATCH(AF29,Tables!$A$244:$A$263,1),1),ROWS(Tables!$A$244:$A$263)-1))))),IF(AD29=10000,(INDEX(Tables!$D$244:$D$263,MAX(1,MIN(IFERROR(MATCH(AF29,Tables!$C$244:$C$263,1),1),ROWS(Tables!$C$244:$C$263)-1)))+(AF29-INDEX(Tables!$C$244:$C$263,MAX(1,MIN(IFERROR(MATCH(AF29,Tables!$C$244:$C$263,1),1),ROWS(Tables!$C$244:$C$263)-1))))*(INDEX(Tables!$D$244:$D$263,MAX(1,MIN(IFERROR(MATCH(AF29,Tables!$C$244:$C$263,1),1),ROWS(Tables!$C$244:$C$263)-1))+1)-INDEX(Tables!$D$244:$D$263,MAX(1,MIN(IFERROR(MATCH(AF29,Tables!$C$244:$C$263,1),1),ROWS(Tables!$C$244:$C$263)-1))))/(INDEX(Tables!$C$244:$C$263,MAX(1,MIN(IFERROR(MATCH(AF29,Tables!$C$244:$C$263,1),1),ROWS(Tables!$C$244:$C$263)-1))+1)-INDEX(Tables!$C$244:$C$263,MAX(1,MIN(IFERROR(MATCH(AF29,Tables!$C$244:$C$263,1),1),ROWS(Tables!$C$244:$C$263)-1))))),(INDEX(Tables!$F$244:$F$263,MAX(1,MIN(IFERROR(MATCH(AF29,Tables!$E$244:$E$263,1),1),ROWS(Tables!$E$244:$E$263)-1)))+(AF29-INDEX(Tables!$E$244:$E$263,MAX(1,MIN(IFERROR(MATCH(AF29,Tables!$E$244:$E$263,1),1),ROWS(Tables!$E$244:$E$263)-1))))*(INDEX(Tables!$F$244:$F$263,MAX(1,MIN(IFERROR(MATCH(AF29,Tables!$E$244:$E$263,1),1),ROWS(Tables!$E$244:$E$263)-1))+1)-INDEX(Tables!$F$244:$F$263,MAX(1,MIN(IFERROR(MATCH(AF29,Tables!$E$244:$E$263,1),1),ROWS(Tables!$E$244:$E$263)-1))))/(INDEX(Tables!$E$244:$E$263,MAX(1,MIN(IFERROR(MATCH(AF29,Tables!$E$244:$E$263,1),1),ROWS(Tables!$E$244:$E$263)-1))+1)-INDEX(Tables!$E$244:$E$263,MAX(1,MIN(IFERROR(MATCH(AF29,Tables!$E$244:$E$263,1),1),ROWS(Tables!$E$244:$E$263)-1)))))))</f>
        <v>6.0990000000000002</v>
      </c>
      <c r="AV29" s="181">
        <f>IF(P29&lt;6,(INDEX(Tables!$B$260:$B$274,MAX(1,MIN(IFERROR(MATCH(U29,Tables!$A$260:$A$274,1),1),ROWS(Tables!$A$260:$A$274)-1)))+(U29-INDEX(Tables!$A$260:$A$274,MAX(1,MIN(IFERROR(MATCH(U29,Tables!$A$260:$A$274,1),1),ROWS(Tables!$A$260:$A$274)-1))))*(INDEX(Tables!$B$260:$B$274,MAX(1,MIN(IFERROR(MATCH(U29,Tables!$A$260:$A$274,1),1),ROWS(Tables!$A$260:$A$274)-1))+1)-INDEX(Tables!$B$260:$B$274,MAX(1,MIN(IFERROR(MATCH(U29,Tables!$A$260:$A$274,1),1),ROWS(Tables!$A$260:$A$274)-1))))/(INDEX(Tables!$A$260:$A$274,MAX(1,MIN(IFERROR(MATCH(U29,Tables!$A$260:$A$274,1),1),ROWS(Tables!$A$260:$A$274)-1))+1)-INDEX(Tables!$A$260:$A$274,MAX(1,MIN(IFERROR(MATCH(U29,Tables!$A$260:$A$274,1),1),ROWS(Tables!$A$260:$A$274)-1))))),IF(P29&lt;8,(INDEX(Tables!$D$260:$D$274,MAX(1,MIN(IFERROR(MATCH(U29,Tables!$C$260:$C$274,1),1),ROWS(Tables!$C$260:$C$274)-1)))+(U29-INDEX(Tables!$C$260:$C$274,MAX(1,MIN(IFERROR(MATCH(U29,Tables!$C$260:$C$274,1),1),ROWS(Tables!$C$260:$C$274)-1))))*(INDEX(Tables!$D$260:$D$274,MAX(1,MIN(IFERROR(MATCH(U29,Tables!$C$260:$C$274,1),1),ROWS(Tables!$C$260:$C$274)-1))+1)-INDEX(Tables!$D$260:$D$274,MAX(1,MIN(IFERROR(MATCH(U29,Tables!$C$260:$C$274,1),1),ROWS(Tables!$C$260:$C$274)-1))))/(INDEX(Tables!$C$260:$C$274,MAX(1,MIN(IFERROR(MATCH(U29,Tables!$C$260:$C$274,1),1),ROWS(Tables!$C$260:$C$274)-1))+1)-INDEX(Tables!$C$260:$C$274,MAX(1,MIN(IFERROR(MATCH(U29,Tables!$C$260:$C$274,1),1),ROWS(Tables!$C$260:$C$274)-1))))),IF(P29&lt;10,(INDEX(Tables!$F$260:$F$274,MAX(1,MIN(IFERROR(MATCH(U29,Tables!$E$260:$E$274,1),1),ROWS(Tables!$E$260:$E$274)-1)))+(U29-INDEX(Tables!$E$260:$E$274,MAX(1,MIN(IFERROR(MATCH(U29,Tables!$E$260:$E$274,1),1),ROWS(Tables!$E$260:$E$274)-1))))*(INDEX(Tables!$F$260:$F$274,MAX(1,MIN(IFERROR(MATCH(U29,Tables!$E$260:$E$274,1),1),ROWS(Tables!$E$260:$E$274)-1))+1)-INDEX(Tables!$F$260:$F$274,MAX(1,MIN(IFERROR(MATCH(U29,Tables!$E$260:$E$274,1),1),ROWS(Tables!$E$260:$E$274)-1))))/(INDEX(Tables!$E$260:$E$274,MAX(1,MIN(IFERROR(MATCH(U29,Tables!$E$260:$E$274,1),1),ROWS(Tables!$E$260:$E$274)-1))+1)-INDEX(Tables!$E$260:$E$274,MAX(1,MIN(IFERROR(MATCH(U29,Tables!$E$260:$E$274,1),1),ROWS(Tables!$E$260:$E$274)-1))))),(INDEX(Tables!$H$260:$H$274,MAX(1,MIN(IFERROR(MATCH(U29,Tables!$G$260:$G$274,1),1),ROWS(Tables!$G$260:$G$274)-1)))+(U29-INDEX(Tables!$G$260:$G$274,MAX(1,MIN(IFERROR(MATCH(U29,Tables!$G$260:$G$274,1),1),ROWS(Tables!$G$260:$G$274)-1))))*(INDEX(Tables!$H$260:$H$274,MAX(1,MIN(IFERROR(MATCH(U29,Tables!$G$260:$G$274,1),1),ROWS(Tables!$G$260:$G$274)-1))+1)-INDEX(Tables!$H$260:$H$274,MAX(1,MIN(IFERROR(MATCH(U29,Tables!$G$260:$G$274,1),1),ROWS(Tables!$G$260:$G$274)-1))))/(INDEX(Tables!$G$260:$G$274,MAX(1,MIN(IFERROR(MATCH(U29,Tables!$G$260:$G$274,1),1),ROWS(Tables!$G$260:$G$274)-1))+1)-INDEX(Tables!$G$260:$G$274,MAX(1,MIN(IFERROR(MATCH(U29,Tables!$G$260:$G$274,1),1),ROWS(Tables!$G$260:$G$274)-1))))))))</f>
        <v>0.45700000000000002</v>
      </c>
      <c r="AW29" s="181">
        <f t="shared" si="9"/>
        <v>150.9756625</v>
      </c>
      <c r="AX29" s="181">
        <f t="shared" si="10"/>
        <v>0</v>
      </c>
      <c r="AY29" s="181">
        <f t="shared" si="11"/>
        <v>12591.189819919126</v>
      </c>
      <c r="AZ29" s="181">
        <f t="shared" si="12"/>
        <v>3889.4964317800009</v>
      </c>
      <c r="BA29" s="181">
        <f t="shared" si="13"/>
        <v>0</v>
      </c>
      <c r="BB29" s="181">
        <f t="shared" si="14"/>
        <v>11166.59552852275</v>
      </c>
      <c r="BC29" s="181">
        <f t="shared" si="15"/>
        <v>46800</v>
      </c>
      <c r="BD29" s="181">
        <f>VLOOKUP(V29&amp;" "&amp;J29,Tables!$A$152:$E$239,4,FALSE)</f>
        <v>12000</v>
      </c>
      <c r="BE29" s="181">
        <f>VLOOKUP(V29&amp;" "&amp;J29,Tables!$A$152:$E$239,5,FALSE)</f>
        <v>23000</v>
      </c>
      <c r="BF29" s="181">
        <f t="shared" si="16"/>
        <v>8640</v>
      </c>
      <c r="BG29" s="181">
        <f t="shared" si="17"/>
        <v>16560</v>
      </c>
      <c r="BH29" s="181">
        <f t="shared" si="18"/>
        <v>0</v>
      </c>
      <c r="BI29" s="181">
        <f t="shared" si="19"/>
        <v>46800</v>
      </c>
      <c r="BJ29" s="181">
        <f t="shared" si="20"/>
        <v>11166.59552852275</v>
      </c>
      <c r="BK29" s="181">
        <f t="shared" si="21"/>
        <v>46800</v>
      </c>
      <c r="BL29" s="181">
        <f t="shared" si="22"/>
        <v>150.9756625</v>
      </c>
      <c r="BM29" s="181">
        <f t="shared" si="23"/>
        <v>8640</v>
      </c>
      <c r="BN29" s="181">
        <f t="shared" si="24"/>
        <v>129.45392231912146</v>
      </c>
      <c r="BO29" s="181">
        <f t="shared" si="25"/>
        <v>16560</v>
      </c>
      <c r="BP29" t="str">
        <f t="shared" si="26"/>
        <v>Pass</v>
      </c>
      <c r="BQ29" t="str">
        <f t="shared" si="27"/>
        <v>Pass</v>
      </c>
      <c r="BR29" t="str">
        <f t="shared" si="28"/>
        <v>Pass</v>
      </c>
      <c r="BS29" t="str">
        <f t="shared" si="29"/>
        <v>Pass</v>
      </c>
      <c r="BT29" t="str">
        <f t="shared" si="30"/>
        <v>Pass</v>
      </c>
      <c r="BU29" t="str">
        <f t="shared" si="31"/>
        <v>Effective Stress</v>
      </c>
    </row>
    <row r="30" spans="1:73">
      <c r="A30" t="s">
        <v>622</v>
      </c>
      <c r="B30" s="181">
        <v>28</v>
      </c>
      <c r="C30" t="s">
        <v>594</v>
      </c>
      <c r="D30" s="181">
        <v>6</v>
      </c>
      <c r="E30" s="181">
        <v>0.13400000000000001</v>
      </c>
      <c r="F30" t="s">
        <v>117</v>
      </c>
      <c r="G30" t="s">
        <v>119</v>
      </c>
      <c r="H30" t="s">
        <v>122</v>
      </c>
      <c r="I30" s="181">
        <v>1</v>
      </c>
      <c r="J30" t="s">
        <v>126</v>
      </c>
      <c r="K30" t="s">
        <v>129</v>
      </c>
      <c r="L30" s="181">
        <v>70</v>
      </c>
      <c r="M30" s="181">
        <v>0</v>
      </c>
      <c r="N30" t="s">
        <v>392</v>
      </c>
      <c r="O30" s="181">
        <v>120</v>
      </c>
      <c r="P30" s="181">
        <v>1</v>
      </c>
      <c r="Q30" s="181">
        <v>8.625</v>
      </c>
      <c r="R30" t="s">
        <v>418</v>
      </c>
      <c r="S30" t="s">
        <v>420</v>
      </c>
      <c r="T30" s="181">
        <v>70</v>
      </c>
      <c r="U30" s="181">
        <f>HLOOKUP(D30,'Highway Loading'!$C$155:$AD$156,2,FALSE)</f>
        <v>6.625</v>
      </c>
      <c r="V30" s="181">
        <f>IF(ISBLANK(G30),"",INDEX('Highway Loading'!$C$216:$AG$216,1,MATCH(G30,'Highway Loading'!$C$215:$AG$215,0)))</f>
        <v>65000</v>
      </c>
      <c r="W30" s="181">
        <f>INDEX('Highway Loading'!$I$245:$L$253,MATCH(H30,'Highway Loading'!$H$245:$H$253,0),MATCH(I30,'Highway Loading'!$I$244:$L$244,0))</f>
        <v>0.72</v>
      </c>
      <c r="X30" s="181">
        <f t="shared" si="0"/>
        <v>1</v>
      </c>
      <c r="Y30" s="181">
        <f>VLOOKUP(K30,'Highway Loading'!$B$283:$E$292,2,FALSE)</f>
        <v>29000000</v>
      </c>
      <c r="Z30" s="181">
        <f>VLOOKUP(K30,'Highway Loading'!$B$283:$E$292,3,FALSE)</f>
        <v>0.3</v>
      </c>
      <c r="AA30" s="181">
        <f>VLOOKUP(K30,'Highway Loading'!$B$283:$E$292,4,FALSE)</f>
        <v>6.4999999999999996E-6</v>
      </c>
      <c r="AB30" s="181">
        <f t="shared" si="1"/>
        <v>1</v>
      </c>
      <c r="AC30" s="181">
        <f>VLOOKUP(N30,'Highway Loading'!$B$256:$D$261,2,FALSE)</f>
        <v>2000</v>
      </c>
      <c r="AD30" s="181">
        <f>VLOOKUP(N30,'Highway Loading'!$B$256:$D$261,3,FALSE)</f>
        <v>20000</v>
      </c>
      <c r="AE30" s="181">
        <f>VLOOKUP(S30,'Highway Loading'!$B$340:$C$341,2,FALSE)</f>
        <v>12000</v>
      </c>
      <c r="AF30" s="181">
        <f t="shared" si="2"/>
        <v>2.0226415094339624E-2</v>
      </c>
      <c r="AG30" s="181">
        <f t="shared" si="3"/>
        <v>1.3913043478260869</v>
      </c>
      <c r="AH30" s="181">
        <f t="shared" si="4"/>
        <v>1.3018867924528301</v>
      </c>
      <c r="AI30" s="181">
        <f t="shared" si="5"/>
        <v>0</v>
      </c>
      <c r="AJ30" s="181">
        <f t="shared" si="6"/>
        <v>46800</v>
      </c>
      <c r="AK30" s="181">
        <f>IF(AC30=200,(INDEX(Tables!$B$17:$B$38,MAX(1,MIN(IFERROR(MATCH(AF30,Tables!$A$17:$A$38,1),1),ROWS(Tables!$A$17:$A$38)-1)))+(AF30-INDEX(Tables!$A$17:$A$38,MAX(1,MIN(IFERROR(MATCH(AF30,Tables!$A$17:$A$38,1),1),ROWS(Tables!$A$17:$A$38)-1))))*(INDEX(Tables!$B$17:$B$38,MAX(1,MIN(IFERROR(MATCH(AF30,Tables!$A$17:$A$38,1),1),ROWS(Tables!$A$17:$A$38)-1))+1)-INDEX(Tables!$B$17:$B$38,MAX(1,MIN(IFERROR(MATCH(AF30,Tables!$A$17:$A$38,1),1),ROWS(Tables!$A$17:$A$38)-1))))/(INDEX(Tables!$A$17:$A$38,MAX(1,MIN(IFERROR(MATCH(AF30,Tables!$A$17:$A$38,1),1),ROWS(Tables!$A$17:$A$38)-1))+1)-INDEX(Tables!$A$17:$A$38,MAX(1,MIN(IFERROR(MATCH(AF30,Tables!$A$17:$A$38,1),1),ROWS(Tables!$A$17:$A$38)-1))))),IF(AC30=500,(INDEX(Tables!$D$17:$D$38,MAX(1,MIN(IFERROR(MATCH(AF30,Tables!$C$17:$C$38,1),1),ROWS(Tables!$C$17:$C$38)-1)))+(AF30-INDEX(Tables!$C$17:$C$38,MAX(1,MIN(IFERROR(MATCH(AF30,Tables!$C$17:$C$38,1),1),ROWS(Tables!$C$17:$C$38)-1))))*(INDEX(Tables!$D$17:$D$38,MAX(1,MIN(IFERROR(MATCH(AF30,Tables!$C$17:$C$38,1),1),ROWS(Tables!$C$17:$C$38)-1))+1)-INDEX(Tables!$D$17:$D$38,MAX(1,MIN(IFERROR(MATCH(AF30,Tables!$C$17:$C$38,1),1),ROWS(Tables!$C$17:$C$38)-1))))/(INDEX(Tables!$C$17:$C$38,MAX(1,MIN(IFERROR(MATCH(AF30,Tables!$C$17:$C$38,1),1),ROWS(Tables!$C$17:$C$38)-1))+1)-INDEX(Tables!$C$17:$C$38,MAX(1,MIN(IFERROR(MATCH(AF30,Tables!$C$17:$C$38,1),1),ROWS(Tables!$C$17:$C$38)-1))))),IF(AC30=1000,(INDEX(Tables!$F$17:$F$38,MAX(1,MIN(IFERROR(MATCH(AF30,Tables!$E$17:$E$38,1),1),ROWS(Tables!$E$17:$E$38)-1)))+(AF30-INDEX(Tables!$E$17:$E$38,MAX(1,MIN(IFERROR(MATCH(AF30,Tables!$E$17:$E$38,1),1),ROWS(Tables!$E$17:$E$38)-1))))*(INDEX(Tables!$F$17:$F$38,MAX(1,MIN(IFERROR(MATCH(AF30,Tables!$E$17:$E$38,1),1),ROWS(Tables!$E$17:$E$38)-1))+1)-INDEX(Tables!$F$17:$F$38,MAX(1,MIN(IFERROR(MATCH(AF30,Tables!$E$17:$E$38,1),1),ROWS(Tables!$E$17:$E$38)-1))))/(INDEX(Tables!$E$17:$E$38,MAX(1,MIN(IFERROR(MATCH(AF30,Tables!$E$17:$E$38,1),1),ROWS(Tables!$E$17:$E$38)-1))+1)-INDEX(Tables!$E$17:$E$38,MAX(1,MIN(IFERROR(MATCH(AF30,Tables!$E$17:$E$38,1),1),ROWS(Tables!$E$17:$E$38)-1))))),(INDEX(Tables!$H$17:$H$38,MAX(1,MIN(IFERROR(MATCH(AF30,Tables!$G$17:$G$38,1),1),ROWS(Tables!$G$17:$G$38)-1)))+(AF30-INDEX(Tables!$G$17:$G$38,MAX(1,MIN(IFERROR(MATCH(AF30,Tables!$G$17:$G$38,1),1),ROWS(Tables!$G$17:$G$38)-1))))*(INDEX(Tables!$H$17:$H$38,MAX(1,MIN(IFERROR(MATCH(AF30,Tables!$G$17:$G$38,1),1),ROWS(Tables!$G$17:$G$38)-1))+1)-INDEX(Tables!$H$17:$H$38,MAX(1,MIN(IFERROR(MATCH(AF30,Tables!$G$17:$G$38,1),1),ROWS(Tables!$G$17:$G$38)-1))))/(INDEX(Tables!$G$17:$G$38,MAX(1,MIN(IFERROR(MATCH(AF30,Tables!$G$17:$G$38,1),1),ROWS(Tables!$G$17:$G$38)-1))+1)-INDEX(Tables!$G$17:$G$38,MAX(1,MIN(IFERROR(MATCH(AF30,Tables!$G$17:$G$38,1),1),ROWS(Tables!$G$17:$G$38)-1))))))))</f>
        <v>1830.943396226415</v>
      </c>
      <c r="AL30" s="181">
        <f>IF(AC30&lt;1000,(INDEX(Tables!$B$43:$B$76,MAX(1,MIN(IFERROR(MATCH(AG30,Tables!$A$43:$A$76,1),1),ROWS(Tables!$A$43:$A$76)-1)))+(AG30-INDEX(Tables!$A$43:$A$76,MAX(1,MIN(IFERROR(MATCH(AG30,Tables!$A$43:$A$76,1),1),ROWS(Tables!$A$43:$A$76)-1))))*(INDEX(Tables!$B$43:$B$76,MAX(1,MIN(IFERROR(MATCH(AG30,Tables!$A$43:$A$76,1),1),ROWS(Tables!$A$43:$A$76)-1))+1)-INDEX(Tables!$B$43:$B$76,MAX(1,MIN(IFERROR(MATCH(AG30,Tables!$A$43:$A$76,1),1),ROWS(Tables!$A$43:$A$76)-1))))/(INDEX(Tables!$A$43:$A$76,MAX(1,MIN(IFERROR(MATCH(AG30,Tables!$A$43:$A$76,1),1),ROWS(Tables!$A$43:$A$76)-1))+1)-INDEX(Tables!$A$43:$A$76,MAX(1,MIN(IFERROR(MATCH(AG30,Tables!$A$43:$A$76,1),1),ROWS(Tables!$A$43:$A$76)-1))))),(INDEX(Tables!$D$43:$D$76,MAX(1,MIN(IFERROR(MATCH(AG30,Tables!$C$43:$C$76,1),1),ROWS(Tables!$C$43:$C$76)-1)))+(AG30-INDEX(Tables!$C$43:$C$76,MAX(1,MIN(IFERROR(MATCH(AG30,Tables!$C$43:$C$76,1),1),ROWS(Tables!$C$43:$C$76)-1))))*(INDEX(Tables!$D$43:$D$76,MAX(1,MIN(IFERROR(MATCH(AG30,Tables!$C$43:$C$76,1),1),ROWS(Tables!$C$43:$C$76)-1))+1)-INDEX(Tables!$D$43:$D$76,MAX(1,MIN(IFERROR(MATCH(AG30,Tables!$C$43:$C$76,1),1),ROWS(Tables!$C$43:$C$76)-1))))/(INDEX(Tables!$C$43:$C$76,MAX(1,MIN(IFERROR(MATCH(AG30,Tables!$C$43:$C$76,1),1),ROWS(Tables!$C$43:$C$76)-1))+1)-INDEX(Tables!$C$43:$C$76,MAX(1,MIN(IFERROR(MATCH(AG30,Tables!$C$43:$C$76,1),1),ROWS(Tables!$C$43:$C$76)-1))))))</f>
        <v>0.44230434782608696</v>
      </c>
      <c r="AM30" s="181">
        <f>(INDEX(Tables!$B$80:$B$87,MAX(1,MIN(IFERROR(MATCH(AH30,Tables!$A$80:$A$87,1),1),ROWS(Tables!$A$80:$A$87)-1)))+(AH30-INDEX(Tables!$A$80:$A$87,MAX(1,MIN(IFERROR(MATCH(AH30,Tables!$A$80:$A$87,1),1),ROWS(Tables!$A$80:$A$87)-1))))*(INDEX(Tables!$B$80:$B$87,MAX(1,MIN(IFERROR(MATCH(AH30,Tables!$A$80:$A$87,1),1),ROWS(Tables!$A$80:$A$87)-1))+1)-INDEX(Tables!$B$80:$B$87,MAX(1,MIN(IFERROR(MATCH(AH30,Tables!$A$80:$A$87,1),1),ROWS(Tables!$A$80:$A$87)-1))))/(INDEX(Tables!$A$80:$A$87,MAX(1,MIN(IFERROR(MATCH(AH30,Tables!$A$80:$A$87,1),1),ROWS(Tables!$A$80:$A$87)-1))+1)-INDEX(Tables!$A$80:$A$87,MAX(1,MIN(IFERROR(MATCH(AH30,Tables!$A$80:$A$87,1),1),ROWS(Tables!$A$80:$A$87)-1)))))</f>
        <v>1.403996226415094</v>
      </c>
      <c r="AN30" s="181">
        <f t="shared" si="7"/>
        <v>523.10088860302142</v>
      </c>
      <c r="AO30" s="181">
        <f>(INDEX(Tables!$B$91:$B$94,MAX(1,MIN(IFERROR(MATCH(P30,Tables!$A$91:$A$94,1),1),ROWS(Tables!$A$91:$A$94)-1)))+(P30-INDEX(Tables!$A$91:$A$94,MAX(1,MIN(IFERROR(MATCH(P30,Tables!$A$91:$A$94,1),1),ROWS(Tables!$A$91:$A$94)-1))))*(INDEX(Tables!$B$91:$B$94,MAX(1,MIN(IFERROR(MATCH(P30,Tables!$A$91:$A$94,1),1),ROWS(Tables!$A$91:$A$94)-1))+1)-INDEX(Tables!$B$91:$B$94,MAX(1,MIN(IFERROR(MATCH(P30,Tables!$A$91:$A$94,1),1),ROWS(Tables!$A$91:$A$94)-1))))/(INDEX(Tables!$A$91:$A$94,MAX(1,MIN(IFERROR(MATCH(P30,Tables!$A$91:$A$94,1),1),ROWS(Tables!$A$91:$A$94)-1))+1)-INDEX(Tables!$A$91:$A$94,MAX(1,MIN(IFERROR(MATCH(P30,Tables!$A$91:$A$94,1),1),ROWS(Tables!$A$91:$A$94)-1)))))</f>
        <v>1.5</v>
      </c>
      <c r="AP30" s="181">
        <f>IF(AD30=5000,(INDEX(Tables!$B$99:$B$118,MAX(1,MIN(IFERROR(MATCH(AF30,Tables!$A$99:$A$118,1),1),ROWS(Tables!$A$99:$A$118)-1)))+(AF30-INDEX(Tables!$A$99:$A$118,MAX(1,MIN(IFERROR(MATCH(AF30,Tables!$A$99:$A$118,1),1),ROWS(Tables!$A$99:$A$118)-1))))*(INDEX(Tables!$B$99:$B$118,MAX(1,MIN(IFERROR(MATCH(AF30,Tables!$A$99:$A$118,1),1),ROWS(Tables!$A$99:$A$118)-1))+1)-INDEX(Tables!$B$99:$B$118,MAX(1,MIN(IFERROR(MATCH(AF30,Tables!$A$99:$A$118,1),1),ROWS(Tables!$A$99:$A$118)-1))))/(INDEX(Tables!$A$99:$A$118,MAX(1,MIN(IFERROR(MATCH(AF30,Tables!$A$99:$A$118,1),1),ROWS(Tables!$A$99:$A$118)-1))+1)-INDEX(Tables!$A$99:$A$118,MAX(1,MIN(IFERROR(MATCH(AF30,Tables!$A$99:$A$118,1),1),ROWS(Tables!$A$99:$A$118)-1))))),IF(AD30=10000,(INDEX(Tables!$D$99:$D$118,MAX(1,MIN(IFERROR(MATCH(AF30,Tables!$C$99:$C$118,1),1),ROWS(Tables!$C$99:$C$118)-1)))+(AF30-INDEX(Tables!$C$99:$C$118,MAX(1,MIN(IFERROR(MATCH(AF30,Tables!$C$99:$C$118,1),1),ROWS(Tables!$C$99:$C$118)-1))))*(INDEX(Tables!$D$99:$D$118,MAX(1,MIN(IFERROR(MATCH(AF30,Tables!$C$99:$C$118,1),1),ROWS(Tables!$C$99:$C$118)-1))+1)-INDEX(Tables!$D$99:$D$118,MAX(1,MIN(IFERROR(MATCH(AF30,Tables!$C$99:$C$118,1),1),ROWS(Tables!$C$99:$C$118)-1))))/(INDEX(Tables!$C$99:$C$118,MAX(1,MIN(IFERROR(MATCH(AF30,Tables!$C$99:$C$118,1),1),ROWS(Tables!$C$99:$C$118)-1))+1)-INDEX(Tables!$C$99:$C$118,MAX(1,MIN(IFERROR(MATCH(AF30,Tables!$C$99:$C$118,1),1),ROWS(Tables!$C$99:$C$118)-1))))),(INDEX(Tables!$F$99:$F$118,MAX(1,MIN(IFERROR(MATCH(AF30,Tables!$E$99:$E$118,1),1),ROWS(Tables!$E$99:$E$118)-1)))+(AF30-INDEX(Tables!$E$99:$E$118,MAX(1,MIN(IFERROR(MATCH(AF30,Tables!$E$99:$E$118,1),1),ROWS(Tables!$E$99:$E$118)-1))))*(INDEX(Tables!$F$99:$F$118,MAX(1,MIN(IFERROR(MATCH(AF30,Tables!$E$99:$E$118,1),1),ROWS(Tables!$E$99:$E$118)-1))+1)-INDEX(Tables!$F$99:$F$118,MAX(1,MIN(IFERROR(MATCH(AF30,Tables!$E$99:$E$118,1),1),ROWS(Tables!$E$99:$E$118)-1))))/(INDEX(Tables!$E$99:$E$118,MAX(1,MIN(IFERROR(MATCH(AF30,Tables!$E$99:$E$118,1),1),ROWS(Tables!$E$99:$E$118)-1))+1)-INDEX(Tables!$E$99:$E$118,MAX(1,MIN(IFERROR(MATCH(AF30,Tables!$E$99:$E$118,1),1),ROWS(Tables!$E$99:$E$118)-1)))))))</f>
        <v>9.5078674145843962</v>
      </c>
      <c r="AQ30" s="181">
        <f>IF(P30&lt;6,(INDEX(Tables!$B$123:$B$138,MAX(1,MIN(IFERROR(MATCH(U30,Tables!$A$123:$A$138,1),1),ROWS(Tables!$A$123:$A$138)-1)))+(U30-INDEX(Tables!$A$123:$A$138,MAX(1,MIN(IFERROR(MATCH(U30,Tables!$A$123:$A$138,1),1),ROWS(Tables!$A$123:$A$138)-1))))*(INDEX(Tables!$B$123:$B$138,MAX(1,MIN(IFERROR(MATCH(U30,Tables!$A$123:$A$138,1),1),ROWS(Tables!$A$123:$A$138)-1))+1)-INDEX(Tables!$B$123:$B$138,MAX(1,MIN(IFERROR(MATCH(U30,Tables!$A$123:$A$138,1),1),ROWS(Tables!$A$123:$A$138)-1))))/(INDEX(Tables!$A$123:$A$138,MAX(1,MIN(IFERROR(MATCH(U30,Tables!$A$123:$A$138,1),1),ROWS(Tables!$A$123:$A$138)-1))+1)-INDEX(Tables!$A$123:$A$138,MAX(1,MIN(IFERROR(MATCH(U30,Tables!$A$123:$A$138,1),1),ROWS(Tables!$A$123:$A$138)-1))))),IF(P30&lt;8,(INDEX(Tables!$D$123:$D$138,MAX(1,MIN(IFERROR(MATCH(U30,Tables!$C$123:$C$138,1),1),ROWS(Tables!$C$123:$C$138)-1)))+(U30-INDEX(Tables!$C$123:$C$138,MAX(1,MIN(IFERROR(MATCH(U30,Tables!$C$123:$C$138,1),1),ROWS(Tables!$C$123:$C$138)-1))))*(INDEX(Tables!$D$123:$D$138,MAX(1,MIN(IFERROR(MATCH(U30,Tables!$C$123:$C$138,1),1),ROWS(Tables!$C$123:$C$138)-1))+1)-INDEX(Tables!$D$123:$D$138,MAX(1,MIN(IFERROR(MATCH(U30,Tables!$C$123:$C$138,1),1),ROWS(Tables!$C$123:$C$138)-1))))/(INDEX(Tables!$C$123:$C$138,MAX(1,MIN(IFERROR(MATCH(U30,Tables!$C$123:$C$138,1),1),ROWS(Tables!$C$123:$C$138)-1))+1)-INDEX(Tables!$C$123:$C$138,MAX(1,MIN(IFERROR(MATCH(U30,Tables!$C$123:$C$138,1),1),ROWS(Tables!$C$123:$C$138)-1))))),IF(P30&lt;10,(INDEX(Tables!$F$123:$F$138,MAX(1,MIN(IFERROR(MATCH(U30,Tables!$E$123:$E$138,1),1),ROWS(Tables!$E$123:$E$138)-1)))+(U30-INDEX(Tables!$E$123:$E$138,MAX(1,MIN(IFERROR(MATCH(U30,Tables!$E$123:$E$138,1),1),ROWS(Tables!$E$123:$E$138)-1))))*(INDEX(Tables!$F$123:$F$138,MAX(1,MIN(IFERROR(MATCH(U30,Tables!$E$123:$E$138,1),1),ROWS(Tables!$E$123:$E$138)-1))+1)-INDEX(Tables!$F$123:$F$138,MAX(1,MIN(IFERROR(MATCH(U30,Tables!$E$123:$E$138,1),1),ROWS(Tables!$E$123:$E$138)-1))))/(INDEX(Tables!$E$123:$E$138,MAX(1,MIN(IFERROR(MATCH(U30,Tables!$E$123:$E$138,1),1),ROWS(Tables!$E$123:$E$138)-1))+1)-INDEX(Tables!$E$123:$E$138,MAX(1,MIN(IFERROR(MATCH(U30,Tables!$E$123:$E$138,1),1),ROWS(Tables!$E$123:$E$138)-1))))),(INDEX(Tables!$H$123:$H$138,MAX(1,MIN(IFERROR(MATCH(U30,Tables!$G$123:$G$138,1),1),ROWS(Tables!$G$123:$G$138)-1)))+(U30-INDEX(Tables!$G$123:$G$138,MAX(1,MIN(IFERROR(MATCH(U30,Tables!$G$123:$G$138,1),1),ROWS(Tables!$G$123:$G$138)-1))))*(INDEX(Tables!$H$123:$H$138,MAX(1,MIN(IFERROR(MATCH(U30,Tables!$G$123:$G$138,1),1),ROWS(Tables!$G$123:$G$138)-1))+1)-INDEX(Tables!$H$123:$H$138,MAX(1,MIN(IFERROR(MATCH(U30,Tables!$G$123:$G$138,1),1),ROWS(Tables!$G$123:$G$138)-1))))/(INDEX(Tables!$G$123:$G$138,MAX(1,MIN(IFERROR(MATCH(U30,Tables!$G$123:$G$138,1),1),ROWS(Tables!$G$123:$G$138)-1))+1)-INDEX(Tables!$G$123:$G$138,MAX(1,MIN(IFERROR(MATCH(U30,Tables!$G$123:$G$138,1),1),ROWS(Tables!$G$123:$G$138)-1))))))))</f>
        <v>1.4501250000000001</v>
      </c>
      <c r="AR30" s="181">
        <f>IF(OR(P30&gt;=4,U30&gt;12),VLOOKUP(R30&amp;" "&amp;S30,Tables!$D$143:$F$148,2,FALSE),VLOOKUP(R30&amp;" "&amp;S30,Tables!$A$143:$C$148,2,FALSE))</f>
        <v>0.9</v>
      </c>
      <c r="AS30" s="181">
        <f>IF(OR(P30&gt;=4,U30&gt;12),VLOOKUP(R30&amp;" "&amp;S30,Tables!$D$143:$F$148,3,FALSE),VLOOKUP(R30&amp;" "&amp;S30,Tables!$A$143:$C$148,3,FALSE))</f>
        <v>0.65</v>
      </c>
      <c r="AT30" s="181">
        <f t="shared" si="8"/>
        <v>1008.2179746532383</v>
      </c>
      <c r="AU30" s="181">
        <f>IF(AD30=5000,(INDEX(Tables!$B$244:$B$263,MAX(1,MIN(IFERROR(MATCH(AF30,Tables!$A$244:$A$263,1),1),ROWS(Tables!$A$244:$A$263)-1)))+(AF30-INDEX(Tables!$A$244:$A$263,MAX(1,MIN(IFERROR(MATCH(AF30,Tables!$A$244:$A$263,1),1),ROWS(Tables!$A$244:$A$263)-1))))*(INDEX(Tables!$B$244:$B$263,MAX(1,MIN(IFERROR(MATCH(AF30,Tables!$A$244:$A$263,1),1),ROWS(Tables!$A$244:$A$263)-1))+1)-INDEX(Tables!$B$244:$B$263,MAX(1,MIN(IFERROR(MATCH(AF30,Tables!$A$244:$A$263,1),1),ROWS(Tables!$A$244:$A$263)-1))))/(INDEX(Tables!$A$244:$A$263,MAX(1,MIN(IFERROR(MATCH(AF30,Tables!$A$244:$A$263,1),1),ROWS(Tables!$A$244:$A$263)-1))+1)-INDEX(Tables!$A$244:$A$263,MAX(1,MIN(IFERROR(MATCH(AF30,Tables!$A$244:$A$263,1),1),ROWS(Tables!$A$244:$A$263)-1))))),IF(AD30=10000,(INDEX(Tables!$D$244:$D$263,MAX(1,MIN(IFERROR(MATCH(AF30,Tables!$C$244:$C$263,1),1),ROWS(Tables!$C$244:$C$263)-1)))+(AF30-INDEX(Tables!$C$244:$C$263,MAX(1,MIN(IFERROR(MATCH(AF30,Tables!$C$244:$C$263,1),1),ROWS(Tables!$C$244:$C$263)-1))))*(INDEX(Tables!$D$244:$D$263,MAX(1,MIN(IFERROR(MATCH(AF30,Tables!$C$244:$C$263,1),1),ROWS(Tables!$C$244:$C$263)-1))+1)-INDEX(Tables!$D$244:$D$263,MAX(1,MIN(IFERROR(MATCH(AF30,Tables!$C$244:$C$263,1),1),ROWS(Tables!$C$244:$C$263)-1))))/(INDEX(Tables!$C$244:$C$263,MAX(1,MIN(IFERROR(MATCH(AF30,Tables!$C$244:$C$263,1),1),ROWS(Tables!$C$244:$C$263)-1))+1)-INDEX(Tables!$C$244:$C$263,MAX(1,MIN(IFERROR(MATCH(AF30,Tables!$C$244:$C$263,1),1),ROWS(Tables!$C$244:$C$263)-1))))),(INDEX(Tables!$F$244:$F$263,MAX(1,MIN(IFERROR(MATCH(AF30,Tables!$E$244:$E$263,1),1),ROWS(Tables!$E$244:$E$263)-1)))+(AF30-INDEX(Tables!$E$244:$E$263,MAX(1,MIN(IFERROR(MATCH(AF30,Tables!$E$244:$E$263,1),1),ROWS(Tables!$E$244:$E$263)-1))))*(INDEX(Tables!$F$244:$F$263,MAX(1,MIN(IFERROR(MATCH(AF30,Tables!$E$244:$E$263,1),1),ROWS(Tables!$E$244:$E$263)-1))+1)-INDEX(Tables!$F$244:$F$263,MAX(1,MIN(IFERROR(MATCH(AF30,Tables!$E$244:$E$263,1),1),ROWS(Tables!$E$244:$E$263)-1))))/(INDEX(Tables!$E$244:$E$263,MAX(1,MIN(IFERROR(MATCH(AF30,Tables!$E$244:$E$263,1),1),ROWS(Tables!$E$244:$E$263)-1))+1)-INDEX(Tables!$E$244:$E$263,MAX(1,MIN(IFERROR(MATCH(AF30,Tables!$E$244:$E$263,1),1),ROWS(Tables!$E$244:$E$263)-1)))))))</f>
        <v>6.5720452830188671</v>
      </c>
      <c r="AV30" s="181">
        <f>IF(P30&lt;6,(INDEX(Tables!$B$260:$B$274,MAX(1,MIN(IFERROR(MATCH(U30,Tables!$A$260:$A$274,1),1),ROWS(Tables!$A$260:$A$274)-1)))+(U30-INDEX(Tables!$A$260:$A$274,MAX(1,MIN(IFERROR(MATCH(U30,Tables!$A$260:$A$274,1),1),ROWS(Tables!$A$260:$A$274)-1))))*(INDEX(Tables!$B$260:$B$274,MAX(1,MIN(IFERROR(MATCH(U30,Tables!$A$260:$A$274,1),1),ROWS(Tables!$A$260:$A$274)-1))+1)-INDEX(Tables!$B$260:$B$274,MAX(1,MIN(IFERROR(MATCH(U30,Tables!$A$260:$A$274,1),1),ROWS(Tables!$A$260:$A$274)-1))))/(INDEX(Tables!$A$260:$A$274,MAX(1,MIN(IFERROR(MATCH(U30,Tables!$A$260:$A$274,1),1),ROWS(Tables!$A$260:$A$274)-1))+1)-INDEX(Tables!$A$260:$A$274,MAX(1,MIN(IFERROR(MATCH(U30,Tables!$A$260:$A$274,1),1),ROWS(Tables!$A$260:$A$274)-1))))),IF(P30&lt;8,(INDEX(Tables!$D$260:$D$274,MAX(1,MIN(IFERROR(MATCH(U30,Tables!$C$260:$C$274,1),1),ROWS(Tables!$C$260:$C$274)-1)))+(U30-INDEX(Tables!$C$260:$C$274,MAX(1,MIN(IFERROR(MATCH(U30,Tables!$C$260:$C$274,1),1),ROWS(Tables!$C$260:$C$274)-1))))*(INDEX(Tables!$D$260:$D$274,MAX(1,MIN(IFERROR(MATCH(U30,Tables!$C$260:$C$274,1),1),ROWS(Tables!$C$260:$C$274)-1))+1)-INDEX(Tables!$D$260:$D$274,MAX(1,MIN(IFERROR(MATCH(U30,Tables!$C$260:$C$274,1),1),ROWS(Tables!$C$260:$C$274)-1))))/(INDEX(Tables!$C$260:$C$274,MAX(1,MIN(IFERROR(MATCH(U30,Tables!$C$260:$C$274,1),1),ROWS(Tables!$C$260:$C$274)-1))+1)-INDEX(Tables!$C$260:$C$274,MAX(1,MIN(IFERROR(MATCH(U30,Tables!$C$260:$C$274,1),1),ROWS(Tables!$C$260:$C$274)-1))))),IF(P30&lt;10,(INDEX(Tables!$F$260:$F$274,MAX(1,MIN(IFERROR(MATCH(U30,Tables!$E$260:$E$274,1),1),ROWS(Tables!$E$260:$E$274)-1)))+(U30-INDEX(Tables!$E$260:$E$274,MAX(1,MIN(IFERROR(MATCH(U30,Tables!$E$260:$E$274,1),1),ROWS(Tables!$E$260:$E$274)-1))))*(INDEX(Tables!$F$260:$F$274,MAX(1,MIN(IFERROR(MATCH(U30,Tables!$E$260:$E$274,1),1),ROWS(Tables!$E$260:$E$274)-1))+1)-INDEX(Tables!$F$260:$F$274,MAX(1,MIN(IFERROR(MATCH(U30,Tables!$E$260:$E$274,1),1),ROWS(Tables!$E$260:$E$274)-1))))/(INDEX(Tables!$E$260:$E$274,MAX(1,MIN(IFERROR(MATCH(U30,Tables!$E$260:$E$274,1),1),ROWS(Tables!$E$260:$E$274)-1))+1)-INDEX(Tables!$E$260:$E$274,MAX(1,MIN(IFERROR(MATCH(U30,Tables!$E$260:$E$274,1),1),ROWS(Tables!$E$260:$E$274)-1))))),(INDEX(Tables!$H$260:$H$274,MAX(1,MIN(IFERROR(MATCH(U30,Tables!$G$260:$G$274,1),1),ROWS(Tables!$G$260:$G$274)-1)))+(U30-INDEX(Tables!$G$260:$G$274,MAX(1,MIN(IFERROR(MATCH(U30,Tables!$G$260:$G$274,1),1),ROWS(Tables!$G$260:$G$274)-1))))*(INDEX(Tables!$H$260:$H$274,MAX(1,MIN(IFERROR(MATCH(U30,Tables!$G$260:$G$274,1),1),ROWS(Tables!$G$260:$G$274)-1))+1)-INDEX(Tables!$H$260:$H$274,MAX(1,MIN(IFERROR(MATCH(U30,Tables!$G$260:$G$274,1),1),ROWS(Tables!$G$260:$G$274)-1))))/(INDEX(Tables!$G$260:$G$274,MAX(1,MIN(IFERROR(MATCH(U30,Tables!$G$260:$G$274,1),1),ROWS(Tables!$G$260:$G$274)-1))+1)-INDEX(Tables!$G$260:$G$274,MAX(1,MIN(IFERROR(MATCH(U30,Tables!$G$260:$G$274,1),1),ROWS(Tables!$G$260:$G$274)-1))))))))</f>
        <v>1.4965000000000002</v>
      </c>
      <c r="AW30" s="181">
        <f t="shared" si="9"/>
        <v>719.18918414150949</v>
      </c>
      <c r="AX30" s="181">
        <f t="shared" si="10"/>
        <v>0</v>
      </c>
      <c r="AY30" s="181">
        <f t="shared" si="11"/>
        <v>1531.3188632562596</v>
      </c>
      <c r="AZ30" s="181">
        <f t="shared" si="12"/>
        <v>876.11945072241588</v>
      </c>
      <c r="BA30" s="181">
        <f t="shared" si="13"/>
        <v>0</v>
      </c>
      <c r="BB30" s="181">
        <f t="shared" si="14"/>
        <v>1330.7533624010282</v>
      </c>
      <c r="BC30" s="181">
        <f t="shared" si="15"/>
        <v>46800</v>
      </c>
      <c r="BD30" s="181">
        <f>VLOOKUP(V30&amp;" "&amp;J30,Tables!$A$152:$E$239,4,FALSE)</f>
        <v>12000</v>
      </c>
      <c r="BE30" s="181">
        <f>VLOOKUP(V30&amp;" "&amp;J30,Tables!$A$152:$E$239,5,FALSE)</f>
        <v>23000</v>
      </c>
      <c r="BF30" s="181">
        <f t="shared" si="16"/>
        <v>8640</v>
      </c>
      <c r="BG30" s="181">
        <f t="shared" si="17"/>
        <v>16560</v>
      </c>
      <c r="BH30" s="181">
        <f t="shared" si="18"/>
        <v>0</v>
      </c>
      <c r="BI30" s="181">
        <f t="shared" si="19"/>
        <v>46800</v>
      </c>
      <c r="BJ30" s="181">
        <f t="shared" si="20"/>
        <v>1330.7533624010282</v>
      </c>
      <c r="BK30" s="181">
        <f t="shared" si="21"/>
        <v>46800</v>
      </c>
      <c r="BL30" s="181">
        <f t="shared" si="22"/>
        <v>719.18918414150949</v>
      </c>
      <c r="BM30" s="181">
        <f t="shared" si="23"/>
        <v>8640</v>
      </c>
      <c r="BN30" s="181">
        <f t="shared" si="24"/>
        <v>1008.2179746532383</v>
      </c>
      <c r="BO30" s="181">
        <f t="shared" si="25"/>
        <v>16560</v>
      </c>
      <c r="BP30" t="str">
        <f t="shared" si="26"/>
        <v>Pass</v>
      </c>
      <c r="BQ30" t="str">
        <f t="shared" si="27"/>
        <v>Pass</v>
      </c>
      <c r="BR30" t="str">
        <f t="shared" si="28"/>
        <v>Pass</v>
      </c>
      <c r="BS30" t="str">
        <f t="shared" si="29"/>
        <v>Pass</v>
      </c>
      <c r="BT30" t="str">
        <f t="shared" si="30"/>
        <v>Pass</v>
      </c>
      <c r="BU30" t="str">
        <f t="shared" si="31"/>
        <v>Girth Weld Stress</v>
      </c>
    </row>
    <row r="31" spans="1:73">
      <c r="A31" t="s">
        <v>623</v>
      </c>
      <c r="B31" s="181">
        <v>29</v>
      </c>
      <c r="C31" t="s">
        <v>594</v>
      </c>
      <c r="D31" s="181">
        <v>8</v>
      </c>
      <c r="E31" s="181">
        <v>0.14799999999999999</v>
      </c>
      <c r="F31" t="s">
        <v>117</v>
      </c>
      <c r="G31" t="s">
        <v>119</v>
      </c>
      <c r="H31" t="s">
        <v>122</v>
      </c>
      <c r="I31" s="181">
        <v>1</v>
      </c>
      <c r="J31" t="s">
        <v>126</v>
      </c>
      <c r="K31" t="s">
        <v>129</v>
      </c>
      <c r="L31" s="181">
        <v>70</v>
      </c>
      <c r="M31" s="181">
        <v>0</v>
      </c>
      <c r="N31" t="s">
        <v>392</v>
      </c>
      <c r="O31" s="181">
        <v>120</v>
      </c>
      <c r="P31" s="181">
        <v>3</v>
      </c>
      <c r="Q31" s="181">
        <v>10.625</v>
      </c>
      <c r="R31" t="s">
        <v>418</v>
      </c>
      <c r="S31" t="s">
        <v>420</v>
      </c>
      <c r="T31" s="181">
        <v>70</v>
      </c>
      <c r="U31" s="181">
        <f>HLOOKUP(D31,'Highway Loading'!$C$155:$AD$156,2,FALSE)</f>
        <v>8.625</v>
      </c>
      <c r="V31" s="181">
        <f>IF(ISBLANK(G31),"",INDEX('Highway Loading'!$C$216:$AG$216,1,MATCH(G31,'Highway Loading'!$C$215:$AG$215,0)))</f>
        <v>65000</v>
      </c>
      <c r="W31" s="181">
        <f>INDEX('Highway Loading'!$I$245:$L$253,MATCH(H31,'Highway Loading'!$H$245:$H$253,0),MATCH(I31,'Highway Loading'!$I$244:$L$244,0))</f>
        <v>0.72</v>
      </c>
      <c r="X31" s="181">
        <f t="shared" si="0"/>
        <v>1</v>
      </c>
      <c r="Y31" s="181">
        <f>VLOOKUP(K31,'Highway Loading'!$B$283:$E$292,2,FALSE)</f>
        <v>29000000</v>
      </c>
      <c r="Z31" s="181">
        <f>VLOOKUP(K31,'Highway Loading'!$B$283:$E$292,3,FALSE)</f>
        <v>0.3</v>
      </c>
      <c r="AA31" s="181">
        <f>VLOOKUP(K31,'Highway Loading'!$B$283:$E$292,4,FALSE)</f>
        <v>6.4999999999999996E-6</v>
      </c>
      <c r="AB31" s="181">
        <f t="shared" si="1"/>
        <v>1</v>
      </c>
      <c r="AC31" s="181">
        <f>VLOOKUP(N31,'Highway Loading'!$B$256:$D$261,2,FALSE)</f>
        <v>2000</v>
      </c>
      <c r="AD31" s="181">
        <f>VLOOKUP(N31,'Highway Loading'!$B$256:$D$261,3,FALSE)</f>
        <v>20000</v>
      </c>
      <c r="AE31" s="181">
        <f>VLOOKUP(S31,'Highway Loading'!$B$340:$C$341,2,FALSE)</f>
        <v>12000</v>
      </c>
      <c r="AF31" s="181">
        <f t="shared" si="2"/>
        <v>1.7159420289855072E-2</v>
      </c>
      <c r="AG31" s="181">
        <f t="shared" si="3"/>
        <v>3.388235294117647</v>
      </c>
      <c r="AH31" s="181">
        <f t="shared" si="4"/>
        <v>1.2318840579710144</v>
      </c>
      <c r="AI31" s="181">
        <f t="shared" si="5"/>
        <v>0</v>
      </c>
      <c r="AJ31" s="181">
        <f t="shared" si="6"/>
        <v>46800</v>
      </c>
      <c r="AK31" s="181">
        <f>IF(AC31=200,(INDEX(Tables!$B$17:$B$38,MAX(1,MIN(IFERROR(MATCH(AF31,Tables!$A$17:$A$38,1),1),ROWS(Tables!$A$17:$A$38)-1)))+(AF31-INDEX(Tables!$A$17:$A$38,MAX(1,MIN(IFERROR(MATCH(AF31,Tables!$A$17:$A$38,1),1),ROWS(Tables!$A$17:$A$38)-1))))*(INDEX(Tables!$B$17:$B$38,MAX(1,MIN(IFERROR(MATCH(AF31,Tables!$A$17:$A$38,1),1),ROWS(Tables!$A$17:$A$38)-1))+1)-INDEX(Tables!$B$17:$B$38,MAX(1,MIN(IFERROR(MATCH(AF31,Tables!$A$17:$A$38,1),1),ROWS(Tables!$A$17:$A$38)-1))))/(INDEX(Tables!$A$17:$A$38,MAX(1,MIN(IFERROR(MATCH(AF31,Tables!$A$17:$A$38,1),1),ROWS(Tables!$A$17:$A$38)-1))+1)-INDEX(Tables!$A$17:$A$38,MAX(1,MIN(IFERROR(MATCH(AF31,Tables!$A$17:$A$38,1),1),ROWS(Tables!$A$17:$A$38)-1))))),IF(AC31=500,(INDEX(Tables!$D$17:$D$38,MAX(1,MIN(IFERROR(MATCH(AF31,Tables!$C$17:$C$38,1),1),ROWS(Tables!$C$17:$C$38)-1)))+(AF31-INDEX(Tables!$C$17:$C$38,MAX(1,MIN(IFERROR(MATCH(AF31,Tables!$C$17:$C$38,1),1),ROWS(Tables!$C$17:$C$38)-1))))*(INDEX(Tables!$D$17:$D$38,MAX(1,MIN(IFERROR(MATCH(AF31,Tables!$C$17:$C$38,1),1),ROWS(Tables!$C$17:$C$38)-1))+1)-INDEX(Tables!$D$17:$D$38,MAX(1,MIN(IFERROR(MATCH(AF31,Tables!$C$17:$C$38,1),1),ROWS(Tables!$C$17:$C$38)-1))))/(INDEX(Tables!$C$17:$C$38,MAX(1,MIN(IFERROR(MATCH(AF31,Tables!$C$17:$C$38,1),1),ROWS(Tables!$C$17:$C$38)-1))+1)-INDEX(Tables!$C$17:$C$38,MAX(1,MIN(IFERROR(MATCH(AF31,Tables!$C$17:$C$38,1),1),ROWS(Tables!$C$17:$C$38)-1))))),IF(AC31=1000,(INDEX(Tables!$F$17:$F$38,MAX(1,MIN(IFERROR(MATCH(AF31,Tables!$E$17:$E$38,1),1),ROWS(Tables!$E$17:$E$38)-1)))+(AF31-INDEX(Tables!$E$17:$E$38,MAX(1,MIN(IFERROR(MATCH(AF31,Tables!$E$17:$E$38,1),1),ROWS(Tables!$E$17:$E$38)-1))))*(INDEX(Tables!$F$17:$F$38,MAX(1,MIN(IFERROR(MATCH(AF31,Tables!$E$17:$E$38,1),1),ROWS(Tables!$E$17:$E$38)-1))+1)-INDEX(Tables!$F$17:$F$38,MAX(1,MIN(IFERROR(MATCH(AF31,Tables!$E$17:$E$38,1),1),ROWS(Tables!$E$17:$E$38)-1))))/(INDEX(Tables!$E$17:$E$38,MAX(1,MIN(IFERROR(MATCH(AF31,Tables!$E$17:$E$38,1),1),ROWS(Tables!$E$17:$E$38)-1))+1)-INDEX(Tables!$E$17:$E$38,MAX(1,MIN(IFERROR(MATCH(AF31,Tables!$E$17:$E$38,1),1),ROWS(Tables!$E$17:$E$38)-1))))),(INDEX(Tables!$H$17:$H$38,MAX(1,MIN(IFERROR(MATCH(AF31,Tables!$G$17:$G$38,1),1),ROWS(Tables!$G$17:$G$38)-1)))+(AF31-INDEX(Tables!$G$17:$G$38,MAX(1,MIN(IFERROR(MATCH(AF31,Tables!$G$17:$G$38,1),1),ROWS(Tables!$G$17:$G$38)-1))))*(INDEX(Tables!$H$17:$H$38,MAX(1,MIN(IFERROR(MATCH(AF31,Tables!$G$17:$G$38,1),1),ROWS(Tables!$G$17:$G$38)-1))+1)-INDEX(Tables!$H$17:$H$38,MAX(1,MIN(IFERROR(MATCH(AF31,Tables!$G$17:$G$38,1),1),ROWS(Tables!$G$17:$G$38)-1))))/(INDEX(Tables!$G$17:$G$38,MAX(1,MIN(IFERROR(MATCH(AF31,Tables!$G$17:$G$38,1),1),ROWS(Tables!$G$17:$G$38)-1))+1)-INDEX(Tables!$G$17:$G$38,MAX(1,MIN(IFERROR(MATCH(AF31,Tables!$G$17:$G$38,1),1),ROWS(Tables!$G$17:$G$38)-1))))))))</f>
        <v>2180.2840579710146</v>
      </c>
      <c r="AL31" s="181">
        <f>IF(AC31&lt;1000,(INDEX(Tables!$B$43:$B$76,MAX(1,MIN(IFERROR(MATCH(AG31,Tables!$A$43:$A$76,1),1),ROWS(Tables!$A$43:$A$76)-1)))+(AG31-INDEX(Tables!$A$43:$A$76,MAX(1,MIN(IFERROR(MATCH(AG31,Tables!$A$43:$A$76,1),1),ROWS(Tables!$A$43:$A$76)-1))))*(INDEX(Tables!$B$43:$B$76,MAX(1,MIN(IFERROR(MATCH(AG31,Tables!$A$43:$A$76,1),1),ROWS(Tables!$A$43:$A$76)-1))+1)-INDEX(Tables!$B$43:$B$76,MAX(1,MIN(IFERROR(MATCH(AG31,Tables!$A$43:$A$76,1),1),ROWS(Tables!$A$43:$A$76)-1))))/(INDEX(Tables!$A$43:$A$76,MAX(1,MIN(IFERROR(MATCH(AG31,Tables!$A$43:$A$76,1),1),ROWS(Tables!$A$43:$A$76)-1))+1)-INDEX(Tables!$A$43:$A$76,MAX(1,MIN(IFERROR(MATCH(AG31,Tables!$A$43:$A$76,1),1),ROWS(Tables!$A$43:$A$76)-1))))),(INDEX(Tables!$D$43:$D$76,MAX(1,MIN(IFERROR(MATCH(AG31,Tables!$C$43:$C$76,1),1),ROWS(Tables!$C$43:$C$76)-1)))+(AG31-INDEX(Tables!$C$43:$C$76,MAX(1,MIN(IFERROR(MATCH(AG31,Tables!$C$43:$C$76,1),1),ROWS(Tables!$C$43:$C$76)-1))))*(INDEX(Tables!$D$43:$D$76,MAX(1,MIN(IFERROR(MATCH(AG31,Tables!$C$43:$C$76,1),1),ROWS(Tables!$C$43:$C$76)-1))+1)-INDEX(Tables!$D$43:$D$76,MAX(1,MIN(IFERROR(MATCH(AG31,Tables!$C$43:$C$76,1),1),ROWS(Tables!$C$43:$C$76)-1))))/(INDEX(Tables!$C$43:$C$76,MAX(1,MIN(IFERROR(MATCH(AG31,Tables!$C$43:$C$76,1),1),ROWS(Tables!$C$43:$C$76)-1))+1)-INDEX(Tables!$C$43:$C$76,MAX(1,MIN(IFERROR(MATCH(AG31,Tables!$C$43:$C$76,1),1),ROWS(Tables!$C$43:$C$76)-1))))))</f>
        <v>0.82142352941176466</v>
      </c>
      <c r="AM31" s="181">
        <f>(INDEX(Tables!$B$80:$B$87,MAX(1,MIN(IFERROR(MATCH(AH31,Tables!$A$80:$A$87,1),1),ROWS(Tables!$A$80:$A$87)-1)))+(AH31-INDEX(Tables!$A$80:$A$87,MAX(1,MIN(IFERROR(MATCH(AH31,Tables!$A$80:$A$87,1),1),ROWS(Tables!$A$80:$A$87)-1))))*(INDEX(Tables!$B$80:$B$87,MAX(1,MIN(IFERROR(MATCH(AH31,Tables!$A$80:$A$87,1),1),ROWS(Tables!$A$80:$A$87)-1))+1)-INDEX(Tables!$B$80:$B$87,MAX(1,MIN(IFERROR(MATCH(AH31,Tables!$A$80:$A$87,1),1),ROWS(Tables!$A$80:$A$87)-1))))/(INDEX(Tables!$A$80:$A$87,MAX(1,MIN(IFERROR(MATCH(AH31,Tables!$A$80:$A$87,1),1),ROWS(Tables!$A$80:$A$87)-1))+1)-INDEX(Tables!$A$80:$A$87,MAX(1,MIN(IFERROR(MATCH(AH31,Tables!$A$80:$A$87,1),1),ROWS(Tables!$A$80:$A$87)-1)))))</f>
        <v>1.2567086956521738</v>
      </c>
      <c r="AN31" s="181">
        <f t="shared" si="7"/>
        <v>1348.0669145685913</v>
      </c>
      <c r="AO31" s="181">
        <f>(INDEX(Tables!$B$91:$B$94,MAX(1,MIN(IFERROR(MATCH(P31,Tables!$A$91:$A$94,1),1),ROWS(Tables!$A$91:$A$94)-1)))+(P31-INDEX(Tables!$A$91:$A$94,MAX(1,MIN(IFERROR(MATCH(P31,Tables!$A$91:$A$94,1),1),ROWS(Tables!$A$91:$A$94)-1))))*(INDEX(Tables!$B$91:$B$94,MAX(1,MIN(IFERROR(MATCH(P31,Tables!$A$91:$A$94,1),1),ROWS(Tables!$A$91:$A$94)-1))+1)-INDEX(Tables!$B$91:$B$94,MAX(1,MIN(IFERROR(MATCH(P31,Tables!$A$91:$A$94,1),1),ROWS(Tables!$A$91:$A$94)-1))))/(INDEX(Tables!$A$91:$A$94,MAX(1,MIN(IFERROR(MATCH(P31,Tables!$A$91:$A$94,1),1),ROWS(Tables!$A$91:$A$94)-1))+1)-INDEX(Tables!$A$91:$A$94,MAX(1,MIN(IFERROR(MATCH(P31,Tables!$A$91:$A$94,1),1),ROWS(Tables!$A$91:$A$94)-1)))))</f>
        <v>1.5</v>
      </c>
      <c r="AP31" s="181">
        <f>IF(AD31=5000,(INDEX(Tables!$B$99:$B$118,MAX(1,MIN(IFERROR(MATCH(AF31,Tables!$A$99:$A$118,1),1),ROWS(Tables!$A$99:$A$118)-1)))+(AF31-INDEX(Tables!$A$99:$A$118,MAX(1,MIN(IFERROR(MATCH(AF31,Tables!$A$99:$A$118,1),1),ROWS(Tables!$A$99:$A$118)-1))))*(INDEX(Tables!$B$99:$B$118,MAX(1,MIN(IFERROR(MATCH(AF31,Tables!$A$99:$A$118,1),1),ROWS(Tables!$A$99:$A$118)-1))+1)-INDEX(Tables!$B$99:$B$118,MAX(1,MIN(IFERROR(MATCH(AF31,Tables!$A$99:$A$118,1),1),ROWS(Tables!$A$99:$A$118)-1))))/(INDEX(Tables!$A$99:$A$118,MAX(1,MIN(IFERROR(MATCH(AF31,Tables!$A$99:$A$118,1),1),ROWS(Tables!$A$99:$A$118)-1))+1)-INDEX(Tables!$A$99:$A$118,MAX(1,MIN(IFERROR(MATCH(AF31,Tables!$A$99:$A$118,1),1),ROWS(Tables!$A$99:$A$118)-1))))),IF(AD31=10000,(INDEX(Tables!$D$99:$D$118,MAX(1,MIN(IFERROR(MATCH(AF31,Tables!$C$99:$C$118,1),1),ROWS(Tables!$C$99:$C$118)-1)))+(AF31-INDEX(Tables!$C$99:$C$118,MAX(1,MIN(IFERROR(MATCH(AF31,Tables!$C$99:$C$118,1),1),ROWS(Tables!$C$99:$C$118)-1))))*(INDEX(Tables!$D$99:$D$118,MAX(1,MIN(IFERROR(MATCH(AF31,Tables!$C$99:$C$118,1),1),ROWS(Tables!$C$99:$C$118)-1))+1)-INDEX(Tables!$D$99:$D$118,MAX(1,MIN(IFERROR(MATCH(AF31,Tables!$C$99:$C$118,1),1),ROWS(Tables!$C$99:$C$118)-1))))/(INDEX(Tables!$C$99:$C$118,MAX(1,MIN(IFERROR(MATCH(AF31,Tables!$C$99:$C$118,1),1),ROWS(Tables!$C$99:$C$118)-1))+1)-INDEX(Tables!$C$99:$C$118,MAX(1,MIN(IFERROR(MATCH(AF31,Tables!$C$99:$C$118,1),1),ROWS(Tables!$C$99:$C$118)-1))))),(INDEX(Tables!$F$99:$F$118,MAX(1,MIN(IFERROR(MATCH(AF31,Tables!$E$99:$E$118,1),1),ROWS(Tables!$E$99:$E$118)-1)))+(AF31-INDEX(Tables!$E$99:$E$118,MAX(1,MIN(IFERROR(MATCH(AF31,Tables!$E$99:$E$118,1),1),ROWS(Tables!$E$99:$E$118)-1))))*(INDEX(Tables!$F$99:$F$118,MAX(1,MIN(IFERROR(MATCH(AF31,Tables!$E$99:$E$118,1),1),ROWS(Tables!$E$99:$E$118)-1))+1)-INDEX(Tables!$F$99:$F$118,MAX(1,MIN(IFERROR(MATCH(AF31,Tables!$E$99:$E$118,1),1),ROWS(Tables!$E$99:$E$118)-1))))/(INDEX(Tables!$E$99:$E$118,MAX(1,MIN(IFERROR(MATCH(AF31,Tables!$E$99:$E$118,1),1),ROWS(Tables!$E$99:$E$118)-1))+1)-INDEX(Tables!$E$99:$E$118,MAX(1,MIN(IFERROR(MATCH(AF31,Tables!$E$99:$E$118,1),1),ROWS(Tables!$E$99:$E$118)-1)))))))</f>
        <v>9.368524360160345</v>
      </c>
      <c r="AQ31" s="181">
        <f>IF(P31&lt;6,(INDEX(Tables!$B$123:$B$138,MAX(1,MIN(IFERROR(MATCH(U31,Tables!$A$123:$A$138,1),1),ROWS(Tables!$A$123:$A$138)-1)))+(U31-INDEX(Tables!$A$123:$A$138,MAX(1,MIN(IFERROR(MATCH(U31,Tables!$A$123:$A$138,1),1),ROWS(Tables!$A$123:$A$138)-1))))*(INDEX(Tables!$B$123:$B$138,MAX(1,MIN(IFERROR(MATCH(U31,Tables!$A$123:$A$138,1),1),ROWS(Tables!$A$123:$A$138)-1))+1)-INDEX(Tables!$B$123:$B$138,MAX(1,MIN(IFERROR(MATCH(U31,Tables!$A$123:$A$138,1),1),ROWS(Tables!$A$123:$A$138)-1))))/(INDEX(Tables!$A$123:$A$138,MAX(1,MIN(IFERROR(MATCH(U31,Tables!$A$123:$A$138,1),1),ROWS(Tables!$A$123:$A$138)-1))+1)-INDEX(Tables!$A$123:$A$138,MAX(1,MIN(IFERROR(MATCH(U31,Tables!$A$123:$A$138,1),1),ROWS(Tables!$A$123:$A$138)-1))))),IF(P31&lt;8,(INDEX(Tables!$D$123:$D$138,MAX(1,MIN(IFERROR(MATCH(U31,Tables!$C$123:$C$138,1),1),ROWS(Tables!$C$123:$C$138)-1)))+(U31-INDEX(Tables!$C$123:$C$138,MAX(1,MIN(IFERROR(MATCH(U31,Tables!$C$123:$C$138,1),1),ROWS(Tables!$C$123:$C$138)-1))))*(INDEX(Tables!$D$123:$D$138,MAX(1,MIN(IFERROR(MATCH(U31,Tables!$C$123:$C$138,1),1),ROWS(Tables!$C$123:$C$138)-1))+1)-INDEX(Tables!$D$123:$D$138,MAX(1,MIN(IFERROR(MATCH(U31,Tables!$C$123:$C$138,1),1),ROWS(Tables!$C$123:$C$138)-1))))/(INDEX(Tables!$C$123:$C$138,MAX(1,MIN(IFERROR(MATCH(U31,Tables!$C$123:$C$138,1),1),ROWS(Tables!$C$123:$C$138)-1))+1)-INDEX(Tables!$C$123:$C$138,MAX(1,MIN(IFERROR(MATCH(U31,Tables!$C$123:$C$138,1),1),ROWS(Tables!$C$123:$C$138)-1))))),IF(P31&lt;10,(INDEX(Tables!$F$123:$F$138,MAX(1,MIN(IFERROR(MATCH(U31,Tables!$E$123:$E$138,1),1),ROWS(Tables!$E$123:$E$138)-1)))+(U31-INDEX(Tables!$E$123:$E$138,MAX(1,MIN(IFERROR(MATCH(U31,Tables!$E$123:$E$138,1),1),ROWS(Tables!$E$123:$E$138)-1))))*(INDEX(Tables!$F$123:$F$138,MAX(1,MIN(IFERROR(MATCH(U31,Tables!$E$123:$E$138,1),1),ROWS(Tables!$E$123:$E$138)-1))+1)-INDEX(Tables!$F$123:$F$138,MAX(1,MIN(IFERROR(MATCH(U31,Tables!$E$123:$E$138,1),1),ROWS(Tables!$E$123:$E$138)-1))))/(INDEX(Tables!$E$123:$E$138,MAX(1,MIN(IFERROR(MATCH(U31,Tables!$E$123:$E$138,1),1),ROWS(Tables!$E$123:$E$138)-1))+1)-INDEX(Tables!$E$123:$E$138,MAX(1,MIN(IFERROR(MATCH(U31,Tables!$E$123:$E$138,1),1),ROWS(Tables!$E$123:$E$138)-1))))),(INDEX(Tables!$H$123:$H$138,MAX(1,MIN(IFERROR(MATCH(U31,Tables!$G$123:$G$138,1),1),ROWS(Tables!$G$123:$G$138)-1)))+(U31-INDEX(Tables!$G$123:$G$138,MAX(1,MIN(IFERROR(MATCH(U31,Tables!$G$123:$G$138,1),1),ROWS(Tables!$G$123:$G$138)-1))))*(INDEX(Tables!$H$123:$H$138,MAX(1,MIN(IFERROR(MATCH(U31,Tables!$G$123:$G$138,1),1),ROWS(Tables!$G$123:$G$138)-1))+1)-INDEX(Tables!$H$123:$H$138,MAX(1,MIN(IFERROR(MATCH(U31,Tables!$G$123:$G$138,1),1),ROWS(Tables!$G$123:$G$138)-1))))/(INDEX(Tables!$G$123:$G$138,MAX(1,MIN(IFERROR(MATCH(U31,Tables!$G$123:$G$138,1),1),ROWS(Tables!$G$123:$G$138)-1))+1)-INDEX(Tables!$G$123:$G$138,MAX(1,MIN(IFERROR(MATCH(U31,Tables!$G$123:$G$138,1),1),ROWS(Tables!$G$123:$G$138)-1))))))))</f>
        <v>1.389875</v>
      </c>
      <c r="AR31" s="181">
        <f>IF(OR(P31&gt;=4,U31&gt;12),VLOOKUP(R31&amp;" "&amp;S31,Tables!$D$143:$F$148,2,FALSE),VLOOKUP(R31&amp;" "&amp;S31,Tables!$A$143:$C$148,2,FALSE))</f>
        <v>0.9</v>
      </c>
      <c r="AS31" s="181">
        <f>IF(OR(P31&gt;=4,U31&gt;12),VLOOKUP(R31&amp;" "&amp;S31,Tables!$D$143:$F$148,3,FALSE),VLOOKUP(R31&amp;" "&amp;S31,Tables!$A$143:$C$148,3,FALSE))</f>
        <v>0.65</v>
      </c>
      <c r="AT31" s="181">
        <f t="shared" si="8"/>
        <v>952.16631376506848</v>
      </c>
      <c r="AU31" s="181">
        <f>IF(AD31=5000,(INDEX(Tables!$B$244:$B$263,MAX(1,MIN(IFERROR(MATCH(AF31,Tables!$A$244:$A$263,1),1),ROWS(Tables!$A$244:$A$263)-1)))+(AF31-INDEX(Tables!$A$244:$A$263,MAX(1,MIN(IFERROR(MATCH(AF31,Tables!$A$244:$A$263,1),1),ROWS(Tables!$A$244:$A$263)-1))))*(INDEX(Tables!$B$244:$B$263,MAX(1,MIN(IFERROR(MATCH(AF31,Tables!$A$244:$A$263,1),1),ROWS(Tables!$A$244:$A$263)-1))+1)-INDEX(Tables!$B$244:$B$263,MAX(1,MIN(IFERROR(MATCH(AF31,Tables!$A$244:$A$263,1),1),ROWS(Tables!$A$244:$A$263)-1))))/(INDEX(Tables!$A$244:$A$263,MAX(1,MIN(IFERROR(MATCH(AF31,Tables!$A$244:$A$263,1),1),ROWS(Tables!$A$244:$A$263)-1))+1)-INDEX(Tables!$A$244:$A$263,MAX(1,MIN(IFERROR(MATCH(AF31,Tables!$A$244:$A$263,1),1),ROWS(Tables!$A$244:$A$263)-1))))),IF(AD31=10000,(INDEX(Tables!$D$244:$D$263,MAX(1,MIN(IFERROR(MATCH(AF31,Tables!$C$244:$C$263,1),1),ROWS(Tables!$C$244:$C$263)-1)))+(AF31-INDEX(Tables!$C$244:$C$263,MAX(1,MIN(IFERROR(MATCH(AF31,Tables!$C$244:$C$263,1),1),ROWS(Tables!$C$244:$C$263)-1))))*(INDEX(Tables!$D$244:$D$263,MAX(1,MIN(IFERROR(MATCH(AF31,Tables!$C$244:$C$263,1),1),ROWS(Tables!$C$244:$C$263)-1))+1)-INDEX(Tables!$D$244:$D$263,MAX(1,MIN(IFERROR(MATCH(AF31,Tables!$C$244:$C$263,1),1),ROWS(Tables!$C$244:$C$263)-1))))/(INDEX(Tables!$C$244:$C$263,MAX(1,MIN(IFERROR(MATCH(AF31,Tables!$C$244:$C$263,1),1),ROWS(Tables!$C$244:$C$263)-1))+1)-INDEX(Tables!$C$244:$C$263,MAX(1,MIN(IFERROR(MATCH(AF31,Tables!$C$244:$C$263,1),1),ROWS(Tables!$C$244:$C$263)-1))))),(INDEX(Tables!$F$244:$F$263,MAX(1,MIN(IFERROR(MATCH(AF31,Tables!$E$244:$E$263,1),1),ROWS(Tables!$E$244:$E$263)-1)))+(AF31-INDEX(Tables!$E$244:$E$263,MAX(1,MIN(IFERROR(MATCH(AF31,Tables!$E$244:$E$263,1),1),ROWS(Tables!$E$244:$E$263)-1))))*(INDEX(Tables!$F$244:$F$263,MAX(1,MIN(IFERROR(MATCH(AF31,Tables!$E$244:$E$263,1),1),ROWS(Tables!$E$244:$E$263)-1))+1)-INDEX(Tables!$F$244:$F$263,MAX(1,MIN(IFERROR(MATCH(AF31,Tables!$E$244:$E$263,1),1),ROWS(Tables!$E$244:$E$263)-1))))/(INDEX(Tables!$E$244:$E$263,MAX(1,MIN(IFERROR(MATCH(AF31,Tables!$E$244:$E$263,1),1),ROWS(Tables!$E$244:$E$263)-1))+1)-INDEX(Tables!$E$244:$E$263,MAX(1,MIN(IFERROR(MATCH(AF31,Tables!$E$244:$E$263,1),1),ROWS(Tables!$E$244:$E$263)-1)))))))</f>
        <v>6.5839999999999996</v>
      </c>
      <c r="AV31" s="181">
        <f>IF(P31&lt;6,(INDEX(Tables!$B$260:$B$274,MAX(1,MIN(IFERROR(MATCH(U31,Tables!$A$260:$A$274,1),1),ROWS(Tables!$A$260:$A$274)-1)))+(U31-INDEX(Tables!$A$260:$A$274,MAX(1,MIN(IFERROR(MATCH(U31,Tables!$A$260:$A$274,1),1),ROWS(Tables!$A$260:$A$274)-1))))*(INDEX(Tables!$B$260:$B$274,MAX(1,MIN(IFERROR(MATCH(U31,Tables!$A$260:$A$274,1),1),ROWS(Tables!$A$260:$A$274)-1))+1)-INDEX(Tables!$B$260:$B$274,MAX(1,MIN(IFERROR(MATCH(U31,Tables!$A$260:$A$274,1),1),ROWS(Tables!$A$260:$A$274)-1))))/(INDEX(Tables!$A$260:$A$274,MAX(1,MIN(IFERROR(MATCH(U31,Tables!$A$260:$A$274,1),1),ROWS(Tables!$A$260:$A$274)-1))+1)-INDEX(Tables!$A$260:$A$274,MAX(1,MIN(IFERROR(MATCH(U31,Tables!$A$260:$A$274,1),1),ROWS(Tables!$A$260:$A$274)-1))))),IF(P31&lt;8,(INDEX(Tables!$D$260:$D$274,MAX(1,MIN(IFERROR(MATCH(U31,Tables!$C$260:$C$274,1),1),ROWS(Tables!$C$260:$C$274)-1)))+(U31-INDEX(Tables!$C$260:$C$274,MAX(1,MIN(IFERROR(MATCH(U31,Tables!$C$260:$C$274,1),1),ROWS(Tables!$C$260:$C$274)-1))))*(INDEX(Tables!$D$260:$D$274,MAX(1,MIN(IFERROR(MATCH(U31,Tables!$C$260:$C$274,1),1),ROWS(Tables!$C$260:$C$274)-1))+1)-INDEX(Tables!$D$260:$D$274,MAX(1,MIN(IFERROR(MATCH(U31,Tables!$C$260:$C$274,1),1),ROWS(Tables!$C$260:$C$274)-1))))/(INDEX(Tables!$C$260:$C$274,MAX(1,MIN(IFERROR(MATCH(U31,Tables!$C$260:$C$274,1),1),ROWS(Tables!$C$260:$C$274)-1))+1)-INDEX(Tables!$C$260:$C$274,MAX(1,MIN(IFERROR(MATCH(U31,Tables!$C$260:$C$274,1),1),ROWS(Tables!$C$260:$C$274)-1))))),IF(P31&lt;10,(INDEX(Tables!$F$260:$F$274,MAX(1,MIN(IFERROR(MATCH(U31,Tables!$E$260:$E$274,1),1),ROWS(Tables!$E$260:$E$274)-1)))+(U31-INDEX(Tables!$E$260:$E$274,MAX(1,MIN(IFERROR(MATCH(U31,Tables!$E$260:$E$274,1),1),ROWS(Tables!$E$260:$E$274)-1))))*(INDEX(Tables!$F$260:$F$274,MAX(1,MIN(IFERROR(MATCH(U31,Tables!$E$260:$E$274,1),1),ROWS(Tables!$E$260:$E$274)-1))+1)-INDEX(Tables!$F$260:$F$274,MAX(1,MIN(IFERROR(MATCH(U31,Tables!$E$260:$E$274,1),1),ROWS(Tables!$E$260:$E$274)-1))))/(INDEX(Tables!$E$260:$E$274,MAX(1,MIN(IFERROR(MATCH(U31,Tables!$E$260:$E$274,1),1),ROWS(Tables!$E$260:$E$274)-1))+1)-INDEX(Tables!$E$260:$E$274,MAX(1,MIN(IFERROR(MATCH(U31,Tables!$E$260:$E$274,1),1),ROWS(Tables!$E$260:$E$274)-1))))),(INDEX(Tables!$H$260:$H$274,MAX(1,MIN(IFERROR(MATCH(U31,Tables!$G$260:$G$274,1),1),ROWS(Tables!$G$260:$G$274)-1)))+(U31-INDEX(Tables!$G$260:$G$274,MAX(1,MIN(IFERROR(MATCH(U31,Tables!$G$260:$G$274,1),1),ROWS(Tables!$G$260:$G$274)-1))))*(INDEX(Tables!$H$260:$H$274,MAX(1,MIN(IFERROR(MATCH(U31,Tables!$G$260:$G$274,1),1),ROWS(Tables!$G$260:$G$274)-1))+1)-INDEX(Tables!$H$260:$H$274,MAX(1,MIN(IFERROR(MATCH(U31,Tables!$G$260:$G$274,1),1),ROWS(Tables!$G$260:$G$274)-1))))/(INDEX(Tables!$G$260:$G$274,MAX(1,MIN(IFERROR(MATCH(U31,Tables!$G$260:$G$274,1),1),ROWS(Tables!$G$260:$G$274)-1))+1)-INDEX(Tables!$G$260:$G$274,MAX(1,MIN(IFERROR(MATCH(U31,Tables!$G$260:$G$274,1),1),ROWS(Tables!$G$260:$G$274)-1))))))))</f>
        <v>1.3123750000000001</v>
      </c>
      <c r="AW31" s="181">
        <f t="shared" si="9"/>
        <v>631.84950562500012</v>
      </c>
      <c r="AX31" s="181">
        <f t="shared" si="10"/>
        <v>0</v>
      </c>
      <c r="AY31" s="181">
        <f t="shared" si="11"/>
        <v>2300.23322833366</v>
      </c>
      <c r="AZ31" s="181">
        <f t="shared" si="12"/>
        <v>1036.2695799955775</v>
      </c>
      <c r="BA31" s="181">
        <f t="shared" si="13"/>
        <v>0</v>
      </c>
      <c r="BB31" s="181">
        <f t="shared" si="14"/>
        <v>1995.3109596594986</v>
      </c>
      <c r="BC31" s="181">
        <f t="shared" si="15"/>
        <v>46800</v>
      </c>
      <c r="BD31" s="181">
        <f>VLOOKUP(V31&amp;" "&amp;J31,Tables!$A$152:$E$239,4,FALSE)</f>
        <v>12000</v>
      </c>
      <c r="BE31" s="181">
        <f>VLOOKUP(V31&amp;" "&amp;J31,Tables!$A$152:$E$239,5,FALSE)</f>
        <v>23000</v>
      </c>
      <c r="BF31" s="181">
        <f t="shared" si="16"/>
        <v>8640</v>
      </c>
      <c r="BG31" s="181">
        <f t="shared" si="17"/>
        <v>16560</v>
      </c>
      <c r="BH31" s="181">
        <f t="shared" si="18"/>
        <v>0</v>
      </c>
      <c r="BI31" s="181">
        <f t="shared" si="19"/>
        <v>46800</v>
      </c>
      <c r="BJ31" s="181">
        <f t="shared" si="20"/>
        <v>1995.3109596594986</v>
      </c>
      <c r="BK31" s="181">
        <f t="shared" si="21"/>
        <v>46800</v>
      </c>
      <c r="BL31" s="181">
        <f t="shared" si="22"/>
        <v>631.84950562500012</v>
      </c>
      <c r="BM31" s="181">
        <f t="shared" si="23"/>
        <v>8640</v>
      </c>
      <c r="BN31" s="181">
        <f t="shared" si="24"/>
        <v>952.16631376506848</v>
      </c>
      <c r="BO31" s="181">
        <f t="shared" si="25"/>
        <v>16560</v>
      </c>
      <c r="BP31" t="str">
        <f t="shared" si="26"/>
        <v>Pass</v>
      </c>
      <c r="BQ31" t="str">
        <f t="shared" si="27"/>
        <v>Pass</v>
      </c>
      <c r="BR31" t="str">
        <f t="shared" si="28"/>
        <v>Pass</v>
      </c>
      <c r="BS31" t="str">
        <f t="shared" si="29"/>
        <v>Pass</v>
      </c>
      <c r="BT31" t="str">
        <f t="shared" si="30"/>
        <v>Pass</v>
      </c>
      <c r="BU31" t="str">
        <f t="shared" si="31"/>
        <v>Girth Weld Stress</v>
      </c>
    </row>
    <row r="32" spans="1:73">
      <c r="A32" t="s">
        <v>624</v>
      </c>
      <c r="B32" s="181">
        <v>30</v>
      </c>
      <c r="C32" t="s">
        <v>594</v>
      </c>
      <c r="D32" s="181">
        <v>12</v>
      </c>
      <c r="E32" s="181">
        <v>0.18</v>
      </c>
      <c r="F32" t="s">
        <v>117</v>
      </c>
      <c r="G32" t="s">
        <v>119</v>
      </c>
      <c r="H32" t="s">
        <v>122</v>
      </c>
      <c r="I32" s="181">
        <v>1</v>
      </c>
      <c r="J32" t="s">
        <v>126</v>
      </c>
      <c r="K32" t="s">
        <v>129</v>
      </c>
      <c r="L32" s="181">
        <v>70</v>
      </c>
      <c r="M32" s="181">
        <v>100</v>
      </c>
      <c r="N32" t="s">
        <v>388</v>
      </c>
      <c r="O32" s="181">
        <v>120</v>
      </c>
      <c r="P32" s="181">
        <v>6</v>
      </c>
      <c r="Q32" s="181">
        <v>14.75</v>
      </c>
      <c r="R32" t="s">
        <v>418</v>
      </c>
      <c r="S32" t="s">
        <v>420</v>
      </c>
      <c r="T32" s="181">
        <v>70</v>
      </c>
      <c r="U32" s="181">
        <f>HLOOKUP(D32,'Highway Loading'!$C$155:$AD$156,2,FALSE)</f>
        <v>12.75</v>
      </c>
      <c r="V32" s="181">
        <f>IF(ISBLANK(G32),"",INDEX('Highway Loading'!$C$216:$AG$216,1,MATCH(G32,'Highway Loading'!$C$215:$AG$215,0)))</f>
        <v>65000</v>
      </c>
      <c r="W32" s="181">
        <f>INDEX('Highway Loading'!$I$245:$L$253,MATCH(H32,'Highway Loading'!$H$245:$H$253,0),MATCH(I32,'Highway Loading'!$I$244:$L$244,0))</f>
        <v>0.72</v>
      </c>
      <c r="X32" s="181">
        <f t="shared" si="0"/>
        <v>1</v>
      </c>
      <c r="Y32" s="181">
        <f>VLOOKUP(K32,'Highway Loading'!$B$283:$E$292,2,FALSE)</f>
        <v>29000000</v>
      </c>
      <c r="Z32" s="181">
        <f>VLOOKUP(K32,'Highway Loading'!$B$283:$E$292,3,FALSE)</f>
        <v>0.3</v>
      </c>
      <c r="AA32" s="181">
        <f>VLOOKUP(K32,'Highway Loading'!$B$283:$E$292,4,FALSE)</f>
        <v>6.4999999999999996E-6</v>
      </c>
      <c r="AB32" s="181">
        <f t="shared" si="1"/>
        <v>1</v>
      </c>
      <c r="AC32" s="181">
        <f>VLOOKUP(N32,'Highway Loading'!$B$256:$D$261,2,FALSE)</f>
        <v>200</v>
      </c>
      <c r="AD32" s="181">
        <f>VLOOKUP(N32,'Highway Loading'!$B$256:$D$261,3,FALSE)</f>
        <v>5000</v>
      </c>
      <c r="AE32" s="181">
        <f>VLOOKUP(S32,'Highway Loading'!$B$340:$C$341,2,FALSE)</f>
        <v>12000</v>
      </c>
      <c r="AF32" s="181">
        <f t="shared" si="2"/>
        <v>1.4117647058823528E-2</v>
      </c>
      <c r="AG32" s="181">
        <f t="shared" si="3"/>
        <v>4.8813559322033901</v>
      </c>
      <c r="AH32" s="181">
        <f t="shared" si="4"/>
        <v>1.1568627450980393</v>
      </c>
      <c r="AI32" s="181">
        <f t="shared" si="5"/>
        <v>3541.666666666667</v>
      </c>
      <c r="AJ32" s="181">
        <f t="shared" si="6"/>
        <v>46800</v>
      </c>
      <c r="AK32" s="181">
        <f>IF(AC32=200,(INDEX(Tables!$B$17:$B$38,MAX(1,MIN(IFERROR(MATCH(AF32,Tables!$A$17:$A$38,1),1),ROWS(Tables!$A$17:$A$38)-1)))+(AF32-INDEX(Tables!$A$17:$A$38,MAX(1,MIN(IFERROR(MATCH(AF32,Tables!$A$17:$A$38,1),1),ROWS(Tables!$A$17:$A$38)-1))))*(INDEX(Tables!$B$17:$B$38,MAX(1,MIN(IFERROR(MATCH(AF32,Tables!$A$17:$A$38,1),1),ROWS(Tables!$A$17:$A$38)-1))+1)-INDEX(Tables!$B$17:$B$38,MAX(1,MIN(IFERROR(MATCH(AF32,Tables!$A$17:$A$38,1),1),ROWS(Tables!$A$17:$A$38)-1))))/(INDEX(Tables!$A$17:$A$38,MAX(1,MIN(IFERROR(MATCH(AF32,Tables!$A$17:$A$38,1),1),ROWS(Tables!$A$17:$A$38)-1))+1)-INDEX(Tables!$A$17:$A$38,MAX(1,MIN(IFERROR(MATCH(AF32,Tables!$A$17:$A$38,1),1),ROWS(Tables!$A$17:$A$38)-1))))),IF(AC32=500,(INDEX(Tables!$D$17:$D$38,MAX(1,MIN(IFERROR(MATCH(AF32,Tables!$C$17:$C$38,1),1),ROWS(Tables!$C$17:$C$38)-1)))+(AF32-INDEX(Tables!$C$17:$C$38,MAX(1,MIN(IFERROR(MATCH(AF32,Tables!$C$17:$C$38,1),1),ROWS(Tables!$C$17:$C$38)-1))))*(INDEX(Tables!$D$17:$D$38,MAX(1,MIN(IFERROR(MATCH(AF32,Tables!$C$17:$C$38,1),1),ROWS(Tables!$C$17:$C$38)-1))+1)-INDEX(Tables!$D$17:$D$38,MAX(1,MIN(IFERROR(MATCH(AF32,Tables!$C$17:$C$38,1),1),ROWS(Tables!$C$17:$C$38)-1))))/(INDEX(Tables!$C$17:$C$38,MAX(1,MIN(IFERROR(MATCH(AF32,Tables!$C$17:$C$38,1),1),ROWS(Tables!$C$17:$C$38)-1))+1)-INDEX(Tables!$C$17:$C$38,MAX(1,MIN(IFERROR(MATCH(AF32,Tables!$C$17:$C$38,1),1),ROWS(Tables!$C$17:$C$38)-1))))),IF(AC32=1000,(INDEX(Tables!$F$17:$F$38,MAX(1,MIN(IFERROR(MATCH(AF32,Tables!$E$17:$E$38,1),1),ROWS(Tables!$E$17:$E$38)-1)))+(AF32-INDEX(Tables!$E$17:$E$38,MAX(1,MIN(IFERROR(MATCH(AF32,Tables!$E$17:$E$38,1),1),ROWS(Tables!$E$17:$E$38)-1))))*(INDEX(Tables!$F$17:$F$38,MAX(1,MIN(IFERROR(MATCH(AF32,Tables!$E$17:$E$38,1),1),ROWS(Tables!$E$17:$E$38)-1))+1)-INDEX(Tables!$F$17:$F$38,MAX(1,MIN(IFERROR(MATCH(AF32,Tables!$E$17:$E$38,1),1),ROWS(Tables!$E$17:$E$38)-1))))/(INDEX(Tables!$E$17:$E$38,MAX(1,MIN(IFERROR(MATCH(AF32,Tables!$E$17:$E$38,1),1),ROWS(Tables!$E$17:$E$38)-1))+1)-INDEX(Tables!$E$17:$E$38,MAX(1,MIN(IFERROR(MATCH(AF32,Tables!$E$17:$E$38,1),1),ROWS(Tables!$E$17:$E$38)-1))))),(INDEX(Tables!$H$17:$H$38,MAX(1,MIN(IFERROR(MATCH(AF32,Tables!$G$17:$G$38,1),1),ROWS(Tables!$G$17:$G$38)-1)))+(AF32-INDEX(Tables!$G$17:$G$38,MAX(1,MIN(IFERROR(MATCH(AF32,Tables!$G$17:$G$38,1),1),ROWS(Tables!$G$17:$G$38)-1))))*(INDEX(Tables!$H$17:$H$38,MAX(1,MIN(IFERROR(MATCH(AF32,Tables!$G$17:$G$38,1),1),ROWS(Tables!$G$17:$G$38)-1))+1)-INDEX(Tables!$H$17:$H$38,MAX(1,MIN(IFERROR(MATCH(AF32,Tables!$G$17:$G$38,1),1),ROWS(Tables!$G$17:$G$38)-1))))/(INDEX(Tables!$G$17:$G$38,MAX(1,MIN(IFERROR(MATCH(AF32,Tables!$G$17:$G$38,1),1),ROWS(Tables!$G$17:$G$38)-1))+1)-INDEX(Tables!$G$17:$G$38,MAX(1,MIN(IFERROR(MATCH(AF32,Tables!$G$17:$G$38,1),1),ROWS(Tables!$G$17:$G$38)-1))))))))</f>
        <v>5469.8235294117658</v>
      </c>
      <c r="AL32" s="181">
        <f>IF(AC32&lt;1000,(INDEX(Tables!$B$43:$B$76,MAX(1,MIN(IFERROR(MATCH(AG32,Tables!$A$43:$A$76,1),1),ROWS(Tables!$A$43:$A$76)-1)))+(AG32-INDEX(Tables!$A$43:$A$76,MAX(1,MIN(IFERROR(MATCH(AG32,Tables!$A$43:$A$76,1),1),ROWS(Tables!$A$43:$A$76)-1))))*(INDEX(Tables!$B$43:$B$76,MAX(1,MIN(IFERROR(MATCH(AG32,Tables!$A$43:$A$76,1),1),ROWS(Tables!$A$43:$A$76)-1))+1)-INDEX(Tables!$B$43:$B$76,MAX(1,MIN(IFERROR(MATCH(AG32,Tables!$A$43:$A$76,1),1),ROWS(Tables!$A$43:$A$76)-1))))/(INDEX(Tables!$A$43:$A$76,MAX(1,MIN(IFERROR(MATCH(AG32,Tables!$A$43:$A$76,1),1),ROWS(Tables!$A$43:$A$76)-1))+1)-INDEX(Tables!$A$43:$A$76,MAX(1,MIN(IFERROR(MATCH(AG32,Tables!$A$43:$A$76,1),1),ROWS(Tables!$A$43:$A$76)-1))))),(INDEX(Tables!$D$43:$D$76,MAX(1,MIN(IFERROR(MATCH(AG32,Tables!$C$43:$C$76,1),1),ROWS(Tables!$C$43:$C$76)-1)))+(AG32-INDEX(Tables!$C$43:$C$76,MAX(1,MIN(IFERROR(MATCH(AG32,Tables!$C$43:$C$76,1),1),ROWS(Tables!$C$43:$C$76)-1))))*(INDEX(Tables!$D$43:$D$76,MAX(1,MIN(IFERROR(MATCH(AG32,Tables!$C$43:$C$76,1),1),ROWS(Tables!$C$43:$C$76)-1))+1)-INDEX(Tables!$D$43:$D$76,MAX(1,MIN(IFERROR(MATCH(AG32,Tables!$C$43:$C$76,1),1),ROWS(Tables!$C$43:$C$76)-1))))/(INDEX(Tables!$C$43:$C$76,MAX(1,MIN(IFERROR(MATCH(AG32,Tables!$C$43:$C$76,1),1),ROWS(Tables!$C$43:$C$76)-1))+1)-INDEX(Tables!$C$43:$C$76,MAX(1,MIN(IFERROR(MATCH(AG32,Tables!$C$43:$C$76,1),1),ROWS(Tables!$C$43:$C$76)-1))))))</f>
        <v>1.0658474576271186</v>
      </c>
      <c r="AM32" s="181">
        <f>(INDEX(Tables!$B$80:$B$87,MAX(1,MIN(IFERROR(MATCH(AH32,Tables!$A$80:$A$87,1),1),ROWS(Tables!$A$80:$A$87)-1)))+(AH32-INDEX(Tables!$A$80:$A$87,MAX(1,MIN(IFERROR(MATCH(AH32,Tables!$A$80:$A$87,1),1),ROWS(Tables!$A$80:$A$87)-1))))*(INDEX(Tables!$B$80:$B$87,MAX(1,MIN(IFERROR(MATCH(AH32,Tables!$A$80:$A$87,1),1),ROWS(Tables!$A$80:$A$87)-1))+1)-INDEX(Tables!$B$80:$B$87,MAX(1,MIN(IFERROR(MATCH(AH32,Tables!$A$80:$A$87,1),1),ROWS(Tables!$A$80:$A$87)-1))))/(INDEX(Tables!$A$80:$A$87,MAX(1,MIN(IFERROR(MATCH(AH32,Tables!$A$80:$A$87,1),1),ROWS(Tables!$A$80:$A$87)-1))+1)-INDEX(Tables!$A$80:$A$87,MAX(1,MIN(IFERROR(MATCH(AH32,Tables!$A$80:$A$87,1),1),ROWS(Tables!$A$80:$A$87)-1)))))</f>
        <v>1.1041078431372553</v>
      </c>
      <c r="AN32" s="181">
        <f t="shared" si="7"/>
        <v>5699.3792424757448</v>
      </c>
      <c r="AO32" s="181">
        <f>(INDEX(Tables!$B$91:$B$94,MAX(1,MIN(IFERROR(MATCH(P32,Tables!$A$91:$A$94,1),1),ROWS(Tables!$A$91:$A$94)-1)))+(P32-INDEX(Tables!$A$91:$A$94,MAX(1,MIN(IFERROR(MATCH(P32,Tables!$A$91:$A$94,1),1),ROWS(Tables!$A$91:$A$94)-1))))*(INDEX(Tables!$B$91:$B$94,MAX(1,MIN(IFERROR(MATCH(P32,Tables!$A$91:$A$94,1),1),ROWS(Tables!$A$91:$A$94)-1))+1)-INDEX(Tables!$B$91:$B$94,MAX(1,MIN(IFERROR(MATCH(P32,Tables!$A$91:$A$94,1),1),ROWS(Tables!$A$91:$A$94)-1))))/(INDEX(Tables!$A$91:$A$94,MAX(1,MIN(IFERROR(MATCH(P32,Tables!$A$91:$A$94,1),1),ROWS(Tables!$A$91:$A$94)-1))+1)-INDEX(Tables!$A$91:$A$94,MAX(1,MIN(IFERROR(MATCH(P32,Tables!$A$91:$A$94,1),1),ROWS(Tables!$A$91:$A$94)-1)))))</f>
        <v>1.476219512195122</v>
      </c>
      <c r="AP32" s="181">
        <f>IF(AD32=5000,(INDEX(Tables!$B$99:$B$118,MAX(1,MIN(IFERROR(MATCH(AF32,Tables!$A$99:$A$118,1),1),ROWS(Tables!$A$99:$A$118)-1)))+(AF32-INDEX(Tables!$A$99:$A$118,MAX(1,MIN(IFERROR(MATCH(AF32,Tables!$A$99:$A$118,1),1),ROWS(Tables!$A$99:$A$118)-1))))*(INDEX(Tables!$B$99:$B$118,MAX(1,MIN(IFERROR(MATCH(AF32,Tables!$A$99:$A$118,1),1),ROWS(Tables!$A$99:$A$118)-1))+1)-INDEX(Tables!$B$99:$B$118,MAX(1,MIN(IFERROR(MATCH(AF32,Tables!$A$99:$A$118,1),1),ROWS(Tables!$A$99:$A$118)-1))))/(INDEX(Tables!$A$99:$A$118,MAX(1,MIN(IFERROR(MATCH(AF32,Tables!$A$99:$A$118,1),1),ROWS(Tables!$A$99:$A$118)-1))+1)-INDEX(Tables!$A$99:$A$118,MAX(1,MIN(IFERROR(MATCH(AF32,Tables!$A$99:$A$118,1),1),ROWS(Tables!$A$99:$A$118)-1))))),IF(AD32=10000,(INDEX(Tables!$D$99:$D$118,MAX(1,MIN(IFERROR(MATCH(AF32,Tables!$C$99:$C$118,1),1),ROWS(Tables!$C$99:$C$118)-1)))+(AF32-INDEX(Tables!$C$99:$C$118,MAX(1,MIN(IFERROR(MATCH(AF32,Tables!$C$99:$C$118,1),1),ROWS(Tables!$C$99:$C$118)-1))))*(INDEX(Tables!$D$99:$D$118,MAX(1,MIN(IFERROR(MATCH(AF32,Tables!$C$99:$C$118,1),1),ROWS(Tables!$C$99:$C$118)-1))+1)-INDEX(Tables!$D$99:$D$118,MAX(1,MIN(IFERROR(MATCH(AF32,Tables!$C$99:$C$118,1),1),ROWS(Tables!$C$99:$C$118)-1))))/(INDEX(Tables!$C$99:$C$118,MAX(1,MIN(IFERROR(MATCH(AF32,Tables!$C$99:$C$118,1),1),ROWS(Tables!$C$99:$C$118)-1))+1)-INDEX(Tables!$C$99:$C$118,MAX(1,MIN(IFERROR(MATCH(AF32,Tables!$C$99:$C$118,1),1),ROWS(Tables!$C$99:$C$118)-1))))),(INDEX(Tables!$F$99:$F$118,MAX(1,MIN(IFERROR(MATCH(AF32,Tables!$E$99:$E$118,1),1),ROWS(Tables!$E$99:$E$118)-1)))+(AF32-INDEX(Tables!$E$99:$E$118,MAX(1,MIN(IFERROR(MATCH(AF32,Tables!$E$99:$E$118,1),1),ROWS(Tables!$E$99:$E$118)-1))))*(INDEX(Tables!$F$99:$F$118,MAX(1,MIN(IFERROR(MATCH(AF32,Tables!$E$99:$E$118,1),1),ROWS(Tables!$E$99:$E$118)-1))+1)-INDEX(Tables!$F$99:$F$118,MAX(1,MIN(IFERROR(MATCH(AF32,Tables!$E$99:$E$118,1),1),ROWS(Tables!$E$99:$E$118)-1))))/(INDEX(Tables!$E$99:$E$118,MAX(1,MIN(IFERROR(MATCH(AF32,Tables!$E$99:$E$118,1),1),ROWS(Tables!$E$99:$E$118)-1))+1)-INDEX(Tables!$E$99:$E$118,MAX(1,MIN(IFERROR(MATCH(AF32,Tables!$E$99:$E$118,1),1),ROWS(Tables!$E$99:$E$118)-1)))))))</f>
        <v>20.670682673069226</v>
      </c>
      <c r="AQ32" s="181">
        <f>IF(P32&lt;6,(INDEX(Tables!$B$123:$B$138,MAX(1,MIN(IFERROR(MATCH(U32,Tables!$A$123:$A$138,1),1),ROWS(Tables!$A$123:$A$138)-1)))+(U32-INDEX(Tables!$A$123:$A$138,MAX(1,MIN(IFERROR(MATCH(U32,Tables!$A$123:$A$138,1),1),ROWS(Tables!$A$123:$A$138)-1))))*(INDEX(Tables!$B$123:$B$138,MAX(1,MIN(IFERROR(MATCH(U32,Tables!$A$123:$A$138,1),1),ROWS(Tables!$A$123:$A$138)-1))+1)-INDEX(Tables!$B$123:$B$138,MAX(1,MIN(IFERROR(MATCH(U32,Tables!$A$123:$A$138,1),1),ROWS(Tables!$A$123:$A$138)-1))))/(INDEX(Tables!$A$123:$A$138,MAX(1,MIN(IFERROR(MATCH(U32,Tables!$A$123:$A$138,1),1),ROWS(Tables!$A$123:$A$138)-1))+1)-INDEX(Tables!$A$123:$A$138,MAX(1,MIN(IFERROR(MATCH(U32,Tables!$A$123:$A$138,1),1),ROWS(Tables!$A$123:$A$138)-1))))),IF(P32&lt;8,(INDEX(Tables!$D$123:$D$138,MAX(1,MIN(IFERROR(MATCH(U32,Tables!$C$123:$C$138,1),1),ROWS(Tables!$C$123:$C$138)-1)))+(U32-INDEX(Tables!$C$123:$C$138,MAX(1,MIN(IFERROR(MATCH(U32,Tables!$C$123:$C$138,1),1),ROWS(Tables!$C$123:$C$138)-1))))*(INDEX(Tables!$D$123:$D$138,MAX(1,MIN(IFERROR(MATCH(U32,Tables!$C$123:$C$138,1),1),ROWS(Tables!$C$123:$C$138)-1))+1)-INDEX(Tables!$D$123:$D$138,MAX(1,MIN(IFERROR(MATCH(U32,Tables!$C$123:$C$138,1),1),ROWS(Tables!$C$123:$C$138)-1))))/(INDEX(Tables!$C$123:$C$138,MAX(1,MIN(IFERROR(MATCH(U32,Tables!$C$123:$C$138,1),1),ROWS(Tables!$C$123:$C$138)-1))+1)-INDEX(Tables!$C$123:$C$138,MAX(1,MIN(IFERROR(MATCH(U32,Tables!$C$123:$C$138,1),1),ROWS(Tables!$C$123:$C$138)-1))))),IF(P32&lt;10,(INDEX(Tables!$F$123:$F$138,MAX(1,MIN(IFERROR(MATCH(U32,Tables!$E$123:$E$138,1),1),ROWS(Tables!$E$123:$E$138)-1)))+(U32-INDEX(Tables!$E$123:$E$138,MAX(1,MIN(IFERROR(MATCH(U32,Tables!$E$123:$E$138,1),1),ROWS(Tables!$E$123:$E$138)-1))))*(INDEX(Tables!$F$123:$F$138,MAX(1,MIN(IFERROR(MATCH(U32,Tables!$E$123:$E$138,1),1),ROWS(Tables!$E$123:$E$138)-1))+1)-INDEX(Tables!$F$123:$F$138,MAX(1,MIN(IFERROR(MATCH(U32,Tables!$E$123:$E$138,1),1),ROWS(Tables!$E$123:$E$138)-1))))/(INDEX(Tables!$E$123:$E$138,MAX(1,MIN(IFERROR(MATCH(U32,Tables!$E$123:$E$138,1),1),ROWS(Tables!$E$123:$E$138)-1))+1)-INDEX(Tables!$E$123:$E$138,MAX(1,MIN(IFERROR(MATCH(U32,Tables!$E$123:$E$138,1),1),ROWS(Tables!$E$123:$E$138)-1))))),(INDEX(Tables!$H$123:$H$138,MAX(1,MIN(IFERROR(MATCH(U32,Tables!$G$123:$G$138,1),1),ROWS(Tables!$G$123:$G$138)-1)))+(U32-INDEX(Tables!$G$123:$G$138,MAX(1,MIN(IFERROR(MATCH(U32,Tables!$G$123:$G$138,1),1),ROWS(Tables!$G$123:$G$138)-1))))*(INDEX(Tables!$H$123:$H$138,MAX(1,MIN(IFERROR(MATCH(U32,Tables!$G$123:$G$138,1),1),ROWS(Tables!$G$123:$G$138)-1))+1)-INDEX(Tables!$H$123:$H$138,MAX(1,MIN(IFERROR(MATCH(U32,Tables!$G$123:$G$138,1),1),ROWS(Tables!$G$123:$G$138)-1))))/(INDEX(Tables!$G$123:$G$138,MAX(1,MIN(IFERROR(MATCH(U32,Tables!$G$123:$G$138,1),1),ROWS(Tables!$G$123:$G$138)-1))+1)-INDEX(Tables!$G$123:$G$138,MAX(1,MIN(IFERROR(MATCH(U32,Tables!$G$123:$G$138,1),1),ROWS(Tables!$G$123:$G$138)-1))))))))</f>
        <v>1.01675</v>
      </c>
      <c r="AR32" s="181">
        <f>IF(OR(P32&gt;=4,U32&gt;12),VLOOKUP(R32&amp;" "&amp;S32,Tables!$D$143:$F$148,2,FALSE),VLOOKUP(R32&amp;" "&amp;S32,Tables!$A$143:$C$148,2,FALSE))</f>
        <v>0.9</v>
      </c>
      <c r="AS32" s="181">
        <f>IF(OR(P32&gt;=4,U32&gt;12),VLOOKUP(R32&amp;" "&amp;S32,Tables!$D$143:$F$148,3,FALSE),VLOOKUP(R32&amp;" "&amp;S32,Tables!$A$143:$C$148,3,FALSE))</f>
        <v>0.65</v>
      </c>
      <c r="AT32" s="181">
        <f t="shared" si="8"/>
        <v>1512.4971411554432</v>
      </c>
      <c r="AU32" s="181">
        <f>IF(AD32=5000,(INDEX(Tables!$B$244:$B$263,MAX(1,MIN(IFERROR(MATCH(AF32,Tables!$A$244:$A$263,1),1),ROWS(Tables!$A$244:$A$263)-1)))+(AF32-INDEX(Tables!$A$244:$A$263,MAX(1,MIN(IFERROR(MATCH(AF32,Tables!$A$244:$A$263,1),1),ROWS(Tables!$A$244:$A$263)-1))))*(INDEX(Tables!$B$244:$B$263,MAX(1,MIN(IFERROR(MATCH(AF32,Tables!$A$244:$A$263,1),1),ROWS(Tables!$A$244:$A$263)-1))+1)-INDEX(Tables!$B$244:$B$263,MAX(1,MIN(IFERROR(MATCH(AF32,Tables!$A$244:$A$263,1),1),ROWS(Tables!$A$244:$A$263)-1))))/(INDEX(Tables!$A$244:$A$263,MAX(1,MIN(IFERROR(MATCH(AF32,Tables!$A$244:$A$263,1),1),ROWS(Tables!$A$244:$A$263)-1))+1)-INDEX(Tables!$A$244:$A$263,MAX(1,MIN(IFERROR(MATCH(AF32,Tables!$A$244:$A$263,1),1),ROWS(Tables!$A$244:$A$263)-1))))),IF(AD32=10000,(INDEX(Tables!$D$244:$D$263,MAX(1,MIN(IFERROR(MATCH(AF32,Tables!$C$244:$C$263,1),1),ROWS(Tables!$C$244:$C$263)-1)))+(AF32-INDEX(Tables!$C$244:$C$263,MAX(1,MIN(IFERROR(MATCH(AF32,Tables!$C$244:$C$263,1),1),ROWS(Tables!$C$244:$C$263)-1))))*(INDEX(Tables!$D$244:$D$263,MAX(1,MIN(IFERROR(MATCH(AF32,Tables!$C$244:$C$263,1),1),ROWS(Tables!$C$244:$C$263)-1))+1)-INDEX(Tables!$D$244:$D$263,MAX(1,MIN(IFERROR(MATCH(AF32,Tables!$C$244:$C$263,1),1),ROWS(Tables!$C$244:$C$263)-1))))/(INDEX(Tables!$C$244:$C$263,MAX(1,MIN(IFERROR(MATCH(AF32,Tables!$C$244:$C$263,1),1),ROWS(Tables!$C$244:$C$263)-1))+1)-INDEX(Tables!$C$244:$C$263,MAX(1,MIN(IFERROR(MATCH(AF32,Tables!$C$244:$C$263,1),1),ROWS(Tables!$C$244:$C$263)-1))))),(INDEX(Tables!$F$244:$F$263,MAX(1,MIN(IFERROR(MATCH(AF32,Tables!$E$244:$E$263,1),1),ROWS(Tables!$E$244:$E$263)-1)))+(AF32-INDEX(Tables!$E$244:$E$263,MAX(1,MIN(IFERROR(MATCH(AF32,Tables!$E$244:$E$263,1),1),ROWS(Tables!$E$244:$E$263)-1))))*(INDEX(Tables!$F$244:$F$263,MAX(1,MIN(IFERROR(MATCH(AF32,Tables!$E$244:$E$263,1),1),ROWS(Tables!$E$244:$E$263)-1))+1)-INDEX(Tables!$F$244:$F$263,MAX(1,MIN(IFERROR(MATCH(AF32,Tables!$E$244:$E$263,1),1),ROWS(Tables!$E$244:$E$263)-1))))/(INDEX(Tables!$E$244:$E$263,MAX(1,MIN(IFERROR(MATCH(AF32,Tables!$E$244:$E$263,1),1),ROWS(Tables!$E$244:$E$263)-1))+1)-INDEX(Tables!$E$244:$E$263,MAX(1,MIN(IFERROR(MATCH(AF32,Tables!$E$244:$E$263,1),1),ROWS(Tables!$E$244:$E$263)-1)))))))</f>
        <v>14.933137254901961</v>
      </c>
      <c r="AV32" s="181">
        <f>IF(P32&lt;6,(INDEX(Tables!$B$260:$B$274,MAX(1,MIN(IFERROR(MATCH(U32,Tables!$A$260:$A$274,1),1),ROWS(Tables!$A$260:$A$274)-1)))+(U32-INDEX(Tables!$A$260:$A$274,MAX(1,MIN(IFERROR(MATCH(U32,Tables!$A$260:$A$274,1),1),ROWS(Tables!$A$260:$A$274)-1))))*(INDEX(Tables!$B$260:$B$274,MAX(1,MIN(IFERROR(MATCH(U32,Tables!$A$260:$A$274,1),1),ROWS(Tables!$A$260:$A$274)-1))+1)-INDEX(Tables!$B$260:$B$274,MAX(1,MIN(IFERROR(MATCH(U32,Tables!$A$260:$A$274,1),1),ROWS(Tables!$A$260:$A$274)-1))))/(INDEX(Tables!$A$260:$A$274,MAX(1,MIN(IFERROR(MATCH(U32,Tables!$A$260:$A$274,1),1),ROWS(Tables!$A$260:$A$274)-1))+1)-INDEX(Tables!$A$260:$A$274,MAX(1,MIN(IFERROR(MATCH(U32,Tables!$A$260:$A$274,1),1),ROWS(Tables!$A$260:$A$274)-1))))),IF(P32&lt;8,(INDEX(Tables!$D$260:$D$274,MAX(1,MIN(IFERROR(MATCH(U32,Tables!$C$260:$C$274,1),1),ROWS(Tables!$C$260:$C$274)-1)))+(U32-INDEX(Tables!$C$260:$C$274,MAX(1,MIN(IFERROR(MATCH(U32,Tables!$C$260:$C$274,1),1),ROWS(Tables!$C$260:$C$274)-1))))*(INDEX(Tables!$D$260:$D$274,MAX(1,MIN(IFERROR(MATCH(U32,Tables!$C$260:$C$274,1),1),ROWS(Tables!$C$260:$C$274)-1))+1)-INDEX(Tables!$D$260:$D$274,MAX(1,MIN(IFERROR(MATCH(U32,Tables!$C$260:$C$274,1),1),ROWS(Tables!$C$260:$C$274)-1))))/(INDEX(Tables!$C$260:$C$274,MAX(1,MIN(IFERROR(MATCH(U32,Tables!$C$260:$C$274,1),1),ROWS(Tables!$C$260:$C$274)-1))+1)-INDEX(Tables!$C$260:$C$274,MAX(1,MIN(IFERROR(MATCH(U32,Tables!$C$260:$C$274,1),1),ROWS(Tables!$C$260:$C$274)-1))))),IF(P32&lt;10,(INDEX(Tables!$F$260:$F$274,MAX(1,MIN(IFERROR(MATCH(U32,Tables!$E$260:$E$274,1),1),ROWS(Tables!$E$260:$E$274)-1)))+(U32-INDEX(Tables!$E$260:$E$274,MAX(1,MIN(IFERROR(MATCH(U32,Tables!$E$260:$E$274,1),1),ROWS(Tables!$E$260:$E$274)-1))))*(INDEX(Tables!$F$260:$F$274,MAX(1,MIN(IFERROR(MATCH(U32,Tables!$E$260:$E$274,1),1),ROWS(Tables!$E$260:$E$274)-1))+1)-INDEX(Tables!$F$260:$F$274,MAX(1,MIN(IFERROR(MATCH(U32,Tables!$E$260:$E$274,1),1),ROWS(Tables!$E$260:$E$274)-1))))/(INDEX(Tables!$E$260:$E$274,MAX(1,MIN(IFERROR(MATCH(U32,Tables!$E$260:$E$274,1),1),ROWS(Tables!$E$260:$E$274)-1))+1)-INDEX(Tables!$E$260:$E$274,MAX(1,MIN(IFERROR(MATCH(U32,Tables!$E$260:$E$274,1),1),ROWS(Tables!$E$260:$E$274)-1))))),(INDEX(Tables!$H$260:$H$274,MAX(1,MIN(IFERROR(MATCH(U32,Tables!$G$260:$G$274,1),1),ROWS(Tables!$G$260:$G$274)-1)))+(U32-INDEX(Tables!$G$260:$G$274,MAX(1,MIN(IFERROR(MATCH(U32,Tables!$G$260:$G$274,1),1),ROWS(Tables!$G$260:$G$274)-1))))*(INDEX(Tables!$H$260:$H$274,MAX(1,MIN(IFERROR(MATCH(U32,Tables!$G$260:$G$274,1),1),ROWS(Tables!$G$260:$G$274)-1))+1)-INDEX(Tables!$H$260:$H$274,MAX(1,MIN(IFERROR(MATCH(U32,Tables!$G$260:$G$274,1),1),ROWS(Tables!$G$260:$G$274)-1))))/(INDEX(Tables!$G$260:$G$274,MAX(1,MIN(IFERROR(MATCH(U32,Tables!$G$260:$G$274,1),1),ROWS(Tables!$G$260:$G$274)-1))+1)-INDEX(Tables!$G$260:$G$274,MAX(1,MIN(IFERROR(MATCH(U32,Tables!$G$260:$G$274,1),1),ROWS(Tables!$G$260:$G$274)-1))))))))</f>
        <v>1.0024999999999999</v>
      </c>
      <c r="AW32" s="181">
        <f t="shared" si="9"/>
        <v>1077.3603781911315</v>
      </c>
      <c r="AX32" s="181">
        <f t="shared" si="10"/>
        <v>3491.666666666667</v>
      </c>
      <c r="AY32" s="181">
        <f t="shared" si="11"/>
        <v>10703.543050297856</v>
      </c>
      <c r="AZ32" s="181">
        <f t="shared" si="12"/>
        <v>3834.6741509338553</v>
      </c>
      <c r="BA32" s="181">
        <f t="shared" si="13"/>
        <v>-100</v>
      </c>
      <c r="BB32" s="181">
        <f t="shared" si="14"/>
        <v>9470.4689184410563</v>
      </c>
      <c r="BC32" s="181">
        <f t="shared" si="15"/>
        <v>46800</v>
      </c>
      <c r="BD32" s="181">
        <f>VLOOKUP(V32&amp;" "&amp;J32,Tables!$A$152:$E$239,4,FALSE)</f>
        <v>12000</v>
      </c>
      <c r="BE32" s="181">
        <f>VLOOKUP(V32&amp;" "&amp;J32,Tables!$A$152:$E$239,5,FALSE)</f>
        <v>23000</v>
      </c>
      <c r="BF32" s="181">
        <f t="shared" si="16"/>
        <v>8640</v>
      </c>
      <c r="BG32" s="181">
        <f t="shared" si="17"/>
        <v>16560</v>
      </c>
      <c r="BH32" s="181">
        <f t="shared" si="18"/>
        <v>3541.666666666667</v>
      </c>
      <c r="BI32" s="181">
        <f t="shared" si="19"/>
        <v>46800</v>
      </c>
      <c r="BJ32" s="181">
        <f t="shared" si="20"/>
        <v>9470.4689184410563</v>
      </c>
      <c r="BK32" s="181">
        <f t="shared" si="21"/>
        <v>46800</v>
      </c>
      <c r="BL32" s="181">
        <f t="shared" si="22"/>
        <v>1077.3603781911315</v>
      </c>
      <c r="BM32" s="181">
        <f t="shared" si="23"/>
        <v>8640</v>
      </c>
      <c r="BN32" s="181">
        <f t="shared" si="24"/>
        <v>1512.4971411554432</v>
      </c>
      <c r="BO32" s="181">
        <f t="shared" si="25"/>
        <v>16560</v>
      </c>
      <c r="BP32" t="str">
        <f t="shared" si="26"/>
        <v>Pass</v>
      </c>
      <c r="BQ32" t="str">
        <f t="shared" si="27"/>
        <v>Pass</v>
      </c>
      <c r="BR32" t="str">
        <f t="shared" si="28"/>
        <v>Pass</v>
      </c>
      <c r="BS32" t="str">
        <f t="shared" si="29"/>
        <v>Pass</v>
      </c>
      <c r="BT32" t="str">
        <f t="shared" si="30"/>
        <v>Pass</v>
      </c>
      <c r="BU32" t="str">
        <f t="shared" si="31"/>
        <v>Effective Stress</v>
      </c>
    </row>
    <row r="33" spans="1:73">
      <c r="A33" t="s">
        <v>625</v>
      </c>
      <c r="B33" s="181">
        <v>31</v>
      </c>
      <c r="C33" t="s">
        <v>594</v>
      </c>
      <c r="D33" s="181">
        <v>16</v>
      </c>
      <c r="E33" s="181">
        <v>0.188</v>
      </c>
      <c r="F33" t="s">
        <v>117</v>
      </c>
      <c r="G33" t="s">
        <v>119</v>
      </c>
      <c r="H33" t="s">
        <v>122</v>
      </c>
      <c r="I33" s="181">
        <v>1</v>
      </c>
      <c r="J33" t="s">
        <v>126</v>
      </c>
      <c r="K33" t="s">
        <v>129</v>
      </c>
      <c r="L33" s="181">
        <v>70</v>
      </c>
      <c r="M33" s="181">
        <v>100</v>
      </c>
      <c r="N33" t="s">
        <v>388</v>
      </c>
      <c r="O33" s="181">
        <v>120</v>
      </c>
      <c r="P33" s="181">
        <v>8</v>
      </c>
      <c r="Q33" s="181">
        <v>18</v>
      </c>
      <c r="R33" t="s">
        <v>418</v>
      </c>
      <c r="S33" t="s">
        <v>420</v>
      </c>
      <c r="T33" s="181">
        <v>70</v>
      </c>
      <c r="U33" s="181">
        <f>HLOOKUP(D33,'Highway Loading'!$C$155:$AD$156,2,FALSE)</f>
        <v>16</v>
      </c>
      <c r="V33" s="181">
        <f>IF(ISBLANK(G33),"",INDEX('Highway Loading'!$C$216:$AG$216,1,MATCH(G33,'Highway Loading'!$C$215:$AG$215,0)))</f>
        <v>65000</v>
      </c>
      <c r="W33" s="181">
        <f>INDEX('Highway Loading'!$I$245:$L$253,MATCH(H33,'Highway Loading'!$H$245:$H$253,0),MATCH(I33,'Highway Loading'!$I$244:$L$244,0))</f>
        <v>0.72</v>
      </c>
      <c r="X33" s="181">
        <f t="shared" si="0"/>
        <v>1</v>
      </c>
      <c r="Y33" s="181">
        <f>VLOOKUP(K33,'Highway Loading'!$B$283:$E$292,2,FALSE)</f>
        <v>29000000</v>
      </c>
      <c r="Z33" s="181">
        <f>VLOOKUP(K33,'Highway Loading'!$B$283:$E$292,3,FALSE)</f>
        <v>0.3</v>
      </c>
      <c r="AA33" s="181">
        <f>VLOOKUP(K33,'Highway Loading'!$B$283:$E$292,4,FALSE)</f>
        <v>6.4999999999999996E-6</v>
      </c>
      <c r="AB33" s="181">
        <f t="shared" si="1"/>
        <v>1</v>
      </c>
      <c r="AC33" s="181">
        <f>VLOOKUP(N33,'Highway Loading'!$B$256:$D$261,2,FALSE)</f>
        <v>200</v>
      </c>
      <c r="AD33" s="181">
        <f>VLOOKUP(N33,'Highway Loading'!$B$256:$D$261,3,FALSE)</f>
        <v>5000</v>
      </c>
      <c r="AE33" s="181">
        <f>VLOOKUP(S33,'Highway Loading'!$B$340:$C$341,2,FALSE)</f>
        <v>12000</v>
      </c>
      <c r="AF33" s="181">
        <f t="shared" si="2"/>
        <v>1.175E-2</v>
      </c>
      <c r="AG33" s="181">
        <f t="shared" si="3"/>
        <v>5.333333333333333</v>
      </c>
      <c r="AH33" s="181">
        <f t="shared" si="4"/>
        <v>1.125</v>
      </c>
      <c r="AI33" s="181">
        <f t="shared" si="5"/>
        <v>4255.3191489361698</v>
      </c>
      <c r="AJ33" s="181">
        <f t="shared" si="6"/>
        <v>46800</v>
      </c>
      <c r="AK33" s="181">
        <f>IF(AC33=200,(INDEX(Tables!$B$17:$B$38,MAX(1,MIN(IFERROR(MATCH(AF33,Tables!$A$17:$A$38,1),1),ROWS(Tables!$A$17:$A$38)-1)))+(AF33-INDEX(Tables!$A$17:$A$38,MAX(1,MIN(IFERROR(MATCH(AF33,Tables!$A$17:$A$38,1),1),ROWS(Tables!$A$17:$A$38)-1))))*(INDEX(Tables!$B$17:$B$38,MAX(1,MIN(IFERROR(MATCH(AF33,Tables!$A$17:$A$38,1),1),ROWS(Tables!$A$17:$A$38)-1))+1)-INDEX(Tables!$B$17:$B$38,MAX(1,MIN(IFERROR(MATCH(AF33,Tables!$A$17:$A$38,1),1),ROWS(Tables!$A$17:$A$38)-1))))/(INDEX(Tables!$A$17:$A$38,MAX(1,MIN(IFERROR(MATCH(AF33,Tables!$A$17:$A$38,1),1),ROWS(Tables!$A$17:$A$38)-1))+1)-INDEX(Tables!$A$17:$A$38,MAX(1,MIN(IFERROR(MATCH(AF33,Tables!$A$17:$A$38,1),1),ROWS(Tables!$A$17:$A$38)-1))))),IF(AC33=500,(INDEX(Tables!$D$17:$D$38,MAX(1,MIN(IFERROR(MATCH(AF33,Tables!$C$17:$C$38,1),1),ROWS(Tables!$C$17:$C$38)-1)))+(AF33-INDEX(Tables!$C$17:$C$38,MAX(1,MIN(IFERROR(MATCH(AF33,Tables!$C$17:$C$38,1),1),ROWS(Tables!$C$17:$C$38)-1))))*(INDEX(Tables!$D$17:$D$38,MAX(1,MIN(IFERROR(MATCH(AF33,Tables!$C$17:$C$38,1),1),ROWS(Tables!$C$17:$C$38)-1))+1)-INDEX(Tables!$D$17:$D$38,MAX(1,MIN(IFERROR(MATCH(AF33,Tables!$C$17:$C$38,1),1),ROWS(Tables!$C$17:$C$38)-1))))/(INDEX(Tables!$C$17:$C$38,MAX(1,MIN(IFERROR(MATCH(AF33,Tables!$C$17:$C$38,1),1),ROWS(Tables!$C$17:$C$38)-1))+1)-INDEX(Tables!$C$17:$C$38,MAX(1,MIN(IFERROR(MATCH(AF33,Tables!$C$17:$C$38,1),1),ROWS(Tables!$C$17:$C$38)-1))))),IF(AC33=1000,(INDEX(Tables!$F$17:$F$38,MAX(1,MIN(IFERROR(MATCH(AF33,Tables!$E$17:$E$38,1),1),ROWS(Tables!$E$17:$E$38)-1)))+(AF33-INDEX(Tables!$E$17:$E$38,MAX(1,MIN(IFERROR(MATCH(AF33,Tables!$E$17:$E$38,1),1),ROWS(Tables!$E$17:$E$38)-1))))*(INDEX(Tables!$F$17:$F$38,MAX(1,MIN(IFERROR(MATCH(AF33,Tables!$E$17:$E$38,1),1),ROWS(Tables!$E$17:$E$38)-1))+1)-INDEX(Tables!$F$17:$F$38,MAX(1,MIN(IFERROR(MATCH(AF33,Tables!$E$17:$E$38,1),1),ROWS(Tables!$E$17:$E$38)-1))))/(INDEX(Tables!$E$17:$E$38,MAX(1,MIN(IFERROR(MATCH(AF33,Tables!$E$17:$E$38,1),1),ROWS(Tables!$E$17:$E$38)-1))+1)-INDEX(Tables!$E$17:$E$38,MAX(1,MIN(IFERROR(MATCH(AF33,Tables!$E$17:$E$38,1),1),ROWS(Tables!$E$17:$E$38)-1))))),(INDEX(Tables!$H$17:$H$38,MAX(1,MIN(IFERROR(MATCH(AF33,Tables!$G$17:$G$38,1),1),ROWS(Tables!$G$17:$G$38)-1)))+(AF33-INDEX(Tables!$G$17:$G$38,MAX(1,MIN(IFERROR(MATCH(AF33,Tables!$G$17:$G$38,1),1),ROWS(Tables!$G$17:$G$38)-1))))*(INDEX(Tables!$H$17:$H$38,MAX(1,MIN(IFERROR(MATCH(AF33,Tables!$G$17:$G$38,1),1),ROWS(Tables!$G$17:$G$38)-1))+1)-INDEX(Tables!$H$17:$H$38,MAX(1,MIN(IFERROR(MATCH(AF33,Tables!$G$17:$G$38,1),1),ROWS(Tables!$G$17:$G$38)-1))))/(INDEX(Tables!$G$17:$G$38,MAX(1,MIN(IFERROR(MATCH(AF33,Tables!$G$17:$G$38,1),1),ROWS(Tables!$G$17:$G$38)-1))+1)-INDEX(Tables!$G$17:$G$38,MAX(1,MIN(IFERROR(MATCH(AF33,Tables!$G$17:$G$38,1),1),ROWS(Tables!$G$17:$G$38)-1))))))))</f>
        <v>7160.4000000000005</v>
      </c>
      <c r="AL33" s="181">
        <f>IF(AC33&lt;1000,(INDEX(Tables!$B$43:$B$76,MAX(1,MIN(IFERROR(MATCH(AG33,Tables!$A$43:$A$76,1),1),ROWS(Tables!$A$43:$A$76)-1)))+(AG33-INDEX(Tables!$A$43:$A$76,MAX(1,MIN(IFERROR(MATCH(AG33,Tables!$A$43:$A$76,1),1),ROWS(Tables!$A$43:$A$76)-1))))*(INDEX(Tables!$B$43:$B$76,MAX(1,MIN(IFERROR(MATCH(AG33,Tables!$A$43:$A$76,1),1),ROWS(Tables!$A$43:$A$76)-1))+1)-INDEX(Tables!$B$43:$B$76,MAX(1,MIN(IFERROR(MATCH(AG33,Tables!$A$43:$A$76,1),1),ROWS(Tables!$A$43:$A$76)-1))))/(INDEX(Tables!$A$43:$A$76,MAX(1,MIN(IFERROR(MATCH(AG33,Tables!$A$43:$A$76,1),1),ROWS(Tables!$A$43:$A$76)-1))+1)-INDEX(Tables!$A$43:$A$76,MAX(1,MIN(IFERROR(MATCH(AG33,Tables!$A$43:$A$76,1),1),ROWS(Tables!$A$43:$A$76)-1))))),(INDEX(Tables!$D$43:$D$76,MAX(1,MIN(IFERROR(MATCH(AG33,Tables!$C$43:$C$76,1),1),ROWS(Tables!$C$43:$C$76)-1)))+(AG33-INDEX(Tables!$C$43:$C$76,MAX(1,MIN(IFERROR(MATCH(AG33,Tables!$C$43:$C$76,1),1),ROWS(Tables!$C$43:$C$76)-1))))*(INDEX(Tables!$D$43:$D$76,MAX(1,MIN(IFERROR(MATCH(AG33,Tables!$C$43:$C$76,1),1),ROWS(Tables!$C$43:$C$76)-1))+1)-INDEX(Tables!$D$43:$D$76,MAX(1,MIN(IFERROR(MATCH(AG33,Tables!$C$43:$C$76,1),1),ROWS(Tables!$C$43:$C$76)-1))))/(INDEX(Tables!$C$43:$C$76,MAX(1,MIN(IFERROR(MATCH(AG33,Tables!$C$43:$C$76,1),1),ROWS(Tables!$C$43:$C$76)-1))+1)-INDEX(Tables!$C$43:$C$76,MAX(1,MIN(IFERROR(MATCH(AG33,Tables!$C$43:$C$76,1),1),ROWS(Tables!$C$43:$C$76)-1))))))</f>
        <v>1.1053333333333333</v>
      </c>
      <c r="AM33" s="181">
        <f>(INDEX(Tables!$B$80:$B$87,MAX(1,MIN(IFERROR(MATCH(AH33,Tables!$A$80:$A$87,1),1),ROWS(Tables!$A$80:$A$87)-1)))+(AH33-INDEX(Tables!$A$80:$A$87,MAX(1,MIN(IFERROR(MATCH(AH33,Tables!$A$80:$A$87,1),1),ROWS(Tables!$A$80:$A$87)-1))))*(INDEX(Tables!$B$80:$B$87,MAX(1,MIN(IFERROR(MATCH(AH33,Tables!$A$80:$A$87,1),1),ROWS(Tables!$A$80:$A$87)-1))+1)-INDEX(Tables!$B$80:$B$87,MAX(1,MIN(IFERROR(MATCH(AH33,Tables!$A$80:$A$87,1),1),ROWS(Tables!$A$80:$A$87)-1))))/(INDEX(Tables!$A$80:$A$87,MAX(1,MIN(IFERROR(MATCH(AH33,Tables!$A$80:$A$87,1),1),ROWS(Tables!$A$80:$A$87)-1))+1)-INDEX(Tables!$A$80:$A$87,MAX(1,MIN(IFERROR(MATCH(AH33,Tables!$A$80:$A$87,1),1),ROWS(Tables!$A$80:$A$87)-1)))))</f>
        <v>1.04345</v>
      </c>
      <c r="AN33" s="181">
        <f t="shared" si="7"/>
        <v>9176.1326904000016</v>
      </c>
      <c r="AO33" s="181">
        <f>(INDEX(Tables!$B$91:$B$94,MAX(1,MIN(IFERROR(MATCH(P33,Tables!$A$91:$A$94,1),1),ROWS(Tables!$A$91:$A$94)-1)))+(P33-INDEX(Tables!$A$91:$A$94,MAX(1,MIN(IFERROR(MATCH(P33,Tables!$A$91:$A$94,1),1),ROWS(Tables!$A$91:$A$94)-1))))*(INDEX(Tables!$B$91:$B$94,MAX(1,MIN(IFERROR(MATCH(P33,Tables!$A$91:$A$94,1),1),ROWS(Tables!$A$91:$A$94)-1))+1)-INDEX(Tables!$B$91:$B$94,MAX(1,MIN(IFERROR(MATCH(P33,Tables!$A$91:$A$94,1),1),ROWS(Tables!$A$91:$A$94)-1))))/(INDEX(Tables!$A$91:$A$94,MAX(1,MIN(IFERROR(MATCH(P33,Tables!$A$91:$A$94,1),1),ROWS(Tables!$A$91:$A$94)-1))+1)-INDEX(Tables!$A$91:$A$94,MAX(1,MIN(IFERROR(MATCH(P33,Tables!$A$91:$A$94,1),1),ROWS(Tables!$A$91:$A$94)-1)))))</f>
        <v>1.4152439024390244</v>
      </c>
      <c r="AP33" s="181">
        <f>IF(AD33=5000,(INDEX(Tables!$B$99:$B$118,MAX(1,MIN(IFERROR(MATCH(AF33,Tables!$A$99:$A$118,1),1),ROWS(Tables!$A$99:$A$118)-1)))+(AF33-INDEX(Tables!$A$99:$A$118,MAX(1,MIN(IFERROR(MATCH(AF33,Tables!$A$99:$A$118,1),1),ROWS(Tables!$A$99:$A$118)-1))))*(INDEX(Tables!$B$99:$B$118,MAX(1,MIN(IFERROR(MATCH(AF33,Tables!$A$99:$A$118,1),1),ROWS(Tables!$A$99:$A$118)-1))+1)-INDEX(Tables!$B$99:$B$118,MAX(1,MIN(IFERROR(MATCH(AF33,Tables!$A$99:$A$118,1),1),ROWS(Tables!$A$99:$A$118)-1))))/(INDEX(Tables!$A$99:$A$118,MAX(1,MIN(IFERROR(MATCH(AF33,Tables!$A$99:$A$118,1),1),ROWS(Tables!$A$99:$A$118)-1))+1)-INDEX(Tables!$A$99:$A$118,MAX(1,MIN(IFERROR(MATCH(AF33,Tables!$A$99:$A$118,1),1),ROWS(Tables!$A$99:$A$118)-1))))),IF(AD33=10000,(INDEX(Tables!$D$99:$D$118,MAX(1,MIN(IFERROR(MATCH(AF33,Tables!$C$99:$C$118,1),1),ROWS(Tables!$C$99:$C$118)-1)))+(AF33-INDEX(Tables!$C$99:$C$118,MAX(1,MIN(IFERROR(MATCH(AF33,Tables!$C$99:$C$118,1),1),ROWS(Tables!$C$99:$C$118)-1))))*(INDEX(Tables!$D$99:$D$118,MAX(1,MIN(IFERROR(MATCH(AF33,Tables!$C$99:$C$118,1),1),ROWS(Tables!$C$99:$C$118)-1))+1)-INDEX(Tables!$D$99:$D$118,MAX(1,MIN(IFERROR(MATCH(AF33,Tables!$C$99:$C$118,1),1),ROWS(Tables!$C$99:$C$118)-1))))/(INDEX(Tables!$C$99:$C$118,MAX(1,MIN(IFERROR(MATCH(AF33,Tables!$C$99:$C$118,1),1),ROWS(Tables!$C$99:$C$118)-1))+1)-INDEX(Tables!$C$99:$C$118,MAX(1,MIN(IFERROR(MATCH(AF33,Tables!$C$99:$C$118,1),1),ROWS(Tables!$C$99:$C$118)-1))))),(INDEX(Tables!$F$99:$F$118,MAX(1,MIN(IFERROR(MATCH(AF33,Tables!$E$99:$E$118,1),1),ROWS(Tables!$E$99:$E$118)-1)))+(AF33-INDEX(Tables!$E$99:$E$118,MAX(1,MIN(IFERROR(MATCH(AF33,Tables!$E$99:$E$118,1),1),ROWS(Tables!$E$99:$E$118)-1))))*(INDEX(Tables!$F$99:$F$118,MAX(1,MIN(IFERROR(MATCH(AF33,Tables!$E$99:$E$118,1),1),ROWS(Tables!$E$99:$E$118)-1))+1)-INDEX(Tables!$F$99:$F$118,MAX(1,MIN(IFERROR(MATCH(AF33,Tables!$E$99:$E$118,1),1),ROWS(Tables!$E$99:$E$118)-1))))/(INDEX(Tables!$E$99:$E$118,MAX(1,MIN(IFERROR(MATCH(AF33,Tables!$E$99:$E$118,1),1),ROWS(Tables!$E$99:$E$118)-1))+1)-INDEX(Tables!$E$99:$E$118,MAX(1,MIN(IFERROR(MATCH(AF33,Tables!$E$99:$E$118,1),1),ROWS(Tables!$E$99:$E$118)-1)))))))</f>
        <v>20.242319999999999</v>
      </c>
      <c r="AQ33" s="181">
        <f>IF(P33&lt;6,(INDEX(Tables!$B$123:$B$138,MAX(1,MIN(IFERROR(MATCH(U33,Tables!$A$123:$A$138,1),1),ROWS(Tables!$A$123:$A$138)-1)))+(U33-INDEX(Tables!$A$123:$A$138,MAX(1,MIN(IFERROR(MATCH(U33,Tables!$A$123:$A$138,1),1),ROWS(Tables!$A$123:$A$138)-1))))*(INDEX(Tables!$B$123:$B$138,MAX(1,MIN(IFERROR(MATCH(U33,Tables!$A$123:$A$138,1),1),ROWS(Tables!$A$123:$A$138)-1))+1)-INDEX(Tables!$B$123:$B$138,MAX(1,MIN(IFERROR(MATCH(U33,Tables!$A$123:$A$138,1),1),ROWS(Tables!$A$123:$A$138)-1))))/(INDEX(Tables!$A$123:$A$138,MAX(1,MIN(IFERROR(MATCH(U33,Tables!$A$123:$A$138,1),1),ROWS(Tables!$A$123:$A$138)-1))+1)-INDEX(Tables!$A$123:$A$138,MAX(1,MIN(IFERROR(MATCH(U33,Tables!$A$123:$A$138,1),1),ROWS(Tables!$A$123:$A$138)-1))))),IF(P33&lt;8,(INDEX(Tables!$D$123:$D$138,MAX(1,MIN(IFERROR(MATCH(U33,Tables!$C$123:$C$138,1),1),ROWS(Tables!$C$123:$C$138)-1)))+(U33-INDEX(Tables!$C$123:$C$138,MAX(1,MIN(IFERROR(MATCH(U33,Tables!$C$123:$C$138,1),1),ROWS(Tables!$C$123:$C$138)-1))))*(INDEX(Tables!$D$123:$D$138,MAX(1,MIN(IFERROR(MATCH(U33,Tables!$C$123:$C$138,1),1),ROWS(Tables!$C$123:$C$138)-1))+1)-INDEX(Tables!$D$123:$D$138,MAX(1,MIN(IFERROR(MATCH(U33,Tables!$C$123:$C$138,1),1),ROWS(Tables!$C$123:$C$138)-1))))/(INDEX(Tables!$C$123:$C$138,MAX(1,MIN(IFERROR(MATCH(U33,Tables!$C$123:$C$138,1),1),ROWS(Tables!$C$123:$C$138)-1))+1)-INDEX(Tables!$C$123:$C$138,MAX(1,MIN(IFERROR(MATCH(U33,Tables!$C$123:$C$138,1),1),ROWS(Tables!$C$123:$C$138)-1))))),IF(P33&lt;10,(INDEX(Tables!$F$123:$F$138,MAX(1,MIN(IFERROR(MATCH(U33,Tables!$E$123:$E$138,1),1),ROWS(Tables!$E$123:$E$138)-1)))+(U33-INDEX(Tables!$E$123:$E$138,MAX(1,MIN(IFERROR(MATCH(U33,Tables!$E$123:$E$138,1),1),ROWS(Tables!$E$123:$E$138)-1))))*(INDEX(Tables!$F$123:$F$138,MAX(1,MIN(IFERROR(MATCH(U33,Tables!$E$123:$E$138,1),1),ROWS(Tables!$E$123:$E$138)-1))+1)-INDEX(Tables!$F$123:$F$138,MAX(1,MIN(IFERROR(MATCH(U33,Tables!$E$123:$E$138,1),1),ROWS(Tables!$E$123:$E$138)-1))))/(INDEX(Tables!$E$123:$E$138,MAX(1,MIN(IFERROR(MATCH(U33,Tables!$E$123:$E$138,1),1),ROWS(Tables!$E$123:$E$138)-1))+1)-INDEX(Tables!$E$123:$E$138,MAX(1,MIN(IFERROR(MATCH(U33,Tables!$E$123:$E$138,1),1),ROWS(Tables!$E$123:$E$138)-1))))),(INDEX(Tables!$H$123:$H$138,MAX(1,MIN(IFERROR(MATCH(U33,Tables!$G$123:$G$138,1),1),ROWS(Tables!$G$123:$G$138)-1)))+(U33-INDEX(Tables!$G$123:$G$138,MAX(1,MIN(IFERROR(MATCH(U33,Tables!$G$123:$G$138,1),1),ROWS(Tables!$G$123:$G$138)-1))))*(INDEX(Tables!$H$123:$H$138,MAX(1,MIN(IFERROR(MATCH(U33,Tables!$G$123:$G$138,1),1),ROWS(Tables!$G$123:$G$138)-1))+1)-INDEX(Tables!$H$123:$H$138,MAX(1,MIN(IFERROR(MATCH(U33,Tables!$G$123:$G$138,1),1),ROWS(Tables!$G$123:$G$138)-1))))/(INDEX(Tables!$G$123:$G$138,MAX(1,MIN(IFERROR(MATCH(U33,Tables!$G$123:$G$138,1),1),ROWS(Tables!$G$123:$G$138)-1))+1)-INDEX(Tables!$G$123:$G$138,MAX(1,MIN(IFERROR(MATCH(U33,Tables!$G$123:$G$138,1),1),ROWS(Tables!$G$123:$G$138)-1))))))))</f>
        <v>0.79200000000000004</v>
      </c>
      <c r="AR33" s="181">
        <f>IF(OR(P33&gt;=4,U33&gt;12),VLOOKUP(R33&amp;" "&amp;S33,Tables!$D$143:$F$148,2,FALSE),VLOOKUP(R33&amp;" "&amp;S33,Tables!$A$143:$C$148,2,FALSE))</f>
        <v>0.9</v>
      </c>
      <c r="AS33" s="181">
        <f>IF(OR(P33&gt;=4,U33&gt;12),VLOOKUP(R33&amp;" "&amp;S33,Tables!$D$143:$F$148,3,FALSE),VLOOKUP(R33&amp;" "&amp;S33,Tables!$A$143:$C$148,3,FALSE))</f>
        <v>0.65</v>
      </c>
      <c r="AT33" s="181">
        <f t="shared" si="8"/>
        <v>1106.0923283165855</v>
      </c>
      <c r="AU33" s="181">
        <f>IF(AD33=5000,(INDEX(Tables!$B$244:$B$263,MAX(1,MIN(IFERROR(MATCH(AF33,Tables!$A$244:$A$263,1),1),ROWS(Tables!$A$244:$A$263)-1)))+(AF33-INDEX(Tables!$A$244:$A$263,MAX(1,MIN(IFERROR(MATCH(AF33,Tables!$A$244:$A$263,1),1),ROWS(Tables!$A$244:$A$263)-1))))*(INDEX(Tables!$B$244:$B$263,MAX(1,MIN(IFERROR(MATCH(AF33,Tables!$A$244:$A$263,1),1),ROWS(Tables!$A$244:$A$263)-1))+1)-INDEX(Tables!$B$244:$B$263,MAX(1,MIN(IFERROR(MATCH(AF33,Tables!$A$244:$A$263,1),1),ROWS(Tables!$A$244:$A$263)-1))))/(INDEX(Tables!$A$244:$A$263,MAX(1,MIN(IFERROR(MATCH(AF33,Tables!$A$244:$A$263,1),1),ROWS(Tables!$A$244:$A$263)-1))+1)-INDEX(Tables!$A$244:$A$263,MAX(1,MIN(IFERROR(MATCH(AF33,Tables!$A$244:$A$263,1),1),ROWS(Tables!$A$244:$A$263)-1))))),IF(AD33=10000,(INDEX(Tables!$D$244:$D$263,MAX(1,MIN(IFERROR(MATCH(AF33,Tables!$C$244:$C$263,1),1),ROWS(Tables!$C$244:$C$263)-1)))+(AF33-INDEX(Tables!$C$244:$C$263,MAX(1,MIN(IFERROR(MATCH(AF33,Tables!$C$244:$C$263,1),1),ROWS(Tables!$C$244:$C$263)-1))))*(INDEX(Tables!$D$244:$D$263,MAX(1,MIN(IFERROR(MATCH(AF33,Tables!$C$244:$C$263,1),1),ROWS(Tables!$C$244:$C$263)-1))+1)-INDEX(Tables!$D$244:$D$263,MAX(1,MIN(IFERROR(MATCH(AF33,Tables!$C$244:$C$263,1),1),ROWS(Tables!$C$244:$C$263)-1))))/(INDEX(Tables!$C$244:$C$263,MAX(1,MIN(IFERROR(MATCH(AF33,Tables!$C$244:$C$263,1),1),ROWS(Tables!$C$244:$C$263)-1))+1)-INDEX(Tables!$C$244:$C$263,MAX(1,MIN(IFERROR(MATCH(AF33,Tables!$C$244:$C$263,1),1),ROWS(Tables!$C$244:$C$263)-1))))),(INDEX(Tables!$F$244:$F$263,MAX(1,MIN(IFERROR(MATCH(AF33,Tables!$E$244:$E$263,1),1),ROWS(Tables!$E$244:$E$263)-1)))+(AF33-INDEX(Tables!$E$244:$E$263,MAX(1,MIN(IFERROR(MATCH(AF33,Tables!$E$244:$E$263,1),1),ROWS(Tables!$E$244:$E$263)-1))))*(INDEX(Tables!$F$244:$F$263,MAX(1,MIN(IFERROR(MATCH(AF33,Tables!$E$244:$E$263,1),1),ROWS(Tables!$E$244:$E$263)-1))+1)-INDEX(Tables!$F$244:$F$263,MAX(1,MIN(IFERROR(MATCH(AF33,Tables!$E$244:$E$263,1),1),ROWS(Tables!$E$244:$E$263)-1))))/(INDEX(Tables!$E$244:$E$263,MAX(1,MIN(IFERROR(MATCH(AF33,Tables!$E$244:$E$263,1),1),ROWS(Tables!$E$244:$E$263)-1))+1)-INDEX(Tables!$E$244:$E$263,MAX(1,MIN(IFERROR(MATCH(AF33,Tables!$E$244:$E$263,1),1),ROWS(Tables!$E$244:$E$263)-1)))))))</f>
        <v>14.753722222222223</v>
      </c>
      <c r="AV33" s="181">
        <f>IF(P33&lt;6,(INDEX(Tables!$B$260:$B$274,MAX(1,MIN(IFERROR(MATCH(U33,Tables!$A$260:$A$274,1),1),ROWS(Tables!$A$260:$A$274)-1)))+(U33-INDEX(Tables!$A$260:$A$274,MAX(1,MIN(IFERROR(MATCH(U33,Tables!$A$260:$A$274,1),1),ROWS(Tables!$A$260:$A$274)-1))))*(INDEX(Tables!$B$260:$B$274,MAX(1,MIN(IFERROR(MATCH(U33,Tables!$A$260:$A$274,1),1),ROWS(Tables!$A$260:$A$274)-1))+1)-INDEX(Tables!$B$260:$B$274,MAX(1,MIN(IFERROR(MATCH(U33,Tables!$A$260:$A$274,1),1),ROWS(Tables!$A$260:$A$274)-1))))/(INDEX(Tables!$A$260:$A$274,MAX(1,MIN(IFERROR(MATCH(U33,Tables!$A$260:$A$274,1),1),ROWS(Tables!$A$260:$A$274)-1))+1)-INDEX(Tables!$A$260:$A$274,MAX(1,MIN(IFERROR(MATCH(U33,Tables!$A$260:$A$274,1),1),ROWS(Tables!$A$260:$A$274)-1))))),IF(P33&lt;8,(INDEX(Tables!$D$260:$D$274,MAX(1,MIN(IFERROR(MATCH(U33,Tables!$C$260:$C$274,1),1),ROWS(Tables!$C$260:$C$274)-1)))+(U33-INDEX(Tables!$C$260:$C$274,MAX(1,MIN(IFERROR(MATCH(U33,Tables!$C$260:$C$274,1),1),ROWS(Tables!$C$260:$C$274)-1))))*(INDEX(Tables!$D$260:$D$274,MAX(1,MIN(IFERROR(MATCH(U33,Tables!$C$260:$C$274,1),1),ROWS(Tables!$C$260:$C$274)-1))+1)-INDEX(Tables!$D$260:$D$274,MAX(1,MIN(IFERROR(MATCH(U33,Tables!$C$260:$C$274,1),1),ROWS(Tables!$C$260:$C$274)-1))))/(INDEX(Tables!$C$260:$C$274,MAX(1,MIN(IFERROR(MATCH(U33,Tables!$C$260:$C$274,1),1),ROWS(Tables!$C$260:$C$274)-1))+1)-INDEX(Tables!$C$260:$C$274,MAX(1,MIN(IFERROR(MATCH(U33,Tables!$C$260:$C$274,1),1),ROWS(Tables!$C$260:$C$274)-1))))),IF(P33&lt;10,(INDEX(Tables!$F$260:$F$274,MAX(1,MIN(IFERROR(MATCH(U33,Tables!$E$260:$E$274,1),1),ROWS(Tables!$E$260:$E$274)-1)))+(U33-INDEX(Tables!$E$260:$E$274,MAX(1,MIN(IFERROR(MATCH(U33,Tables!$E$260:$E$274,1),1),ROWS(Tables!$E$260:$E$274)-1))))*(INDEX(Tables!$F$260:$F$274,MAX(1,MIN(IFERROR(MATCH(U33,Tables!$E$260:$E$274,1),1),ROWS(Tables!$E$260:$E$274)-1))+1)-INDEX(Tables!$F$260:$F$274,MAX(1,MIN(IFERROR(MATCH(U33,Tables!$E$260:$E$274,1),1),ROWS(Tables!$E$260:$E$274)-1))))/(INDEX(Tables!$E$260:$E$274,MAX(1,MIN(IFERROR(MATCH(U33,Tables!$E$260:$E$274,1),1),ROWS(Tables!$E$260:$E$274)-1))+1)-INDEX(Tables!$E$260:$E$274,MAX(1,MIN(IFERROR(MATCH(U33,Tables!$E$260:$E$274,1),1),ROWS(Tables!$E$260:$E$274)-1))))),(INDEX(Tables!$H$260:$H$274,MAX(1,MIN(IFERROR(MATCH(U33,Tables!$G$260:$G$274,1),1),ROWS(Tables!$G$260:$G$274)-1)))+(U33-INDEX(Tables!$G$260:$G$274,MAX(1,MIN(IFERROR(MATCH(U33,Tables!$G$260:$G$274,1),1),ROWS(Tables!$G$260:$G$274)-1))))*(INDEX(Tables!$H$260:$H$274,MAX(1,MIN(IFERROR(MATCH(U33,Tables!$G$260:$G$274,1),1),ROWS(Tables!$G$260:$G$274)-1))+1)-INDEX(Tables!$H$260:$H$274,MAX(1,MIN(IFERROR(MATCH(U33,Tables!$G$260:$G$274,1),1),ROWS(Tables!$G$260:$G$274)-1))))/(INDEX(Tables!$G$260:$G$274,MAX(1,MIN(IFERROR(MATCH(U33,Tables!$G$260:$G$274,1),1),ROWS(Tables!$G$260:$G$274)-1))+1)-INDEX(Tables!$G$260:$G$274,MAX(1,MIN(IFERROR(MATCH(U33,Tables!$G$260:$G$274,1),1),ROWS(Tables!$G$260:$G$274)-1))))))))</f>
        <v>0.84099999999999997</v>
      </c>
      <c r="AW33" s="181">
        <f t="shared" si="9"/>
        <v>856.05863180017786</v>
      </c>
      <c r="AX33" s="181">
        <f t="shared" si="10"/>
        <v>4205.3191489361707</v>
      </c>
      <c r="AY33" s="181">
        <f t="shared" si="11"/>
        <v>14487.544167652757</v>
      </c>
      <c r="AZ33" s="181">
        <f t="shared" si="12"/>
        <v>4870.4941836010294</v>
      </c>
      <c r="BA33" s="181">
        <f t="shared" si="13"/>
        <v>-100</v>
      </c>
      <c r="BB33" s="181">
        <f t="shared" si="14"/>
        <v>12845.036155421692</v>
      </c>
      <c r="BC33" s="181">
        <f t="shared" si="15"/>
        <v>46800</v>
      </c>
      <c r="BD33" s="181">
        <f>VLOOKUP(V33&amp;" "&amp;J33,Tables!$A$152:$E$239,4,FALSE)</f>
        <v>12000</v>
      </c>
      <c r="BE33" s="181">
        <f>VLOOKUP(V33&amp;" "&amp;J33,Tables!$A$152:$E$239,5,FALSE)</f>
        <v>23000</v>
      </c>
      <c r="BF33" s="181">
        <f t="shared" si="16"/>
        <v>8640</v>
      </c>
      <c r="BG33" s="181">
        <f t="shared" si="17"/>
        <v>16560</v>
      </c>
      <c r="BH33" s="181">
        <f t="shared" si="18"/>
        <v>4255.3191489361698</v>
      </c>
      <c r="BI33" s="181">
        <f t="shared" si="19"/>
        <v>46800</v>
      </c>
      <c r="BJ33" s="181">
        <f t="shared" si="20"/>
        <v>12845.036155421692</v>
      </c>
      <c r="BK33" s="181">
        <f t="shared" si="21"/>
        <v>46800</v>
      </c>
      <c r="BL33" s="181">
        <f t="shared" si="22"/>
        <v>856.05863180017786</v>
      </c>
      <c r="BM33" s="181">
        <f t="shared" si="23"/>
        <v>8640</v>
      </c>
      <c r="BN33" s="181">
        <f t="shared" si="24"/>
        <v>1106.0923283165855</v>
      </c>
      <c r="BO33" s="181">
        <f t="shared" si="25"/>
        <v>16560</v>
      </c>
      <c r="BP33" t="str">
        <f t="shared" si="26"/>
        <v>Pass</v>
      </c>
      <c r="BQ33" t="str">
        <f t="shared" si="27"/>
        <v>Pass</v>
      </c>
      <c r="BR33" t="str">
        <f t="shared" si="28"/>
        <v>Pass</v>
      </c>
      <c r="BS33" t="str">
        <f t="shared" si="29"/>
        <v>Pass</v>
      </c>
      <c r="BT33" t="str">
        <f t="shared" si="30"/>
        <v>Pass</v>
      </c>
      <c r="BU33" t="str">
        <f t="shared" si="31"/>
        <v>Effective Stress</v>
      </c>
    </row>
    <row r="34" spans="1:73">
      <c r="A34" t="s">
        <v>626</v>
      </c>
      <c r="B34" s="181">
        <v>32</v>
      </c>
      <c r="C34" t="s">
        <v>594</v>
      </c>
      <c r="D34" s="181">
        <v>24</v>
      </c>
      <c r="E34" s="181">
        <v>0.25</v>
      </c>
      <c r="F34" t="s">
        <v>117</v>
      </c>
      <c r="G34" t="s">
        <v>119</v>
      </c>
      <c r="H34" t="s">
        <v>122</v>
      </c>
      <c r="I34" s="181">
        <v>1</v>
      </c>
      <c r="J34" t="s">
        <v>126</v>
      </c>
      <c r="K34" t="s">
        <v>129</v>
      </c>
      <c r="L34" s="181">
        <v>70</v>
      </c>
      <c r="M34" s="181">
        <v>100</v>
      </c>
      <c r="N34" t="s">
        <v>388</v>
      </c>
      <c r="O34" s="181">
        <v>120</v>
      </c>
      <c r="P34" s="181">
        <v>10</v>
      </c>
      <c r="Q34" s="181">
        <v>26</v>
      </c>
      <c r="R34" t="s">
        <v>418</v>
      </c>
      <c r="S34" t="s">
        <v>420</v>
      </c>
      <c r="T34" s="181">
        <v>70</v>
      </c>
      <c r="U34" s="181">
        <f>HLOOKUP(D34,'Highway Loading'!$C$155:$AD$156,2,FALSE)</f>
        <v>24</v>
      </c>
      <c r="V34" s="181">
        <f>IF(ISBLANK(G34),"",INDEX('Highway Loading'!$C$216:$AG$216,1,MATCH(G34,'Highway Loading'!$C$215:$AG$215,0)))</f>
        <v>65000</v>
      </c>
      <c r="W34" s="181">
        <f>INDEX('Highway Loading'!$I$245:$L$253,MATCH(H34,'Highway Loading'!$H$245:$H$253,0),MATCH(I34,'Highway Loading'!$I$244:$L$244,0))</f>
        <v>0.72</v>
      </c>
      <c r="X34" s="181">
        <f t="shared" ref="X34:X65" si="32">IF(ISBLANK(J34),"",IF(OR(J34="SEAMLESS",J34="ELECTRIC RESISTANCE WELDED",J34="SUBMERGED ARC WELDED",J34="COMBINATION WELDED"),1,IF(J34="FURNACE BUTT WELDED",0.6,IF(J34="ELECTRIC FUSION WELDED, EVEN CLASS",1,IF(J34="ELECTRIC FUSION WELDED, ODD CLASS",0.8,IF(U34&gt;4.5,0.8,0.6))))))</f>
        <v>1</v>
      </c>
      <c r="Y34" s="181">
        <f>VLOOKUP(K34,'Highway Loading'!$B$283:$E$292,2,FALSE)</f>
        <v>29000000</v>
      </c>
      <c r="Z34" s="181">
        <f>VLOOKUP(K34,'Highway Loading'!$B$283:$E$292,3,FALSE)</f>
        <v>0.3</v>
      </c>
      <c r="AA34" s="181">
        <f>VLOOKUP(K34,'Highway Loading'!$B$283:$E$292,4,FALSE)</f>
        <v>6.4999999999999996E-6</v>
      </c>
      <c r="AB34" s="181">
        <f t="shared" ref="AB34:AB65" si="33">IF(L34&gt;250,1-(1/30/50*(L34-250)),1)</f>
        <v>1</v>
      </c>
      <c r="AC34" s="181">
        <f>VLOOKUP(N34,'Highway Loading'!$B$256:$D$261,2,FALSE)</f>
        <v>200</v>
      </c>
      <c r="AD34" s="181">
        <f>VLOOKUP(N34,'Highway Loading'!$B$256:$D$261,3,FALSE)</f>
        <v>5000</v>
      </c>
      <c r="AE34" s="181">
        <f>VLOOKUP(S34,'Highway Loading'!$B$340:$C$341,2,FALSE)</f>
        <v>12000</v>
      </c>
      <c r="AF34" s="181">
        <f t="shared" ref="AF34:AF65" si="34">E34/U34</f>
        <v>1.0416666666666666E-2</v>
      </c>
      <c r="AG34" s="181">
        <f t="shared" ref="AG34:AG65" si="35">P34*12/Q34</f>
        <v>4.615384615384615</v>
      </c>
      <c r="AH34" s="181">
        <f t="shared" ref="AH34:AH65" si="36">Q34/U34</f>
        <v>1.0833333333333333</v>
      </c>
      <c r="AI34" s="181">
        <f t="shared" ref="AI34:AI65" si="37">M34*U34/(2*E34)</f>
        <v>4800</v>
      </c>
      <c r="AJ34" s="181">
        <f t="shared" ref="AJ34:AJ65" si="38">W34*X34*AB34*V34</f>
        <v>46800</v>
      </c>
      <c r="AK34" s="181">
        <f>IF(AC34=200,(INDEX(Tables!$B$17:$B$38,MAX(1,MIN(IFERROR(MATCH(AF34,Tables!$A$17:$A$38,1),1),ROWS(Tables!$A$17:$A$38)-1)))+(AF34-INDEX(Tables!$A$17:$A$38,MAX(1,MIN(IFERROR(MATCH(AF34,Tables!$A$17:$A$38,1),1),ROWS(Tables!$A$17:$A$38)-1))))*(INDEX(Tables!$B$17:$B$38,MAX(1,MIN(IFERROR(MATCH(AF34,Tables!$A$17:$A$38,1),1),ROWS(Tables!$A$17:$A$38)-1))+1)-INDEX(Tables!$B$17:$B$38,MAX(1,MIN(IFERROR(MATCH(AF34,Tables!$A$17:$A$38,1),1),ROWS(Tables!$A$17:$A$38)-1))))/(INDEX(Tables!$A$17:$A$38,MAX(1,MIN(IFERROR(MATCH(AF34,Tables!$A$17:$A$38,1),1),ROWS(Tables!$A$17:$A$38)-1))+1)-INDEX(Tables!$A$17:$A$38,MAX(1,MIN(IFERROR(MATCH(AF34,Tables!$A$17:$A$38,1),1),ROWS(Tables!$A$17:$A$38)-1))))),IF(AC34=500,(INDEX(Tables!$D$17:$D$38,MAX(1,MIN(IFERROR(MATCH(AF34,Tables!$C$17:$C$38,1),1),ROWS(Tables!$C$17:$C$38)-1)))+(AF34-INDEX(Tables!$C$17:$C$38,MAX(1,MIN(IFERROR(MATCH(AF34,Tables!$C$17:$C$38,1),1),ROWS(Tables!$C$17:$C$38)-1))))*(INDEX(Tables!$D$17:$D$38,MAX(1,MIN(IFERROR(MATCH(AF34,Tables!$C$17:$C$38,1),1),ROWS(Tables!$C$17:$C$38)-1))+1)-INDEX(Tables!$D$17:$D$38,MAX(1,MIN(IFERROR(MATCH(AF34,Tables!$C$17:$C$38,1),1),ROWS(Tables!$C$17:$C$38)-1))))/(INDEX(Tables!$C$17:$C$38,MAX(1,MIN(IFERROR(MATCH(AF34,Tables!$C$17:$C$38,1),1),ROWS(Tables!$C$17:$C$38)-1))+1)-INDEX(Tables!$C$17:$C$38,MAX(1,MIN(IFERROR(MATCH(AF34,Tables!$C$17:$C$38,1),1),ROWS(Tables!$C$17:$C$38)-1))))),IF(AC34=1000,(INDEX(Tables!$F$17:$F$38,MAX(1,MIN(IFERROR(MATCH(AF34,Tables!$E$17:$E$38,1),1),ROWS(Tables!$E$17:$E$38)-1)))+(AF34-INDEX(Tables!$E$17:$E$38,MAX(1,MIN(IFERROR(MATCH(AF34,Tables!$E$17:$E$38,1),1),ROWS(Tables!$E$17:$E$38)-1))))*(INDEX(Tables!$F$17:$F$38,MAX(1,MIN(IFERROR(MATCH(AF34,Tables!$E$17:$E$38,1),1),ROWS(Tables!$E$17:$E$38)-1))+1)-INDEX(Tables!$F$17:$F$38,MAX(1,MIN(IFERROR(MATCH(AF34,Tables!$E$17:$E$38,1),1),ROWS(Tables!$E$17:$E$38)-1))))/(INDEX(Tables!$E$17:$E$38,MAX(1,MIN(IFERROR(MATCH(AF34,Tables!$E$17:$E$38,1),1),ROWS(Tables!$E$17:$E$38)-1))+1)-INDEX(Tables!$E$17:$E$38,MAX(1,MIN(IFERROR(MATCH(AF34,Tables!$E$17:$E$38,1),1),ROWS(Tables!$E$17:$E$38)-1))))),(INDEX(Tables!$H$17:$H$38,MAX(1,MIN(IFERROR(MATCH(AF34,Tables!$G$17:$G$38,1),1),ROWS(Tables!$G$17:$G$38)-1)))+(AF34-INDEX(Tables!$G$17:$G$38,MAX(1,MIN(IFERROR(MATCH(AF34,Tables!$G$17:$G$38,1),1),ROWS(Tables!$G$17:$G$38)-1))))*(INDEX(Tables!$H$17:$H$38,MAX(1,MIN(IFERROR(MATCH(AF34,Tables!$G$17:$G$38,1),1),ROWS(Tables!$G$17:$G$38)-1))+1)-INDEX(Tables!$H$17:$H$38,MAX(1,MIN(IFERROR(MATCH(AF34,Tables!$G$17:$G$38,1),1),ROWS(Tables!$G$17:$G$38)-1))))/(INDEX(Tables!$G$17:$G$38,MAX(1,MIN(IFERROR(MATCH(AF34,Tables!$G$17:$G$38,1),1),ROWS(Tables!$G$17:$G$38)-1))+1)-INDEX(Tables!$G$17:$G$38,MAX(1,MIN(IFERROR(MATCH(AF34,Tables!$G$17:$G$38,1),1),ROWS(Tables!$G$17:$G$38)-1))))))))</f>
        <v>8220.6666666666679</v>
      </c>
      <c r="AL34" s="181">
        <f>IF(AC34&lt;1000,(INDEX(Tables!$B$43:$B$76,MAX(1,MIN(IFERROR(MATCH(AG34,Tables!$A$43:$A$76,1),1),ROWS(Tables!$A$43:$A$76)-1)))+(AG34-INDEX(Tables!$A$43:$A$76,MAX(1,MIN(IFERROR(MATCH(AG34,Tables!$A$43:$A$76,1),1),ROWS(Tables!$A$43:$A$76)-1))))*(INDEX(Tables!$B$43:$B$76,MAX(1,MIN(IFERROR(MATCH(AG34,Tables!$A$43:$A$76,1),1),ROWS(Tables!$A$43:$A$76)-1))+1)-INDEX(Tables!$B$43:$B$76,MAX(1,MIN(IFERROR(MATCH(AG34,Tables!$A$43:$A$76,1),1),ROWS(Tables!$A$43:$A$76)-1))))/(INDEX(Tables!$A$43:$A$76,MAX(1,MIN(IFERROR(MATCH(AG34,Tables!$A$43:$A$76,1),1),ROWS(Tables!$A$43:$A$76)-1))+1)-INDEX(Tables!$A$43:$A$76,MAX(1,MIN(IFERROR(MATCH(AG34,Tables!$A$43:$A$76,1),1),ROWS(Tables!$A$43:$A$76)-1))))),(INDEX(Tables!$D$43:$D$76,MAX(1,MIN(IFERROR(MATCH(AG34,Tables!$C$43:$C$76,1),1),ROWS(Tables!$C$43:$C$76)-1)))+(AG34-INDEX(Tables!$C$43:$C$76,MAX(1,MIN(IFERROR(MATCH(AG34,Tables!$C$43:$C$76,1),1),ROWS(Tables!$C$43:$C$76)-1))))*(INDEX(Tables!$D$43:$D$76,MAX(1,MIN(IFERROR(MATCH(AG34,Tables!$C$43:$C$76,1),1),ROWS(Tables!$C$43:$C$76)-1))+1)-INDEX(Tables!$D$43:$D$76,MAX(1,MIN(IFERROR(MATCH(AG34,Tables!$C$43:$C$76,1),1),ROWS(Tables!$C$43:$C$76)-1))))/(INDEX(Tables!$C$43:$C$76,MAX(1,MIN(IFERROR(MATCH(AG34,Tables!$C$43:$C$76,1),1),ROWS(Tables!$C$43:$C$76)-1))+1)-INDEX(Tables!$C$43:$C$76,MAX(1,MIN(IFERROR(MATCH(AG34,Tables!$C$43:$C$76,1),1),ROWS(Tables!$C$43:$C$76)-1))))))</f>
        <v>1.0408461538461538</v>
      </c>
      <c r="AM34" s="181">
        <f>(INDEX(Tables!$B$80:$B$87,MAX(1,MIN(IFERROR(MATCH(AH34,Tables!$A$80:$A$87,1),1),ROWS(Tables!$A$80:$A$87)-1)))+(AH34-INDEX(Tables!$A$80:$A$87,MAX(1,MIN(IFERROR(MATCH(AH34,Tables!$A$80:$A$87,1),1),ROWS(Tables!$A$80:$A$87)-1))))*(INDEX(Tables!$B$80:$B$87,MAX(1,MIN(IFERROR(MATCH(AH34,Tables!$A$80:$A$87,1),1),ROWS(Tables!$A$80:$A$87)-1))+1)-INDEX(Tables!$B$80:$B$87,MAX(1,MIN(IFERROR(MATCH(AH34,Tables!$A$80:$A$87,1),1),ROWS(Tables!$A$80:$A$87)-1))))/(INDEX(Tables!$A$80:$A$87,MAX(1,MIN(IFERROR(MATCH(AH34,Tables!$A$80:$A$87,1),1),ROWS(Tables!$A$80:$A$87)-1))+1)-INDEX(Tables!$A$80:$A$87,MAX(1,MIN(IFERROR(MATCH(AH34,Tables!$A$80:$A$87,1),1),ROWS(Tables!$A$80:$A$87)-1)))))</f>
        <v>0.96739999999999982</v>
      </c>
      <c r="AN34" s="181">
        <f t="shared" ref="AN34:AN65" si="39">AK34*AL34*AM34*(O34/(12^3))*U34</f>
        <v>13795.848392427348</v>
      </c>
      <c r="AO34" s="181">
        <f>(INDEX(Tables!$B$91:$B$94,MAX(1,MIN(IFERROR(MATCH(P34,Tables!$A$91:$A$94,1),1),ROWS(Tables!$A$91:$A$94)-1)))+(P34-INDEX(Tables!$A$91:$A$94,MAX(1,MIN(IFERROR(MATCH(P34,Tables!$A$91:$A$94,1),1),ROWS(Tables!$A$91:$A$94)-1))))*(INDEX(Tables!$B$91:$B$94,MAX(1,MIN(IFERROR(MATCH(P34,Tables!$A$91:$A$94,1),1),ROWS(Tables!$A$91:$A$94)-1))+1)-INDEX(Tables!$B$91:$B$94,MAX(1,MIN(IFERROR(MATCH(P34,Tables!$A$91:$A$94,1),1),ROWS(Tables!$A$91:$A$94)-1))))/(INDEX(Tables!$A$91:$A$94,MAX(1,MIN(IFERROR(MATCH(P34,Tables!$A$91:$A$94,1),1),ROWS(Tables!$A$91:$A$94)-1))+1)-INDEX(Tables!$A$91:$A$94,MAX(1,MIN(IFERROR(MATCH(P34,Tables!$A$91:$A$94,1),1),ROWS(Tables!$A$91:$A$94)-1)))))</f>
        <v>1.3542682926829268</v>
      </c>
      <c r="AP34" s="181">
        <f>IF(AD34=5000,(INDEX(Tables!$B$99:$B$118,MAX(1,MIN(IFERROR(MATCH(AF34,Tables!$A$99:$A$118,1),1),ROWS(Tables!$A$99:$A$118)-1)))+(AF34-INDEX(Tables!$A$99:$A$118,MAX(1,MIN(IFERROR(MATCH(AF34,Tables!$A$99:$A$118,1),1),ROWS(Tables!$A$99:$A$118)-1))))*(INDEX(Tables!$B$99:$B$118,MAX(1,MIN(IFERROR(MATCH(AF34,Tables!$A$99:$A$118,1),1),ROWS(Tables!$A$99:$A$118)-1))+1)-INDEX(Tables!$B$99:$B$118,MAX(1,MIN(IFERROR(MATCH(AF34,Tables!$A$99:$A$118,1),1),ROWS(Tables!$A$99:$A$118)-1))))/(INDEX(Tables!$A$99:$A$118,MAX(1,MIN(IFERROR(MATCH(AF34,Tables!$A$99:$A$118,1),1),ROWS(Tables!$A$99:$A$118)-1))+1)-INDEX(Tables!$A$99:$A$118,MAX(1,MIN(IFERROR(MATCH(AF34,Tables!$A$99:$A$118,1),1),ROWS(Tables!$A$99:$A$118)-1))))),IF(AD34=10000,(INDEX(Tables!$D$99:$D$118,MAX(1,MIN(IFERROR(MATCH(AF34,Tables!$C$99:$C$118,1),1),ROWS(Tables!$C$99:$C$118)-1)))+(AF34-INDEX(Tables!$C$99:$C$118,MAX(1,MIN(IFERROR(MATCH(AF34,Tables!$C$99:$C$118,1),1),ROWS(Tables!$C$99:$C$118)-1))))*(INDEX(Tables!$D$99:$D$118,MAX(1,MIN(IFERROR(MATCH(AF34,Tables!$C$99:$C$118,1),1),ROWS(Tables!$C$99:$C$118)-1))+1)-INDEX(Tables!$D$99:$D$118,MAX(1,MIN(IFERROR(MATCH(AF34,Tables!$C$99:$C$118,1),1),ROWS(Tables!$C$99:$C$118)-1))))/(INDEX(Tables!$C$99:$C$118,MAX(1,MIN(IFERROR(MATCH(AF34,Tables!$C$99:$C$118,1),1),ROWS(Tables!$C$99:$C$118)-1))+1)-INDEX(Tables!$C$99:$C$118,MAX(1,MIN(IFERROR(MATCH(AF34,Tables!$C$99:$C$118,1),1),ROWS(Tables!$C$99:$C$118)-1))))),(INDEX(Tables!$F$99:$F$118,MAX(1,MIN(IFERROR(MATCH(AF34,Tables!$E$99:$E$118,1),1),ROWS(Tables!$E$99:$E$118)-1)))+(AF34-INDEX(Tables!$E$99:$E$118,MAX(1,MIN(IFERROR(MATCH(AF34,Tables!$E$99:$E$118,1),1),ROWS(Tables!$E$99:$E$118)-1))))*(INDEX(Tables!$F$99:$F$118,MAX(1,MIN(IFERROR(MATCH(AF34,Tables!$E$99:$E$118,1),1),ROWS(Tables!$E$99:$E$118)-1))+1)-INDEX(Tables!$F$99:$F$118,MAX(1,MIN(IFERROR(MATCH(AF34,Tables!$E$99:$E$118,1),1),ROWS(Tables!$E$99:$E$118)-1))))/(INDEX(Tables!$E$99:$E$118,MAX(1,MIN(IFERROR(MATCH(AF34,Tables!$E$99:$E$118,1),1),ROWS(Tables!$E$99:$E$118)-1))+1)-INDEX(Tables!$E$99:$E$118,MAX(1,MIN(IFERROR(MATCH(AF34,Tables!$E$99:$E$118,1),1),ROWS(Tables!$E$99:$E$118)-1)))))))</f>
        <v>19.818999999999999</v>
      </c>
      <c r="AQ34" s="181">
        <f>IF(P34&lt;6,(INDEX(Tables!$B$123:$B$138,MAX(1,MIN(IFERROR(MATCH(U34,Tables!$A$123:$A$138,1),1),ROWS(Tables!$A$123:$A$138)-1)))+(U34-INDEX(Tables!$A$123:$A$138,MAX(1,MIN(IFERROR(MATCH(U34,Tables!$A$123:$A$138,1),1),ROWS(Tables!$A$123:$A$138)-1))))*(INDEX(Tables!$B$123:$B$138,MAX(1,MIN(IFERROR(MATCH(U34,Tables!$A$123:$A$138,1),1),ROWS(Tables!$A$123:$A$138)-1))+1)-INDEX(Tables!$B$123:$B$138,MAX(1,MIN(IFERROR(MATCH(U34,Tables!$A$123:$A$138,1),1),ROWS(Tables!$A$123:$A$138)-1))))/(INDEX(Tables!$A$123:$A$138,MAX(1,MIN(IFERROR(MATCH(U34,Tables!$A$123:$A$138,1),1),ROWS(Tables!$A$123:$A$138)-1))+1)-INDEX(Tables!$A$123:$A$138,MAX(1,MIN(IFERROR(MATCH(U34,Tables!$A$123:$A$138,1),1),ROWS(Tables!$A$123:$A$138)-1))))),IF(P34&lt;8,(INDEX(Tables!$D$123:$D$138,MAX(1,MIN(IFERROR(MATCH(U34,Tables!$C$123:$C$138,1),1),ROWS(Tables!$C$123:$C$138)-1)))+(U34-INDEX(Tables!$C$123:$C$138,MAX(1,MIN(IFERROR(MATCH(U34,Tables!$C$123:$C$138,1),1),ROWS(Tables!$C$123:$C$138)-1))))*(INDEX(Tables!$D$123:$D$138,MAX(1,MIN(IFERROR(MATCH(U34,Tables!$C$123:$C$138,1),1),ROWS(Tables!$C$123:$C$138)-1))+1)-INDEX(Tables!$D$123:$D$138,MAX(1,MIN(IFERROR(MATCH(U34,Tables!$C$123:$C$138,1),1),ROWS(Tables!$C$123:$C$138)-1))))/(INDEX(Tables!$C$123:$C$138,MAX(1,MIN(IFERROR(MATCH(U34,Tables!$C$123:$C$138,1),1),ROWS(Tables!$C$123:$C$138)-1))+1)-INDEX(Tables!$C$123:$C$138,MAX(1,MIN(IFERROR(MATCH(U34,Tables!$C$123:$C$138,1),1),ROWS(Tables!$C$123:$C$138)-1))))),IF(P34&lt;10,(INDEX(Tables!$F$123:$F$138,MAX(1,MIN(IFERROR(MATCH(U34,Tables!$E$123:$E$138,1),1),ROWS(Tables!$E$123:$E$138)-1)))+(U34-INDEX(Tables!$E$123:$E$138,MAX(1,MIN(IFERROR(MATCH(U34,Tables!$E$123:$E$138,1),1),ROWS(Tables!$E$123:$E$138)-1))))*(INDEX(Tables!$F$123:$F$138,MAX(1,MIN(IFERROR(MATCH(U34,Tables!$E$123:$E$138,1),1),ROWS(Tables!$E$123:$E$138)-1))+1)-INDEX(Tables!$F$123:$F$138,MAX(1,MIN(IFERROR(MATCH(U34,Tables!$E$123:$E$138,1),1),ROWS(Tables!$E$123:$E$138)-1))))/(INDEX(Tables!$E$123:$E$138,MAX(1,MIN(IFERROR(MATCH(U34,Tables!$E$123:$E$138,1),1),ROWS(Tables!$E$123:$E$138)-1))+1)-INDEX(Tables!$E$123:$E$138,MAX(1,MIN(IFERROR(MATCH(U34,Tables!$E$123:$E$138,1),1),ROWS(Tables!$E$123:$E$138)-1))))),(INDEX(Tables!$H$123:$H$138,MAX(1,MIN(IFERROR(MATCH(U34,Tables!$G$123:$G$138,1),1),ROWS(Tables!$G$123:$G$138)-1)))+(U34-INDEX(Tables!$G$123:$G$138,MAX(1,MIN(IFERROR(MATCH(U34,Tables!$G$123:$G$138,1),1),ROWS(Tables!$G$123:$G$138)-1))))*(INDEX(Tables!$H$123:$H$138,MAX(1,MIN(IFERROR(MATCH(U34,Tables!$G$123:$G$138,1),1),ROWS(Tables!$G$123:$G$138)-1))+1)-INDEX(Tables!$H$123:$H$138,MAX(1,MIN(IFERROR(MATCH(U34,Tables!$G$123:$G$138,1),1),ROWS(Tables!$G$123:$G$138)-1))))/(INDEX(Tables!$G$123:$G$138,MAX(1,MIN(IFERROR(MATCH(U34,Tables!$G$123:$G$138,1),1),ROWS(Tables!$G$123:$G$138)-1))+1)-INDEX(Tables!$G$123:$G$138,MAX(1,MIN(IFERROR(MATCH(U34,Tables!$G$123:$G$138,1),1),ROWS(Tables!$G$123:$G$138)-1))))))))</f>
        <v>0.57750000000000001</v>
      </c>
      <c r="AR34" s="181">
        <f>IF(OR(P34&gt;=4,U34&gt;12),VLOOKUP(R34&amp;" "&amp;S34,Tables!$D$143:$F$148,2,FALSE),VLOOKUP(R34&amp;" "&amp;S34,Tables!$A$143:$C$148,2,FALSE))</f>
        <v>0.9</v>
      </c>
      <c r="AS34" s="181">
        <f>IF(OR(P34&gt;=4,U34&gt;12),VLOOKUP(R34&amp;" "&amp;S34,Tables!$D$143:$F$148,3,FALSE),VLOOKUP(R34&amp;" "&amp;S34,Tables!$A$143:$C$148,3,FALSE))</f>
        <v>0.65</v>
      </c>
      <c r="AT34" s="181">
        <f t="shared" ref="AT34:AT65" si="40">AP34*AQ34*AR34*AS34*AO34*AE34/(12^2)</f>
        <v>755.63672444931399</v>
      </c>
      <c r="AU34" s="181">
        <f>IF(AD34=5000,(INDEX(Tables!$B$244:$B$263,MAX(1,MIN(IFERROR(MATCH(AF34,Tables!$A$244:$A$263,1),1),ROWS(Tables!$A$244:$A$263)-1)))+(AF34-INDEX(Tables!$A$244:$A$263,MAX(1,MIN(IFERROR(MATCH(AF34,Tables!$A$244:$A$263,1),1),ROWS(Tables!$A$244:$A$263)-1))))*(INDEX(Tables!$B$244:$B$263,MAX(1,MIN(IFERROR(MATCH(AF34,Tables!$A$244:$A$263,1),1),ROWS(Tables!$A$244:$A$263)-1))+1)-INDEX(Tables!$B$244:$B$263,MAX(1,MIN(IFERROR(MATCH(AF34,Tables!$A$244:$A$263,1),1),ROWS(Tables!$A$244:$A$263)-1))))/(INDEX(Tables!$A$244:$A$263,MAX(1,MIN(IFERROR(MATCH(AF34,Tables!$A$244:$A$263,1),1),ROWS(Tables!$A$244:$A$263)-1))+1)-INDEX(Tables!$A$244:$A$263,MAX(1,MIN(IFERROR(MATCH(AF34,Tables!$A$244:$A$263,1),1),ROWS(Tables!$A$244:$A$263)-1))))),IF(AD34=10000,(INDEX(Tables!$D$244:$D$263,MAX(1,MIN(IFERROR(MATCH(AF34,Tables!$C$244:$C$263,1),1),ROWS(Tables!$C$244:$C$263)-1)))+(AF34-INDEX(Tables!$C$244:$C$263,MAX(1,MIN(IFERROR(MATCH(AF34,Tables!$C$244:$C$263,1),1),ROWS(Tables!$C$244:$C$263)-1))))*(INDEX(Tables!$D$244:$D$263,MAX(1,MIN(IFERROR(MATCH(AF34,Tables!$C$244:$C$263,1),1),ROWS(Tables!$C$244:$C$263)-1))+1)-INDEX(Tables!$D$244:$D$263,MAX(1,MIN(IFERROR(MATCH(AF34,Tables!$C$244:$C$263,1),1),ROWS(Tables!$C$244:$C$263)-1))))/(INDEX(Tables!$C$244:$C$263,MAX(1,MIN(IFERROR(MATCH(AF34,Tables!$C$244:$C$263,1),1),ROWS(Tables!$C$244:$C$263)-1))+1)-INDEX(Tables!$C$244:$C$263,MAX(1,MIN(IFERROR(MATCH(AF34,Tables!$C$244:$C$263,1),1),ROWS(Tables!$C$244:$C$263)-1))))),(INDEX(Tables!$F$244:$F$263,MAX(1,MIN(IFERROR(MATCH(AF34,Tables!$E$244:$E$263,1),1),ROWS(Tables!$E$244:$E$263)-1)))+(AF34-INDEX(Tables!$E$244:$E$263,MAX(1,MIN(IFERROR(MATCH(AF34,Tables!$E$244:$E$263,1),1),ROWS(Tables!$E$244:$E$263)-1))))*(INDEX(Tables!$F$244:$F$263,MAX(1,MIN(IFERROR(MATCH(AF34,Tables!$E$244:$E$263,1),1),ROWS(Tables!$E$244:$E$263)-1))+1)-INDEX(Tables!$F$244:$F$263,MAX(1,MIN(IFERROR(MATCH(AF34,Tables!$E$244:$E$263,1),1),ROWS(Tables!$E$244:$E$263)-1))))/(INDEX(Tables!$E$244:$E$263,MAX(1,MIN(IFERROR(MATCH(AF34,Tables!$E$244:$E$263,1),1),ROWS(Tables!$E$244:$E$263)-1))+1)-INDEX(Tables!$E$244:$E$263,MAX(1,MIN(IFERROR(MATCH(AF34,Tables!$E$244:$E$263,1),1),ROWS(Tables!$E$244:$E$263)-1)))))))</f>
        <v>14.659000000000001</v>
      </c>
      <c r="AV34" s="181">
        <f>IF(P34&lt;6,(INDEX(Tables!$B$260:$B$274,MAX(1,MIN(IFERROR(MATCH(U34,Tables!$A$260:$A$274,1),1),ROWS(Tables!$A$260:$A$274)-1)))+(U34-INDEX(Tables!$A$260:$A$274,MAX(1,MIN(IFERROR(MATCH(U34,Tables!$A$260:$A$274,1),1),ROWS(Tables!$A$260:$A$274)-1))))*(INDEX(Tables!$B$260:$B$274,MAX(1,MIN(IFERROR(MATCH(U34,Tables!$A$260:$A$274,1),1),ROWS(Tables!$A$260:$A$274)-1))+1)-INDEX(Tables!$B$260:$B$274,MAX(1,MIN(IFERROR(MATCH(U34,Tables!$A$260:$A$274,1),1),ROWS(Tables!$A$260:$A$274)-1))))/(INDEX(Tables!$A$260:$A$274,MAX(1,MIN(IFERROR(MATCH(U34,Tables!$A$260:$A$274,1),1),ROWS(Tables!$A$260:$A$274)-1))+1)-INDEX(Tables!$A$260:$A$274,MAX(1,MIN(IFERROR(MATCH(U34,Tables!$A$260:$A$274,1),1),ROWS(Tables!$A$260:$A$274)-1))))),IF(P34&lt;8,(INDEX(Tables!$D$260:$D$274,MAX(1,MIN(IFERROR(MATCH(U34,Tables!$C$260:$C$274,1),1),ROWS(Tables!$C$260:$C$274)-1)))+(U34-INDEX(Tables!$C$260:$C$274,MAX(1,MIN(IFERROR(MATCH(U34,Tables!$C$260:$C$274,1),1),ROWS(Tables!$C$260:$C$274)-1))))*(INDEX(Tables!$D$260:$D$274,MAX(1,MIN(IFERROR(MATCH(U34,Tables!$C$260:$C$274,1),1),ROWS(Tables!$C$260:$C$274)-1))+1)-INDEX(Tables!$D$260:$D$274,MAX(1,MIN(IFERROR(MATCH(U34,Tables!$C$260:$C$274,1),1),ROWS(Tables!$C$260:$C$274)-1))))/(INDEX(Tables!$C$260:$C$274,MAX(1,MIN(IFERROR(MATCH(U34,Tables!$C$260:$C$274,1),1),ROWS(Tables!$C$260:$C$274)-1))+1)-INDEX(Tables!$C$260:$C$274,MAX(1,MIN(IFERROR(MATCH(U34,Tables!$C$260:$C$274,1),1),ROWS(Tables!$C$260:$C$274)-1))))),IF(P34&lt;10,(INDEX(Tables!$F$260:$F$274,MAX(1,MIN(IFERROR(MATCH(U34,Tables!$E$260:$E$274,1),1),ROWS(Tables!$E$260:$E$274)-1)))+(U34-INDEX(Tables!$E$260:$E$274,MAX(1,MIN(IFERROR(MATCH(U34,Tables!$E$260:$E$274,1),1),ROWS(Tables!$E$260:$E$274)-1))))*(INDEX(Tables!$F$260:$F$274,MAX(1,MIN(IFERROR(MATCH(U34,Tables!$E$260:$E$274,1),1),ROWS(Tables!$E$260:$E$274)-1))+1)-INDEX(Tables!$F$260:$F$274,MAX(1,MIN(IFERROR(MATCH(U34,Tables!$E$260:$E$274,1),1),ROWS(Tables!$E$260:$E$274)-1))))/(INDEX(Tables!$E$260:$E$274,MAX(1,MIN(IFERROR(MATCH(U34,Tables!$E$260:$E$274,1),1),ROWS(Tables!$E$260:$E$274)-1))+1)-INDEX(Tables!$E$260:$E$274,MAX(1,MIN(IFERROR(MATCH(U34,Tables!$E$260:$E$274,1),1),ROWS(Tables!$E$260:$E$274)-1))))),(INDEX(Tables!$H$260:$H$274,MAX(1,MIN(IFERROR(MATCH(U34,Tables!$G$260:$G$274,1),1),ROWS(Tables!$G$260:$G$274)-1)))+(U34-INDEX(Tables!$G$260:$G$274,MAX(1,MIN(IFERROR(MATCH(U34,Tables!$G$260:$G$274,1),1),ROWS(Tables!$G$260:$G$274)-1))))*(INDEX(Tables!$H$260:$H$274,MAX(1,MIN(IFERROR(MATCH(U34,Tables!$G$260:$G$274,1),1),ROWS(Tables!$G$260:$G$274)-1))+1)-INDEX(Tables!$H$260:$H$274,MAX(1,MIN(IFERROR(MATCH(U34,Tables!$G$260:$G$274,1),1),ROWS(Tables!$G$260:$G$274)-1))))/(INDEX(Tables!$G$260:$G$274,MAX(1,MIN(IFERROR(MATCH(U34,Tables!$G$260:$G$274,1),1),ROWS(Tables!$G$260:$G$274)-1))+1)-INDEX(Tables!$G$260:$G$274,MAX(1,MIN(IFERROR(MATCH(U34,Tables!$G$260:$G$274,1),1),ROWS(Tables!$G$260:$G$274)-1))))))))</f>
        <v>0.64533333333333331</v>
      </c>
      <c r="AW34" s="181">
        <f t="shared" ref="AW34:AW65" si="41">AU34*AV34*AR34*AS34*AO34*(AE34/(12^2))</f>
        <v>624.55080667073162</v>
      </c>
      <c r="AX34" s="181">
        <f t="shared" ref="AX34:AX65" si="42">M34*(U34-E34)/(2*E34)</f>
        <v>4750</v>
      </c>
      <c r="AY34" s="181">
        <f t="shared" ref="AY34:AY65" si="43">AN34+AT34+AX34</f>
        <v>19301.485116876662</v>
      </c>
      <c r="AZ34" s="181">
        <f t="shared" ref="AZ34:AZ65" si="44">AW34-(Y34)*(AA34)*(L34-T34)+(Z34*(AN34+AX34))</f>
        <v>6188.3053243989352</v>
      </c>
      <c r="BA34" s="181">
        <f t="shared" ref="BA34:BA65" si="45">-M34</f>
        <v>-100</v>
      </c>
      <c r="BB34" s="181">
        <f t="shared" ref="BB34:BB65" si="46">SQRT(0.5*((AY34-AZ34)^2+(AZ34-BA34)^2+(BA34-AY34)^2))</f>
        <v>17145.20184866741</v>
      </c>
      <c r="BC34" s="181">
        <f t="shared" ref="BC34:BC65" si="47">V34*W34</f>
        <v>46800</v>
      </c>
      <c r="BD34" s="181">
        <f>VLOOKUP(V34&amp;" "&amp;J34,Tables!$A$152:$E$239,4,FALSE)</f>
        <v>12000</v>
      </c>
      <c r="BE34" s="181">
        <f>VLOOKUP(V34&amp;" "&amp;J34,Tables!$A$152:$E$239,5,FALSE)</f>
        <v>23000</v>
      </c>
      <c r="BF34" s="181">
        <f t="shared" ref="BF34:BF65" si="48">BD34*W34</f>
        <v>8640</v>
      </c>
      <c r="BG34" s="181">
        <f t="shared" ref="BG34:BG65" si="49">BE34*W34</f>
        <v>16560</v>
      </c>
      <c r="BH34" s="181">
        <f t="shared" ref="BH34:BH65" si="50">AI34</f>
        <v>4800</v>
      </c>
      <c r="BI34" s="181">
        <f t="shared" ref="BI34:BI65" si="51">AJ34</f>
        <v>46800</v>
      </c>
      <c r="BJ34" s="181">
        <f t="shared" ref="BJ34:BJ65" si="52">BB34</f>
        <v>17145.20184866741</v>
      </c>
      <c r="BK34" s="181">
        <f t="shared" ref="BK34:BK65" si="53">BC34</f>
        <v>46800</v>
      </c>
      <c r="BL34" s="181">
        <f t="shared" ref="BL34:BL65" si="54">AW34</f>
        <v>624.55080667073162</v>
      </c>
      <c r="BM34" s="181">
        <f t="shared" ref="BM34:BM65" si="55">BF34</f>
        <v>8640</v>
      </c>
      <c r="BN34" s="181">
        <f t="shared" ref="BN34:BN65" si="56">AT34</f>
        <v>755.63672444931399</v>
      </c>
      <c r="BO34" s="181">
        <f t="shared" ref="BO34:BO65" si="57">BG34</f>
        <v>16560</v>
      </c>
      <c r="BP34" t="str">
        <f t="shared" ref="BP34:BP65" si="58">IF(BH34&lt;=BI34,"Pass","Fail")</f>
        <v>Pass</v>
      </c>
      <c r="BQ34" t="str">
        <f t="shared" ref="BQ34:BQ65" si="59">IF(BJ34&lt;=BK34,"Pass","Fail")</f>
        <v>Pass</v>
      </c>
      <c r="BR34" t="str">
        <f t="shared" ref="BR34:BR65" si="60">IF(BL34&lt;=BM34,"Pass","Fail")</f>
        <v>Pass</v>
      </c>
      <c r="BS34" t="str">
        <f t="shared" ref="BS34:BS65" si="61">IF(BN34&lt;=BO34,"Pass","Fail")</f>
        <v>Pass</v>
      </c>
      <c r="BT34" t="str">
        <f t="shared" ref="BT34:BT65" si="62">IF(OR(BP34="Fail",BQ34="Fail",BR34="Fail",BS34="Fail"),"Fail","Pass")</f>
        <v>Pass</v>
      </c>
      <c r="BU34" t="str">
        <f t="shared" ref="BU34:BU65" si="63">IF(MAX(BH34/BI34,BJ34/BK34,BL34/BM34,BN34/BO34)=BH34/BI34,"Barlow Stress",IF(MAX(BH34/BI34,BJ34/BK34,BL34/BM34,BN34/BO34)=BJ34/BK34,"Effective Stress",IF(MAX(BH34/BI34,BJ34/BK34,BL34/BM34,BN34/BO34)=BL34/BM34,"Girth Weld Stress","Longitudinal Weld Stress")))</f>
        <v>Effective Stress</v>
      </c>
    </row>
    <row r="35" spans="1:73">
      <c r="A35" t="s">
        <v>627</v>
      </c>
      <c r="B35" s="181">
        <v>33</v>
      </c>
      <c r="C35" t="s">
        <v>594</v>
      </c>
      <c r="D35" s="181">
        <v>36</v>
      </c>
      <c r="E35" s="181">
        <v>0.312</v>
      </c>
      <c r="F35" t="s">
        <v>117</v>
      </c>
      <c r="G35" t="s">
        <v>119</v>
      </c>
      <c r="H35" t="s">
        <v>122</v>
      </c>
      <c r="I35" s="181">
        <v>1</v>
      </c>
      <c r="J35" t="s">
        <v>126</v>
      </c>
      <c r="K35" t="s">
        <v>129</v>
      </c>
      <c r="L35" s="181">
        <v>70</v>
      </c>
      <c r="M35" s="181">
        <v>800</v>
      </c>
      <c r="N35" t="s">
        <v>388</v>
      </c>
      <c r="O35" s="181">
        <v>120</v>
      </c>
      <c r="P35" s="181">
        <v>14</v>
      </c>
      <c r="Q35" s="181">
        <v>38</v>
      </c>
      <c r="R35" t="s">
        <v>418</v>
      </c>
      <c r="S35" t="s">
        <v>156</v>
      </c>
      <c r="T35" s="181">
        <v>70</v>
      </c>
      <c r="U35" s="181">
        <f>HLOOKUP(D35,'Highway Loading'!$C$155:$AD$156,2,FALSE)</f>
        <v>36</v>
      </c>
      <c r="V35" s="181">
        <f>IF(ISBLANK(G35),"",INDEX('Highway Loading'!$C$216:$AG$216,1,MATCH(G35,'Highway Loading'!$C$215:$AG$215,0)))</f>
        <v>65000</v>
      </c>
      <c r="W35" s="181">
        <f>INDEX('Highway Loading'!$I$245:$L$253,MATCH(H35,'Highway Loading'!$H$245:$H$253,0),MATCH(I35,'Highway Loading'!$I$244:$L$244,0))</f>
        <v>0.72</v>
      </c>
      <c r="X35" s="181">
        <f t="shared" si="32"/>
        <v>1</v>
      </c>
      <c r="Y35" s="181">
        <f>VLOOKUP(K35,'Highway Loading'!$B$283:$E$292,2,FALSE)</f>
        <v>29000000</v>
      </c>
      <c r="Z35" s="181">
        <f>VLOOKUP(K35,'Highway Loading'!$B$283:$E$292,3,FALSE)</f>
        <v>0.3</v>
      </c>
      <c r="AA35" s="181">
        <f>VLOOKUP(K35,'Highway Loading'!$B$283:$E$292,4,FALSE)</f>
        <v>6.4999999999999996E-6</v>
      </c>
      <c r="AB35" s="181">
        <f t="shared" si="33"/>
        <v>1</v>
      </c>
      <c r="AC35" s="181">
        <f>VLOOKUP(N35,'Highway Loading'!$B$256:$D$261,2,FALSE)</f>
        <v>200</v>
      </c>
      <c r="AD35" s="181">
        <f>VLOOKUP(N35,'Highway Loading'!$B$256:$D$261,3,FALSE)</f>
        <v>5000</v>
      </c>
      <c r="AE35" s="181">
        <f>VLOOKUP(S35,'Highway Loading'!$B$340:$C$341,2,FALSE)</f>
        <v>10000</v>
      </c>
      <c r="AF35" s="181">
        <f t="shared" si="34"/>
        <v>8.6666666666666663E-3</v>
      </c>
      <c r="AG35" s="181">
        <f t="shared" si="35"/>
        <v>4.4210526315789478</v>
      </c>
      <c r="AH35" s="181">
        <f t="shared" si="36"/>
        <v>1.0555555555555556</v>
      </c>
      <c r="AI35" s="181">
        <f t="shared" si="37"/>
        <v>46153.846153846156</v>
      </c>
      <c r="AJ35" s="181">
        <f t="shared" si="38"/>
        <v>46800</v>
      </c>
      <c r="AK35" s="181">
        <f>IF(AC35=200,(INDEX(Tables!$B$17:$B$38,MAX(1,MIN(IFERROR(MATCH(AF35,Tables!$A$17:$A$38,1),1),ROWS(Tables!$A$17:$A$38)-1)))+(AF35-INDEX(Tables!$A$17:$A$38,MAX(1,MIN(IFERROR(MATCH(AF35,Tables!$A$17:$A$38,1),1),ROWS(Tables!$A$17:$A$38)-1))))*(INDEX(Tables!$B$17:$B$38,MAX(1,MIN(IFERROR(MATCH(AF35,Tables!$A$17:$A$38,1),1),ROWS(Tables!$A$17:$A$38)-1))+1)-INDEX(Tables!$B$17:$B$38,MAX(1,MIN(IFERROR(MATCH(AF35,Tables!$A$17:$A$38,1),1),ROWS(Tables!$A$17:$A$38)-1))))/(INDEX(Tables!$A$17:$A$38,MAX(1,MIN(IFERROR(MATCH(AF35,Tables!$A$17:$A$38,1),1),ROWS(Tables!$A$17:$A$38)-1))+1)-INDEX(Tables!$A$17:$A$38,MAX(1,MIN(IFERROR(MATCH(AF35,Tables!$A$17:$A$38,1),1),ROWS(Tables!$A$17:$A$38)-1))))),IF(AC35=500,(INDEX(Tables!$D$17:$D$38,MAX(1,MIN(IFERROR(MATCH(AF35,Tables!$C$17:$C$38,1),1),ROWS(Tables!$C$17:$C$38)-1)))+(AF35-INDEX(Tables!$C$17:$C$38,MAX(1,MIN(IFERROR(MATCH(AF35,Tables!$C$17:$C$38,1),1),ROWS(Tables!$C$17:$C$38)-1))))*(INDEX(Tables!$D$17:$D$38,MAX(1,MIN(IFERROR(MATCH(AF35,Tables!$C$17:$C$38,1),1),ROWS(Tables!$C$17:$C$38)-1))+1)-INDEX(Tables!$D$17:$D$38,MAX(1,MIN(IFERROR(MATCH(AF35,Tables!$C$17:$C$38,1),1),ROWS(Tables!$C$17:$C$38)-1))))/(INDEX(Tables!$C$17:$C$38,MAX(1,MIN(IFERROR(MATCH(AF35,Tables!$C$17:$C$38,1),1),ROWS(Tables!$C$17:$C$38)-1))+1)-INDEX(Tables!$C$17:$C$38,MAX(1,MIN(IFERROR(MATCH(AF35,Tables!$C$17:$C$38,1),1),ROWS(Tables!$C$17:$C$38)-1))))),IF(AC35=1000,(INDEX(Tables!$F$17:$F$38,MAX(1,MIN(IFERROR(MATCH(AF35,Tables!$E$17:$E$38,1),1),ROWS(Tables!$E$17:$E$38)-1)))+(AF35-INDEX(Tables!$E$17:$E$38,MAX(1,MIN(IFERROR(MATCH(AF35,Tables!$E$17:$E$38,1),1),ROWS(Tables!$E$17:$E$38)-1))))*(INDEX(Tables!$F$17:$F$38,MAX(1,MIN(IFERROR(MATCH(AF35,Tables!$E$17:$E$38,1),1),ROWS(Tables!$E$17:$E$38)-1))+1)-INDEX(Tables!$F$17:$F$38,MAX(1,MIN(IFERROR(MATCH(AF35,Tables!$E$17:$E$38,1),1),ROWS(Tables!$E$17:$E$38)-1))))/(INDEX(Tables!$E$17:$E$38,MAX(1,MIN(IFERROR(MATCH(AF35,Tables!$E$17:$E$38,1),1),ROWS(Tables!$E$17:$E$38)-1))+1)-INDEX(Tables!$E$17:$E$38,MAX(1,MIN(IFERROR(MATCH(AF35,Tables!$E$17:$E$38,1),1),ROWS(Tables!$E$17:$E$38)-1))))),(INDEX(Tables!$H$17:$H$38,MAX(1,MIN(IFERROR(MATCH(AF35,Tables!$G$17:$G$38,1),1),ROWS(Tables!$G$17:$G$38)-1)))+(AF35-INDEX(Tables!$G$17:$G$38,MAX(1,MIN(IFERROR(MATCH(AF35,Tables!$G$17:$G$38,1),1),ROWS(Tables!$G$17:$G$38)-1))))*(INDEX(Tables!$H$17:$H$38,MAX(1,MIN(IFERROR(MATCH(AF35,Tables!$G$17:$G$38,1),1),ROWS(Tables!$G$17:$G$38)-1))+1)-INDEX(Tables!$H$17:$H$38,MAX(1,MIN(IFERROR(MATCH(AF35,Tables!$G$17:$G$38,1),1),ROWS(Tables!$G$17:$G$38)-1))))/(INDEX(Tables!$G$17:$G$38,MAX(1,MIN(IFERROR(MATCH(AF35,Tables!$G$17:$G$38,1),1),ROWS(Tables!$G$17:$G$38)-1))+1)-INDEX(Tables!$G$17:$G$38,MAX(1,MIN(IFERROR(MATCH(AF35,Tables!$G$17:$G$38,1),1),ROWS(Tables!$G$17:$G$38)-1))))))))</f>
        <v>10674.666666666668</v>
      </c>
      <c r="AL35" s="181">
        <f>IF(AC35&lt;1000,(INDEX(Tables!$B$43:$B$76,MAX(1,MIN(IFERROR(MATCH(AG35,Tables!$A$43:$A$76,1),1),ROWS(Tables!$A$43:$A$76)-1)))+(AG35-INDEX(Tables!$A$43:$A$76,MAX(1,MIN(IFERROR(MATCH(AG35,Tables!$A$43:$A$76,1),1),ROWS(Tables!$A$43:$A$76)-1))))*(INDEX(Tables!$B$43:$B$76,MAX(1,MIN(IFERROR(MATCH(AG35,Tables!$A$43:$A$76,1),1),ROWS(Tables!$A$43:$A$76)-1))+1)-INDEX(Tables!$B$43:$B$76,MAX(1,MIN(IFERROR(MATCH(AG35,Tables!$A$43:$A$76,1),1),ROWS(Tables!$A$43:$A$76)-1))))/(INDEX(Tables!$A$43:$A$76,MAX(1,MIN(IFERROR(MATCH(AG35,Tables!$A$43:$A$76,1),1),ROWS(Tables!$A$43:$A$76)-1))+1)-INDEX(Tables!$A$43:$A$76,MAX(1,MIN(IFERROR(MATCH(AG35,Tables!$A$43:$A$76,1),1),ROWS(Tables!$A$43:$A$76)-1))))),(INDEX(Tables!$D$43:$D$76,MAX(1,MIN(IFERROR(MATCH(AG35,Tables!$C$43:$C$76,1),1),ROWS(Tables!$C$43:$C$76)-1)))+(AG35-INDEX(Tables!$C$43:$C$76,MAX(1,MIN(IFERROR(MATCH(AG35,Tables!$C$43:$C$76,1),1),ROWS(Tables!$C$43:$C$76)-1))))*(INDEX(Tables!$D$43:$D$76,MAX(1,MIN(IFERROR(MATCH(AG35,Tables!$C$43:$C$76,1),1),ROWS(Tables!$C$43:$C$76)-1))+1)-INDEX(Tables!$D$43:$D$76,MAX(1,MIN(IFERROR(MATCH(AG35,Tables!$C$43:$C$76,1),1),ROWS(Tables!$C$43:$C$76)-1))))/(INDEX(Tables!$C$43:$C$76,MAX(1,MIN(IFERROR(MATCH(AG35,Tables!$C$43:$C$76,1),1),ROWS(Tables!$C$43:$C$76)-1))+1)-INDEX(Tables!$C$43:$C$76,MAX(1,MIN(IFERROR(MATCH(AG35,Tables!$C$43:$C$76,1),1),ROWS(Tables!$C$43:$C$76)-1))))))</f>
        <v>1.022578947368421</v>
      </c>
      <c r="AM35" s="181">
        <f>(INDEX(Tables!$B$80:$B$87,MAX(1,MIN(IFERROR(MATCH(AH35,Tables!$A$80:$A$87,1),1),ROWS(Tables!$A$80:$A$87)-1)))+(AH35-INDEX(Tables!$A$80:$A$87,MAX(1,MIN(IFERROR(MATCH(AH35,Tables!$A$80:$A$87,1),1),ROWS(Tables!$A$80:$A$87)-1))))*(INDEX(Tables!$B$80:$B$87,MAX(1,MIN(IFERROR(MATCH(AH35,Tables!$A$80:$A$87,1),1),ROWS(Tables!$A$80:$A$87)-1))+1)-INDEX(Tables!$B$80:$B$87,MAX(1,MIN(IFERROR(MATCH(AH35,Tables!$A$80:$A$87,1),1),ROWS(Tables!$A$80:$A$87)-1))))/(INDEX(Tables!$A$80:$A$87,MAX(1,MIN(IFERROR(MATCH(AH35,Tables!$A$80:$A$87,1),1),ROWS(Tables!$A$80:$A$87)-1))+1)-INDEX(Tables!$A$80:$A$87,MAX(1,MIN(IFERROR(MATCH(AH35,Tables!$A$80:$A$87,1),1),ROWS(Tables!$A$80:$A$87)-1)))))</f>
        <v>0.91873333333333329</v>
      </c>
      <c r="AN35" s="181">
        <f t="shared" si="39"/>
        <v>25071.519278292399</v>
      </c>
      <c r="AO35" s="181">
        <f>(INDEX(Tables!$B$91:$B$94,MAX(1,MIN(IFERROR(MATCH(P35,Tables!$A$91:$A$94,1),1),ROWS(Tables!$A$91:$A$94)-1)))+(P35-INDEX(Tables!$A$91:$A$94,MAX(1,MIN(IFERROR(MATCH(P35,Tables!$A$91:$A$94,1),1),ROWS(Tables!$A$91:$A$94)-1))))*(INDEX(Tables!$B$91:$B$94,MAX(1,MIN(IFERROR(MATCH(P35,Tables!$A$91:$A$94,1),1),ROWS(Tables!$A$91:$A$94)-1))+1)-INDEX(Tables!$B$91:$B$94,MAX(1,MIN(IFERROR(MATCH(P35,Tables!$A$91:$A$94,1),1),ROWS(Tables!$A$91:$A$94)-1))))/(INDEX(Tables!$A$91:$A$94,MAX(1,MIN(IFERROR(MATCH(P35,Tables!$A$91:$A$94,1),1),ROWS(Tables!$A$91:$A$94)-1))+1)-INDEX(Tables!$A$91:$A$94,MAX(1,MIN(IFERROR(MATCH(P35,Tables!$A$91:$A$94,1),1),ROWS(Tables!$A$91:$A$94)-1)))))</f>
        <v>1.2323170731707318</v>
      </c>
      <c r="AP35" s="181">
        <f>IF(AD35=5000,(INDEX(Tables!$B$99:$B$118,MAX(1,MIN(IFERROR(MATCH(AF35,Tables!$A$99:$A$118,1),1),ROWS(Tables!$A$99:$A$118)-1)))+(AF35-INDEX(Tables!$A$99:$A$118,MAX(1,MIN(IFERROR(MATCH(AF35,Tables!$A$99:$A$118,1),1),ROWS(Tables!$A$99:$A$118)-1))))*(INDEX(Tables!$B$99:$B$118,MAX(1,MIN(IFERROR(MATCH(AF35,Tables!$A$99:$A$118,1),1),ROWS(Tables!$A$99:$A$118)-1))+1)-INDEX(Tables!$B$99:$B$118,MAX(1,MIN(IFERROR(MATCH(AF35,Tables!$A$99:$A$118,1),1),ROWS(Tables!$A$99:$A$118)-1))))/(INDEX(Tables!$A$99:$A$118,MAX(1,MIN(IFERROR(MATCH(AF35,Tables!$A$99:$A$118,1),1),ROWS(Tables!$A$99:$A$118)-1))+1)-INDEX(Tables!$A$99:$A$118,MAX(1,MIN(IFERROR(MATCH(AF35,Tables!$A$99:$A$118,1),1),ROWS(Tables!$A$99:$A$118)-1))))),IF(AD35=10000,(INDEX(Tables!$D$99:$D$118,MAX(1,MIN(IFERROR(MATCH(AF35,Tables!$C$99:$C$118,1),1),ROWS(Tables!$C$99:$C$118)-1)))+(AF35-INDEX(Tables!$C$99:$C$118,MAX(1,MIN(IFERROR(MATCH(AF35,Tables!$C$99:$C$118,1),1),ROWS(Tables!$C$99:$C$118)-1))))*(INDEX(Tables!$D$99:$D$118,MAX(1,MIN(IFERROR(MATCH(AF35,Tables!$C$99:$C$118,1),1),ROWS(Tables!$C$99:$C$118)-1))+1)-INDEX(Tables!$D$99:$D$118,MAX(1,MIN(IFERROR(MATCH(AF35,Tables!$C$99:$C$118,1),1),ROWS(Tables!$C$99:$C$118)-1))))/(INDEX(Tables!$C$99:$C$118,MAX(1,MIN(IFERROR(MATCH(AF35,Tables!$C$99:$C$118,1),1),ROWS(Tables!$C$99:$C$118)-1))+1)-INDEX(Tables!$C$99:$C$118,MAX(1,MIN(IFERROR(MATCH(AF35,Tables!$C$99:$C$118,1),1),ROWS(Tables!$C$99:$C$118)-1))))),(INDEX(Tables!$F$99:$F$118,MAX(1,MIN(IFERROR(MATCH(AF35,Tables!$E$99:$E$118,1),1),ROWS(Tables!$E$99:$E$118)-1)))+(AF35-INDEX(Tables!$E$99:$E$118,MAX(1,MIN(IFERROR(MATCH(AF35,Tables!$E$99:$E$118,1),1),ROWS(Tables!$E$99:$E$118)-1))))*(INDEX(Tables!$F$99:$F$118,MAX(1,MIN(IFERROR(MATCH(AF35,Tables!$E$99:$E$118,1),1),ROWS(Tables!$E$99:$E$118)-1))+1)-INDEX(Tables!$F$99:$F$118,MAX(1,MIN(IFERROR(MATCH(AF35,Tables!$E$99:$E$118,1),1),ROWS(Tables!$E$99:$E$118)-1))))/(INDEX(Tables!$E$99:$E$118,MAX(1,MIN(IFERROR(MATCH(AF35,Tables!$E$99:$E$118,1),1),ROWS(Tables!$E$99:$E$118)-1))+1)-INDEX(Tables!$E$99:$E$118,MAX(1,MIN(IFERROR(MATCH(AF35,Tables!$E$99:$E$118,1),1),ROWS(Tables!$E$99:$E$118)-1)))))))</f>
        <v>19.818999999999999</v>
      </c>
      <c r="AQ35" s="181">
        <f>IF(P35&lt;6,(INDEX(Tables!$B$123:$B$138,MAX(1,MIN(IFERROR(MATCH(U35,Tables!$A$123:$A$138,1),1),ROWS(Tables!$A$123:$A$138)-1)))+(U35-INDEX(Tables!$A$123:$A$138,MAX(1,MIN(IFERROR(MATCH(U35,Tables!$A$123:$A$138,1),1),ROWS(Tables!$A$123:$A$138)-1))))*(INDEX(Tables!$B$123:$B$138,MAX(1,MIN(IFERROR(MATCH(U35,Tables!$A$123:$A$138,1),1),ROWS(Tables!$A$123:$A$138)-1))+1)-INDEX(Tables!$B$123:$B$138,MAX(1,MIN(IFERROR(MATCH(U35,Tables!$A$123:$A$138,1),1),ROWS(Tables!$A$123:$A$138)-1))))/(INDEX(Tables!$A$123:$A$138,MAX(1,MIN(IFERROR(MATCH(U35,Tables!$A$123:$A$138,1),1),ROWS(Tables!$A$123:$A$138)-1))+1)-INDEX(Tables!$A$123:$A$138,MAX(1,MIN(IFERROR(MATCH(U35,Tables!$A$123:$A$138,1),1),ROWS(Tables!$A$123:$A$138)-1))))),IF(P35&lt;8,(INDEX(Tables!$D$123:$D$138,MAX(1,MIN(IFERROR(MATCH(U35,Tables!$C$123:$C$138,1),1),ROWS(Tables!$C$123:$C$138)-1)))+(U35-INDEX(Tables!$C$123:$C$138,MAX(1,MIN(IFERROR(MATCH(U35,Tables!$C$123:$C$138,1),1),ROWS(Tables!$C$123:$C$138)-1))))*(INDEX(Tables!$D$123:$D$138,MAX(1,MIN(IFERROR(MATCH(U35,Tables!$C$123:$C$138,1),1),ROWS(Tables!$C$123:$C$138)-1))+1)-INDEX(Tables!$D$123:$D$138,MAX(1,MIN(IFERROR(MATCH(U35,Tables!$C$123:$C$138,1),1),ROWS(Tables!$C$123:$C$138)-1))))/(INDEX(Tables!$C$123:$C$138,MAX(1,MIN(IFERROR(MATCH(U35,Tables!$C$123:$C$138,1),1),ROWS(Tables!$C$123:$C$138)-1))+1)-INDEX(Tables!$C$123:$C$138,MAX(1,MIN(IFERROR(MATCH(U35,Tables!$C$123:$C$138,1),1),ROWS(Tables!$C$123:$C$138)-1))))),IF(P35&lt;10,(INDEX(Tables!$F$123:$F$138,MAX(1,MIN(IFERROR(MATCH(U35,Tables!$E$123:$E$138,1),1),ROWS(Tables!$E$123:$E$138)-1)))+(U35-INDEX(Tables!$E$123:$E$138,MAX(1,MIN(IFERROR(MATCH(U35,Tables!$E$123:$E$138,1),1),ROWS(Tables!$E$123:$E$138)-1))))*(INDEX(Tables!$F$123:$F$138,MAX(1,MIN(IFERROR(MATCH(U35,Tables!$E$123:$E$138,1),1),ROWS(Tables!$E$123:$E$138)-1))+1)-INDEX(Tables!$F$123:$F$138,MAX(1,MIN(IFERROR(MATCH(U35,Tables!$E$123:$E$138,1),1),ROWS(Tables!$E$123:$E$138)-1))))/(INDEX(Tables!$E$123:$E$138,MAX(1,MIN(IFERROR(MATCH(U35,Tables!$E$123:$E$138,1),1),ROWS(Tables!$E$123:$E$138)-1))+1)-INDEX(Tables!$E$123:$E$138,MAX(1,MIN(IFERROR(MATCH(U35,Tables!$E$123:$E$138,1),1),ROWS(Tables!$E$123:$E$138)-1))))),(INDEX(Tables!$H$123:$H$138,MAX(1,MIN(IFERROR(MATCH(U35,Tables!$G$123:$G$138,1),1),ROWS(Tables!$G$123:$G$138)-1)))+(U35-INDEX(Tables!$G$123:$G$138,MAX(1,MIN(IFERROR(MATCH(U35,Tables!$G$123:$G$138,1),1),ROWS(Tables!$G$123:$G$138)-1))))*(INDEX(Tables!$H$123:$H$138,MAX(1,MIN(IFERROR(MATCH(U35,Tables!$G$123:$G$138,1),1),ROWS(Tables!$G$123:$G$138)-1))+1)-INDEX(Tables!$H$123:$H$138,MAX(1,MIN(IFERROR(MATCH(U35,Tables!$G$123:$G$138,1),1),ROWS(Tables!$G$123:$G$138)-1))))/(INDEX(Tables!$G$123:$G$138,MAX(1,MIN(IFERROR(MATCH(U35,Tables!$G$123:$G$138,1),1),ROWS(Tables!$G$123:$G$138)-1))+1)-INDEX(Tables!$G$123:$G$138,MAX(1,MIN(IFERROR(MATCH(U35,Tables!$G$123:$G$138,1),1),ROWS(Tables!$G$123:$G$138)-1))))))))</f>
        <v>0.50060000000000004</v>
      </c>
      <c r="AR35" s="181">
        <f>IF(OR(P35&gt;=4,U35&gt;12),VLOOKUP(R35&amp;" "&amp;S35,Tables!$D$143:$F$148,2,FALSE),VLOOKUP(R35&amp;" "&amp;S35,Tables!$A$143:$C$148,2,FALSE))</f>
        <v>0.9</v>
      </c>
      <c r="AS35" s="181">
        <f>IF(OR(P35&gt;=4,U35&gt;12),VLOOKUP(R35&amp;" "&amp;S35,Tables!$D$143:$F$148,3,FALSE),VLOOKUP(R35&amp;" "&amp;S35,Tables!$A$143:$C$148,3,FALSE))</f>
        <v>1</v>
      </c>
      <c r="AT35" s="181">
        <f t="shared" si="40"/>
        <v>764.14375073932945</v>
      </c>
      <c r="AU35" s="181">
        <f>IF(AD35=5000,(INDEX(Tables!$B$244:$B$263,MAX(1,MIN(IFERROR(MATCH(AF35,Tables!$A$244:$A$263,1),1),ROWS(Tables!$A$244:$A$263)-1)))+(AF35-INDEX(Tables!$A$244:$A$263,MAX(1,MIN(IFERROR(MATCH(AF35,Tables!$A$244:$A$263,1),1),ROWS(Tables!$A$244:$A$263)-1))))*(INDEX(Tables!$B$244:$B$263,MAX(1,MIN(IFERROR(MATCH(AF35,Tables!$A$244:$A$263,1),1),ROWS(Tables!$A$244:$A$263)-1))+1)-INDEX(Tables!$B$244:$B$263,MAX(1,MIN(IFERROR(MATCH(AF35,Tables!$A$244:$A$263,1),1),ROWS(Tables!$A$244:$A$263)-1))))/(INDEX(Tables!$A$244:$A$263,MAX(1,MIN(IFERROR(MATCH(AF35,Tables!$A$244:$A$263,1),1),ROWS(Tables!$A$244:$A$263)-1))+1)-INDEX(Tables!$A$244:$A$263,MAX(1,MIN(IFERROR(MATCH(AF35,Tables!$A$244:$A$263,1),1),ROWS(Tables!$A$244:$A$263)-1))))),IF(AD35=10000,(INDEX(Tables!$D$244:$D$263,MAX(1,MIN(IFERROR(MATCH(AF35,Tables!$C$244:$C$263,1),1),ROWS(Tables!$C$244:$C$263)-1)))+(AF35-INDEX(Tables!$C$244:$C$263,MAX(1,MIN(IFERROR(MATCH(AF35,Tables!$C$244:$C$263,1),1),ROWS(Tables!$C$244:$C$263)-1))))*(INDEX(Tables!$D$244:$D$263,MAX(1,MIN(IFERROR(MATCH(AF35,Tables!$C$244:$C$263,1),1),ROWS(Tables!$C$244:$C$263)-1))+1)-INDEX(Tables!$D$244:$D$263,MAX(1,MIN(IFERROR(MATCH(AF35,Tables!$C$244:$C$263,1),1),ROWS(Tables!$C$244:$C$263)-1))))/(INDEX(Tables!$C$244:$C$263,MAX(1,MIN(IFERROR(MATCH(AF35,Tables!$C$244:$C$263,1),1),ROWS(Tables!$C$244:$C$263)-1))+1)-INDEX(Tables!$C$244:$C$263,MAX(1,MIN(IFERROR(MATCH(AF35,Tables!$C$244:$C$263,1),1),ROWS(Tables!$C$244:$C$263)-1))))),(INDEX(Tables!$F$244:$F$263,MAX(1,MIN(IFERROR(MATCH(AF35,Tables!$E$244:$E$263,1),1),ROWS(Tables!$E$244:$E$263)-1)))+(AF35-INDEX(Tables!$E$244:$E$263,MAX(1,MIN(IFERROR(MATCH(AF35,Tables!$E$244:$E$263,1),1),ROWS(Tables!$E$244:$E$263)-1))))*(INDEX(Tables!$F$244:$F$263,MAX(1,MIN(IFERROR(MATCH(AF35,Tables!$E$244:$E$263,1),1),ROWS(Tables!$E$244:$E$263)-1))+1)-INDEX(Tables!$F$244:$F$263,MAX(1,MIN(IFERROR(MATCH(AF35,Tables!$E$244:$E$263,1),1),ROWS(Tables!$E$244:$E$263)-1))))/(INDEX(Tables!$E$244:$E$263,MAX(1,MIN(IFERROR(MATCH(AF35,Tables!$E$244:$E$263,1),1),ROWS(Tables!$E$244:$E$263)-1))+1)-INDEX(Tables!$E$244:$E$263,MAX(1,MIN(IFERROR(MATCH(AF35,Tables!$E$244:$E$263,1),1),ROWS(Tables!$E$244:$E$263)-1)))))))</f>
        <v>14.659000000000001</v>
      </c>
      <c r="AV35" s="181">
        <f>IF(P35&lt;6,(INDEX(Tables!$B$260:$B$274,MAX(1,MIN(IFERROR(MATCH(U35,Tables!$A$260:$A$274,1),1),ROWS(Tables!$A$260:$A$274)-1)))+(U35-INDEX(Tables!$A$260:$A$274,MAX(1,MIN(IFERROR(MATCH(U35,Tables!$A$260:$A$274,1),1),ROWS(Tables!$A$260:$A$274)-1))))*(INDEX(Tables!$B$260:$B$274,MAX(1,MIN(IFERROR(MATCH(U35,Tables!$A$260:$A$274,1),1),ROWS(Tables!$A$260:$A$274)-1))+1)-INDEX(Tables!$B$260:$B$274,MAX(1,MIN(IFERROR(MATCH(U35,Tables!$A$260:$A$274,1),1),ROWS(Tables!$A$260:$A$274)-1))))/(INDEX(Tables!$A$260:$A$274,MAX(1,MIN(IFERROR(MATCH(U35,Tables!$A$260:$A$274,1),1),ROWS(Tables!$A$260:$A$274)-1))+1)-INDEX(Tables!$A$260:$A$274,MAX(1,MIN(IFERROR(MATCH(U35,Tables!$A$260:$A$274,1),1),ROWS(Tables!$A$260:$A$274)-1))))),IF(P35&lt;8,(INDEX(Tables!$D$260:$D$274,MAX(1,MIN(IFERROR(MATCH(U35,Tables!$C$260:$C$274,1),1),ROWS(Tables!$C$260:$C$274)-1)))+(U35-INDEX(Tables!$C$260:$C$274,MAX(1,MIN(IFERROR(MATCH(U35,Tables!$C$260:$C$274,1),1),ROWS(Tables!$C$260:$C$274)-1))))*(INDEX(Tables!$D$260:$D$274,MAX(1,MIN(IFERROR(MATCH(U35,Tables!$C$260:$C$274,1),1),ROWS(Tables!$C$260:$C$274)-1))+1)-INDEX(Tables!$D$260:$D$274,MAX(1,MIN(IFERROR(MATCH(U35,Tables!$C$260:$C$274,1),1),ROWS(Tables!$C$260:$C$274)-1))))/(INDEX(Tables!$C$260:$C$274,MAX(1,MIN(IFERROR(MATCH(U35,Tables!$C$260:$C$274,1),1),ROWS(Tables!$C$260:$C$274)-1))+1)-INDEX(Tables!$C$260:$C$274,MAX(1,MIN(IFERROR(MATCH(U35,Tables!$C$260:$C$274,1),1),ROWS(Tables!$C$260:$C$274)-1))))),IF(P35&lt;10,(INDEX(Tables!$F$260:$F$274,MAX(1,MIN(IFERROR(MATCH(U35,Tables!$E$260:$E$274,1),1),ROWS(Tables!$E$260:$E$274)-1)))+(U35-INDEX(Tables!$E$260:$E$274,MAX(1,MIN(IFERROR(MATCH(U35,Tables!$E$260:$E$274,1),1),ROWS(Tables!$E$260:$E$274)-1))))*(INDEX(Tables!$F$260:$F$274,MAX(1,MIN(IFERROR(MATCH(U35,Tables!$E$260:$E$274,1),1),ROWS(Tables!$E$260:$E$274)-1))+1)-INDEX(Tables!$F$260:$F$274,MAX(1,MIN(IFERROR(MATCH(U35,Tables!$E$260:$E$274,1),1),ROWS(Tables!$E$260:$E$274)-1))))/(INDEX(Tables!$E$260:$E$274,MAX(1,MIN(IFERROR(MATCH(U35,Tables!$E$260:$E$274,1),1),ROWS(Tables!$E$260:$E$274)-1))+1)-INDEX(Tables!$E$260:$E$274,MAX(1,MIN(IFERROR(MATCH(U35,Tables!$E$260:$E$274,1),1),ROWS(Tables!$E$260:$E$274)-1))))),(INDEX(Tables!$H$260:$H$274,MAX(1,MIN(IFERROR(MATCH(U35,Tables!$G$260:$G$274,1),1),ROWS(Tables!$G$260:$G$274)-1)))+(U35-INDEX(Tables!$G$260:$G$274,MAX(1,MIN(IFERROR(MATCH(U35,Tables!$G$260:$G$274,1),1),ROWS(Tables!$G$260:$G$274)-1))))*(INDEX(Tables!$H$260:$H$274,MAX(1,MIN(IFERROR(MATCH(U35,Tables!$G$260:$G$274,1),1),ROWS(Tables!$G$260:$G$274)-1))+1)-INDEX(Tables!$H$260:$H$274,MAX(1,MIN(IFERROR(MATCH(U35,Tables!$G$260:$G$274,1),1),ROWS(Tables!$G$260:$G$274)-1))))/(INDEX(Tables!$G$260:$G$274,MAX(1,MIN(IFERROR(MATCH(U35,Tables!$G$260:$G$274,1),1),ROWS(Tables!$G$260:$G$274)-1))+1)-INDEX(Tables!$G$260:$G$274,MAX(1,MIN(IFERROR(MATCH(U35,Tables!$G$260:$G$274,1),1),ROWS(Tables!$G$260:$G$274)-1))))))))</f>
        <v>0.51828571428571424</v>
      </c>
      <c r="AW35" s="181">
        <f t="shared" si="41"/>
        <v>585.16193320993045</v>
      </c>
      <c r="AX35" s="181">
        <f t="shared" si="42"/>
        <v>45753.846153846156</v>
      </c>
      <c r="AY35" s="181">
        <f t="shared" si="43"/>
        <v>71589.509182877882</v>
      </c>
      <c r="AZ35" s="181">
        <f t="shared" si="44"/>
        <v>21832.771562851496</v>
      </c>
      <c r="BA35" s="181">
        <f t="shared" si="45"/>
        <v>-800</v>
      </c>
      <c r="BB35" s="181">
        <f t="shared" si="46"/>
        <v>64141.31401422304</v>
      </c>
      <c r="BC35" s="181">
        <f t="shared" si="47"/>
        <v>46800</v>
      </c>
      <c r="BD35" s="181">
        <f>VLOOKUP(V35&amp;" "&amp;J35,Tables!$A$152:$E$239,4,FALSE)</f>
        <v>12000</v>
      </c>
      <c r="BE35" s="181">
        <f>VLOOKUP(V35&amp;" "&amp;J35,Tables!$A$152:$E$239,5,FALSE)</f>
        <v>23000</v>
      </c>
      <c r="BF35" s="181">
        <f t="shared" si="48"/>
        <v>8640</v>
      </c>
      <c r="BG35" s="181">
        <f t="shared" si="49"/>
        <v>16560</v>
      </c>
      <c r="BH35" s="181">
        <f t="shared" si="50"/>
        <v>46153.846153846156</v>
      </c>
      <c r="BI35" s="181">
        <f t="shared" si="51"/>
        <v>46800</v>
      </c>
      <c r="BJ35" s="181">
        <f t="shared" si="52"/>
        <v>64141.31401422304</v>
      </c>
      <c r="BK35" s="181">
        <f t="shared" si="53"/>
        <v>46800</v>
      </c>
      <c r="BL35" s="181">
        <f t="shared" si="54"/>
        <v>585.16193320993045</v>
      </c>
      <c r="BM35" s="181">
        <f t="shared" si="55"/>
        <v>8640</v>
      </c>
      <c r="BN35" s="181">
        <f t="shared" si="56"/>
        <v>764.14375073932945</v>
      </c>
      <c r="BO35" s="181">
        <f t="shared" si="57"/>
        <v>16560</v>
      </c>
      <c r="BP35" t="str">
        <f t="shared" si="58"/>
        <v>Pass</v>
      </c>
      <c r="BQ35" t="str">
        <f t="shared" si="59"/>
        <v>Fail</v>
      </c>
      <c r="BR35" t="str">
        <f t="shared" si="60"/>
        <v>Pass</v>
      </c>
      <c r="BS35" t="str">
        <f t="shared" si="61"/>
        <v>Pass</v>
      </c>
      <c r="BT35" t="str">
        <f t="shared" si="62"/>
        <v>Fail</v>
      </c>
      <c r="BU35" t="str">
        <f t="shared" si="63"/>
        <v>Effective Stress</v>
      </c>
    </row>
    <row r="36" spans="1:73">
      <c r="A36" t="s">
        <v>628</v>
      </c>
      <c r="B36" s="181">
        <v>34</v>
      </c>
      <c r="C36" t="s">
        <v>594</v>
      </c>
      <c r="D36" s="181">
        <v>48</v>
      </c>
      <c r="E36" s="181">
        <v>0.375</v>
      </c>
      <c r="F36" t="s">
        <v>117</v>
      </c>
      <c r="G36" t="s">
        <v>119</v>
      </c>
      <c r="H36" t="s">
        <v>122</v>
      </c>
      <c r="I36" s="181">
        <v>1</v>
      </c>
      <c r="J36" t="s">
        <v>126</v>
      </c>
      <c r="K36" t="s">
        <v>129</v>
      </c>
      <c r="L36" s="181">
        <v>70</v>
      </c>
      <c r="M36" s="181">
        <v>800</v>
      </c>
      <c r="N36" t="s">
        <v>388</v>
      </c>
      <c r="O36" s="181">
        <v>120</v>
      </c>
      <c r="P36" s="181">
        <v>30</v>
      </c>
      <c r="Q36" s="181">
        <v>50</v>
      </c>
      <c r="R36" t="s">
        <v>418</v>
      </c>
      <c r="S36" t="s">
        <v>156</v>
      </c>
      <c r="T36" s="181">
        <v>70</v>
      </c>
      <c r="U36" s="181">
        <f>HLOOKUP(D36,'Highway Loading'!$C$155:$AD$156,2,FALSE)</f>
        <v>48</v>
      </c>
      <c r="V36" s="181">
        <f>IF(ISBLANK(G36),"",INDEX('Highway Loading'!$C$216:$AG$216,1,MATCH(G36,'Highway Loading'!$C$215:$AG$215,0)))</f>
        <v>65000</v>
      </c>
      <c r="W36" s="181">
        <f>INDEX('Highway Loading'!$I$245:$L$253,MATCH(H36,'Highway Loading'!$H$245:$H$253,0),MATCH(I36,'Highway Loading'!$I$244:$L$244,0))</f>
        <v>0.72</v>
      </c>
      <c r="X36" s="181">
        <f t="shared" si="32"/>
        <v>1</v>
      </c>
      <c r="Y36" s="181">
        <f>VLOOKUP(K36,'Highway Loading'!$B$283:$E$292,2,FALSE)</f>
        <v>29000000</v>
      </c>
      <c r="Z36" s="181">
        <f>VLOOKUP(K36,'Highway Loading'!$B$283:$E$292,3,FALSE)</f>
        <v>0.3</v>
      </c>
      <c r="AA36" s="181">
        <f>VLOOKUP(K36,'Highway Loading'!$B$283:$E$292,4,FALSE)</f>
        <v>6.4999999999999996E-6</v>
      </c>
      <c r="AB36" s="181">
        <f t="shared" si="33"/>
        <v>1</v>
      </c>
      <c r="AC36" s="181">
        <f>VLOOKUP(N36,'Highway Loading'!$B$256:$D$261,2,FALSE)</f>
        <v>200</v>
      </c>
      <c r="AD36" s="181">
        <f>VLOOKUP(N36,'Highway Loading'!$B$256:$D$261,3,FALSE)</f>
        <v>5000</v>
      </c>
      <c r="AE36" s="181">
        <f>VLOOKUP(S36,'Highway Loading'!$B$340:$C$341,2,FALSE)</f>
        <v>10000</v>
      </c>
      <c r="AF36" s="181">
        <f t="shared" si="34"/>
        <v>7.8125E-3</v>
      </c>
      <c r="AG36" s="181">
        <f t="shared" si="35"/>
        <v>7.2</v>
      </c>
      <c r="AH36" s="181">
        <f t="shared" si="36"/>
        <v>1.0416666666666667</v>
      </c>
      <c r="AI36" s="181">
        <f t="shared" si="37"/>
        <v>51200</v>
      </c>
      <c r="AJ36" s="181">
        <f t="shared" si="38"/>
        <v>46800</v>
      </c>
      <c r="AK36" s="181">
        <f>IF(AC36=200,(INDEX(Tables!$B$17:$B$38,MAX(1,MIN(IFERROR(MATCH(AF36,Tables!$A$17:$A$38,1),1),ROWS(Tables!$A$17:$A$38)-1)))+(AF36-INDEX(Tables!$A$17:$A$38,MAX(1,MIN(IFERROR(MATCH(AF36,Tables!$A$17:$A$38,1),1),ROWS(Tables!$A$17:$A$38)-1))))*(INDEX(Tables!$B$17:$B$38,MAX(1,MIN(IFERROR(MATCH(AF36,Tables!$A$17:$A$38,1),1),ROWS(Tables!$A$17:$A$38)-1))+1)-INDEX(Tables!$B$17:$B$38,MAX(1,MIN(IFERROR(MATCH(AF36,Tables!$A$17:$A$38,1),1),ROWS(Tables!$A$17:$A$38)-1))))/(INDEX(Tables!$A$17:$A$38,MAX(1,MIN(IFERROR(MATCH(AF36,Tables!$A$17:$A$38,1),1),ROWS(Tables!$A$17:$A$38)-1))+1)-INDEX(Tables!$A$17:$A$38,MAX(1,MIN(IFERROR(MATCH(AF36,Tables!$A$17:$A$38,1),1),ROWS(Tables!$A$17:$A$38)-1))))),IF(AC36=500,(INDEX(Tables!$D$17:$D$38,MAX(1,MIN(IFERROR(MATCH(AF36,Tables!$C$17:$C$38,1),1),ROWS(Tables!$C$17:$C$38)-1)))+(AF36-INDEX(Tables!$C$17:$C$38,MAX(1,MIN(IFERROR(MATCH(AF36,Tables!$C$17:$C$38,1),1),ROWS(Tables!$C$17:$C$38)-1))))*(INDEX(Tables!$D$17:$D$38,MAX(1,MIN(IFERROR(MATCH(AF36,Tables!$C$17:$C$38,1),1),ROWS(Tables!$C$17:$C$38)-1))+1)-INDEX(Tables!$D$17:$D$38,MAX(1,MIN(IFERROR(MATCH(AF36,Tables!$C$17:$C$38,1),1),ROWS(Tables!$C$17:$C$38)-1))))/(INDEX(Tables!$C$17:$C$38,MAX(1,MIN(IFERROR(MATCH(AF36,Tables!$C$17:$C$38,1),1),ROWS(Tables!$C$17:$C$38)-1))+1)-INDEX(Tables!$C$17:$C$38,MAX(1,MIN(IFERROR(MATCH(AF36,Tables!$C$17:$C$38,1),1),ROWS(Tables!$C$17:$C$38)-1))))),IF(AC36=1000,(INDEX(Tables!$F$17:$F$38,MAX(1,MIN(IFERROR(MATCH(AF36,Tables!$E$17:$E$38,1),1),ROWS(Tables!$E$17:$E$38)-1)))+(AF36-INDEX(Tables!$E$17:$E$38,MAX(1,MIN(IFERROR(MATCH(AF36,Tables!$E$17:$E$38,1),1),ROWS(Tables!$E$17:$E$38)-1))))*(INDEX(Tables!$F$17:$F$38,MAX(1,MIN(IFERROR(MATCH(AF36,Tables!$E$17:$E$38,1),1),ROWS(Tables!$E$17:$E$38)-1))+1)-INDEX(Tables!$F$17:$F$38,MAX(1,MIN(IFERROR(MATCH(AF36,Tables!$E$17:$E$38,1),1),ROWS(Tables!$E$17:$E$38)-1))))/(INDEX(Tables!$E$17:$E$38,MAX(1,MIN(IFERROR(MATCH(AF36,Tables!$E$17:$E$38,1),1),ROWS(Tables!$E$17:$E$38)-1))+1)-INDEX(Tables!$E$17:$E$38,MAX(1,MIN(IFERROR(MATCH(AF36,Tables!$E$17:$E$38,1),1),ROWS(Tables!$E$17:$E$38)-1))))),(INDEX(Tables!$H$17:$H$38,MAX(1,MIN(IFERROR(MATCH(AF36,Tables!$G$17:$G$38,1),1),ROWS(Tables!$G$17:$G$38)-1)))+(AF36-INDEX(Tables!$G$17:$G$38,MAX(1,MIN(IFERROR(MATCH(AF36,Tables!$G$17:$G$38,1),1),ROWS(Tables!$G$17:$G$38)-1))))*(INDEX(Tables!$H$17:$H$38,MAX(1,MIN(IFERROR(MATCH(AF36,Tables!$G$17:$G$38,1),1),ROWS(Tables!$G$17:$G$38)-1))+1)-INDEX(Tables!$H$17:$H$38,MAX(1,MIN(IFERROR(MATCH(AF36,Tables!$G$17:$G$38,1),1),ROWS(Tables!$G$17:$G$38)-1))))/(INDEX(Tables!$G$17:$G$38,MAX(1,MIN(IFERROR(MATCH(AF36,Tables!$G$17:$G$38,1),1),ROWS(Tables!$G$17:$G$38)-1))+1)-INDEX(Tables!$G$17:$G$38,MAX(1,MIN(IFERROR(MATCH(AF36,Tables!$G$17:$G$38,1),1),ROWS(Tables!$G$17:$G$38)-1))))))))</f>
        <v>11632</v>
      </c>
      <c r="AL36" s="181">
        <f>IF(AC36&lt;1000,(INDEX(Tables!$B$43:$B$76,MAX(1,MIN(IFERROR(MATCH(AG36,Tables!$A$43:$A$76,1),1),ROWS(Tables!$A$43:$A$76)-1)))+(AG36-INDEX(Tables!$A$43:$A$76,MAX(1,MIN(IFERROR(MATCH(AG36,Tables!$A$43:$A$76,1),1),ROWS(Tables!$A$43:$A$76)-1))))*(INDEX(Tables!$B$43:$B$76,MAX(1,MIN(IFERROR(MATCH(AG36,Tables!$A$43:$A$76,1),1),ROWS(Tables!$A$43:$A$76)-1))+1)-INDEX(Tables!$B$43:$B$76,MAX(1,MIN(IFERROR(MATCH(AG36,Tables!$A$43:$A$76,1),1),ROWS(Tables!$A$43:$A$76)-1))))/(INDEX(Tables!$A$43:$A$76,MAX(1,MIN(IFERROR(MATCH(AG36,Tables!$A$43:$A$76,1),1),ROWS(Tables!$A$43:$A$76)-1))+1)-INDEX(Tables!$A$43:$A$76,MAX(1,MIN(IFERROR(MATCH(AG36,Tables!$A$43:$A$76,1),1),ROWS(Tables!$A$43:$A$76)-1))))),(INDEX(Tables!$D$43:$D$76,MAX(1,MIN(IFERROR(MATCH(AG36,Tables!$C$43:$C$76,1),1),ROWS(Tables!$C$43:$C$76)-1)))+(AG36-INDEX(Tables!$C$43:$C$76,MAX(1,MIN(IFERROR(MATCH(AG36,Tables!$C$43:$C$76,1),1),ROWS(Tables!$C$43:$C$76)-1))))*(INDEX(Tables!$D$43:$D$76,MAX(1,MIN(IFERROR(MATCH(AG36,Tables!$C$43:$C$76,1),1),ROWS(Tables!$C$43:$C$76)-1))+1)-INDEX(Tables!$D$43:$D$76,MAX(1,MIN(IFERROR(MATCH(AG36,Tables!$C$43:$C$76,1),1),ROWS(Tables!$C$43:$C$76)-1))))/(INDEX(Tables!$C$43:$C$76,MAX(1,MIN(IFERROR(MATCH(AG36,Tables!$C$43:$C$76,1),1),ROWS(Tables!$C$43:$C$76)-1))+1)-INDEX(Tables!$C$43:$C$76,MAX(1,MIN(IFERROR(MATCH(AG36,Tables!$C$43:$C$76,1),1),ROWS(Tables!$C$43:$C$76)-1))))))</f>
        <v>1.224</v>
      </c>
      <c r="AM36" s="181">
        <f>(INDEX(Tables!$B$80:$B$87,MAX(1,MIN(IFERROR(MATCH(AH36,Tables!$A$80:$A$87,1),1),ROWS(Tables!$A$80:$A$87)-1)))+(AH36-INDEX(Tables!$A$80:$A$87,MAX(1,MIN(IFERROR(MATCH(AH36,Tables!$A$80:$A$87,1),1),ROWS(Tables!$A$80:$A$87)-1))))*(INDEX(Tables!$B$80:$B$87,MAX(1,MIN(IFERROR(MATCH(AH36,Tables!$A$80:$A$87,1),1),ROWS(Tables!$A$80:$A$87)-1))+1)-INDEX(Tables!$B$80:$B$87,MAX(1,MIN(IFERROR(MATCH(AH36,Tables!$A$80:$A$87,1),1),ROWS(Tables!$A$80:$A$87)-1))))/(INDEX(Tables!$A$80:$A$87,MAX(1,MIN(IFERROR(MATCH(AH36,Tables!$A$80:$A$87,1),1),ROWS(Tables!$A$80:$A$87)-1))+1)-INDEX(Tables!$A$80:$A$87,MAX(1,MIN(IFERROR(MATCH(AH36,Tables!$A$80:$A$87,1),1),ROWS(Tables!$A$80:$A$87)-1)))))</f>
        <v>0.89595000000000002</v>
      </c>
      <c r="AN36" s="181">
        <f t="shared" si="39"/>
        <v>42520.496832000004</v>
      </c>
      <c r="AO36" s="181">
        <f>(INDEX(Tables!$B$91:$B$94,MAX(1,MIN(IFERROR(MATCH(P36,Tables!$A$91:$A$94,1),1),ROWS(Tables!$A$91:$A$94)-1)))+(P36-INDEX(Tables!$A$91:$A$94,MAX(1,MIN(IFERROR(MATCH(P36,Tables!$A$91:$A$94,1),1),ROWS(Tables!$A$91:$A$94)-1))))*(INDEX(Tables!$B$91:$B$94,MAX(1,MIN(IFERROR(MATCH(P36,Tables!$A$91:$A$94,1),1),ROWS(Tables!$A$91:$A$94)-1))+1)-INDEX(Tables!$B$91:$B$94,MAX(1,MIN(IFERROR(MATCH(P36,Tables!$A$91:$A$94,1),1),ROWS(Tables!$A$91:$A$94)-1))))/(INDEX(Tables!$A$91:$A$94,MAX(1,MIN(IFERROR(MATCH(P36,Tables!$A$91:$A$94,1),1),ROWS(Tables!$A$91:$A$94)-1))+1)-INDEX(Tables!$A$91:$A$94,MAX(1,MIN(IFERROR(MATCH(P36,Tables!$A$91:$A$94,1),1),ROWS(Tables!$A$91:$A$94)-1)))))</f>
        <v>1</v>
      </c>
      <c r="AP36" s="181">
        <f>IF(AD36=5000,(INDEX(Tables!$B$99:$B$118,MAX(1,MIN(IFERROR(MATCH(AF36,Tables!$A$99:$A$118,1),1),ROWS(Tables!$A$99:$A$118)-1)))+(AF36-INDEX(Tables!$A$99:$A$118,MAX(1,MIN(IFERROR(MATCH(AF36,Tables!$A$99:$A$118,1),1),ROWS(Tables!$A$99:$A$118)-1))))*(INDEX(Tables!$B$99:$B$118,MAX(1,MIN(IFERROR(MATCH(AF36,Tables!$A$99:$A$118,1),1),ROWS(Tables!$A$99:$A$118)-1))+1)-INDEX(Tables!$B$99:$B$118,MAX(1,MIN(IFERROR(MATCH(AF36,Tables!$A$99:$A$118,1),1),ROWS(Tables!$A$99:$A$118)-1))))/(INDEX(Tables!$A$99:$A$118,MAX(1,MIN(IFERROR(MATCH(AF36,Tables!$A$99:$A$118,1),1),ROWS(Tables!$A$99:$A$118)-1))+1)-INDEX(Tables!$A$99:$A$118,MAX(1,MIN(IFERROR(MATCH(AF36,Tables!$A$99:$A$118,1),1),ROWS(Tables!$A$99:$A$118)-1))))),IF(AD36=10000,(INDEX(Tables!$D$99:$D$118,MAX(1,MIN(IFERROR(MATCH(AF36,Tables!$C$99:$C$118,1),1),ROWS(Tables!$C$99:$C$118)-1)))+(AF36-INDEX(Tables!$C$99:$C$118,MAX(1,MIN(IFERROR(MATCH(AF36,Tables!$C$99:$C$118,1),1),ROWS(Tables!$C$99:$C$118)-1))))*(INDEX(Tables!$D$99:$D$118,MAX(1,MIN(IFERROR(MATCH(AF36,Tables!$C$99:$C$118,1),1),ROWS(Tables!$C$99:$C$118)-1))+1)-INDEX(Tables!$D$99:$D$118,MAX(1,MIN(IFERROR(MATCH(AF36,Tables!$C$99:$C$118,1),1),ROWS(Tables!$C$99:$C$118)-1))))/(INDEX(Tables!$C$99:$C$118,MAX(1,MIN(IFERROR(MATCH(AF36,Tables!$C$99:$C$118,1),1),ROWS(Tables!$C$99:$C$118)-1))+1)-INDEX(Tables!$C$99:$C$118,MAX(1,MIN(IFERROR(MATCH(AF36,Tables!$C$99:$C$118,1),1),ROWS(Tables!$C$99:$C$118)-1))))),(INDEX(Tables!$F$99:$F$118,MAX(1,MIN(IFERROR(MATCH(AF36,Tables!$E$99:$E$118,1),1),ROWS(Tables!$E$99:$E$118)-1)))+(AF36-INDEX(Tables!$E$99:$E$118,MAX(1,MIN(IFERROR(MATCH(AF36,Tables!$E$99:$E$118,1),1),ROWS(Tables!$E$99:$E$118)-1))))*(INDEX(Tables!$F$99:$F$118,MAX(1,MIN(IFERROR(MATCH(AF36,Tables!$E$99:$E$118,1),1),ROWS(Tables!$E$99:$E$118)-1))+1)-INDEX(Tables!$F$99:$F$118,MAX(1,MIN(IFERROR(MATCH(AF36,Tables!$E$99:$E$118,1),1),ROWS(Tables!$E$99:$E$118)-1))))/(INDEX(Tables!$E$99:$E$118,MAX(1,MIN(IFERROR(MATCH(AF36,Tables!$E$99:$E$118,1),1),ROWS(Tables!$E$99:$E$118)-1))+1)-INDEX(Tables!$E$99:$E$118,MAX(1,MIN(IFERROR(MATCH(AF36,Tables!$E$99:$E$118,1),1),ROWS(Tables!$E$99:$E$118)-1)))))))</f>
        <v>19.818999999999999</v>
      </c>
      <c r="AQ36" s="181">
        <f>IF(P36&lt;6,(INDEX(Tables!$B$123:$B$138,MAX(1,MIN(IFERROR(MATCH(U36,Tables!$A$123:$A$138,1),1),ROWS(Tables!$A$123:$A$138)-1)))+(U36-INDEX(Tables!$A$123:$A$138,MAX(1,MIN(IFERROR(MATCH(U36,Tables!$A$123:$A$138,1),1),ROWS(Tables!$A$123:$A$138)-1))))*(INDEX(Tables!$B$123:$B$138,MAX(1,MIN(IFERROR(MATCH(U36,Tables!$A$123:$A$138,1),1),ROWS(Tables!$A$123:$A$138)-1))+1)-INDEX(Tables!$B$123:$B$138,MAX(1,MIN(IFERROR(MATCH(U36,Tables!$A$123:$A$138,1),1),ROWS(Tables!$A$123:$A$138)-1))))/(INDEX(Tables!$A$123:$A$138,MAX(1,MIN(IFERROR(MATCH(U36,Tables!$A$123:$A$138,1),1),ROWS(Tables!$A$123:$A$138)-1))+1)-INDEX(Tables!$A$123:$A$138,MAX(1,MIN(IFERROR(MATCH(U36,Tables!$A$123:$A$138,1),1),ROWS(Tables!$A$123:$A$138)-1))))),IF(P36&lt;8,(INDEX(Tables!$D$123:$D$138,MAX(1,MIN(IFERROR(MATCH(U36,Tables!$C$123:$C$138,1),1),ROWS(Tables!$C$123:$C$138)-1)))+(U36-INDEX(Tables!$C$123:$C$138,MAX(1,MIN(IFERROR(MATCH(U36,Tables!$C$123:$C$138,1),1),ROWS(Tables!$C$123:$C$138)-1))))*(INDEX(Tables!$D$123:$D$138,MAX(1,MIN(IFERROR(MATCH(U36,Tables!$C$123:$C$138,1),1),ROWS(Tables!$C$123:$C$138)-1))+1)-INDEX(Tables!$D$123:$D$138,MAX(1,MIN(IFERROR(MATCH(U36,Tables!$C$123:$C$138,1),1),ROWS(Tables!$C$123:$C$138)-1))))/(INDEX(Tables!$C$123:$C$138,MAX(1,MIN(IFERROR(MATCH(U36,Tables!$C$123:$C$138,1),1),ROWS(Tables!$C$123:$C$138)-1))+1)-INDEX(Tables!$C$123:$C$138,MAX(1,MIN(IFERROR(MATCH(U36,Tables!$C$123:$C$138,1),1),ROWS(Tables!$C$123:$C$138)-1))))),IF(P36&lt;10,(INDEX(Tables!$F$123:$F$138,MAX(1,MIN(IFERROR(MATCH(U36,Tables!$E$123:$E$138,1),1),ROWS(Tables!$E$123:$E$138)-1)))+(U36-INDEX(Tables!$E$123:$E$138,MAX(1,MIN(IFERROR(MATCH(U36,Tables!$E$123:$E$138,1),1),ROWS(Tables!$E$123:$E$138)-1))))*(INDEX(Tables!$F$123:$F$138,MAX(1,MIN(IFERROR(MATCH(U36,Tables!$E$123:$E$138,1),1),ROWS(Tables!$E$123:$E$138)-1))+1)-INDEX(Tables!$F$123:$F$138,MAX(1,MIN(IFERROR(MATCH(U36,Tables!$E$123:$E$138,1),1),ROWS(Tables!$E$123:$E$138)-1))))/(INDEX(Tables!$E$123:$E$138,MAX(1,MIN(IFERROR(MATCH(U36,Tables!$E$123:$E$138,1),1),ROWS(Tables!$E$123:$E$138)-1))+1)-INDEX(Tables!$E$123:$E$138,MAX(1,MIN(IFERROR(MATCH(U36,Tables!$E$123:$E$138,1),1),ROWS(Tables!$E$123:$E$138)-1))))),(INDEX(Tables!$H$123:$H$138,MAX(1,MIN(IFERROR(MATCH(U36,Tables!$G$123:$G$138,1),1),ROWS(Tables!$G$123:$G$138)-1)))+(U36-INDEX(Tables!$G$123:$G$138,MAX(1,MIN(IFERROR(MATCH(U36,Tables!$G$123:$G$138,1),1),ROWS(Tables!$G$123:$G$138)-1))))*(INDEX(Tables!$H$123:$H$138,MAX(1,MIN(IFERROR(MATCH(U36,Tables!$G$123:$G$138,1),1),ROWS(Tables!$G$123:$G$138)-1))+1)-INDEX(Tables!$H$123:$H$138,MAX(1,MIN(IFERROR(MATCH(U36,Tables!$G$123:$G$138,1),1),ROWS(Tables!$G$123:$G$138)-1))))/(INDEX(Tables!$G$123:$G$138,MAX(1,MIN(IFERROR(MATCH(U36,Tables!$G$123:$G$138,1),1),ROWS(Tables!$G$123:$G$138)-1))+1)-INDEX(Tables!$G$123:$G$138,MAX(1,MIN(IFERROR(MATCH(U36,Tables!$G$123:$G$138,1),1),ROWS(Tables!$G$123:$G$138)-1))))))))</f>
        <v>0.46899999999999997</v>
      </c>
      <c r="AR36" s="181">
        <f>IF(OR(P36&gt;=4,U36&gt;12),VLOOKUP(R36&amp;" "&amp;S36,Tables!$D$143:$F$148,2,FALSE),VLOOKUP(R36&amp;" "&amp;S36,Tables!$A$143:$C$148,2,FALSE))</f>
        <v>0.9</v>
      </c>
      <c r="AS36" s="181">
        <f>IF(OR(P36&gt;=4,U36&gt;12),VLOOKUP(R36&amp;" "&amp;S36,Tables!$D$143:$F$148,3,FALSE),VLOOKUP(R36&amp;" "&amp;S36,Tables!$A$143:$C$148,3,FALSE))</f>
        <v>1</v>
      </c>
      <c r="AT36" s="181">
        <f t="shared" si="40"/>
        <v>580.94443749999994</v>
      </c>
      <c r="AU36" s="181">
        <f>IF(AD36=5000,(INDEX(Tables!$B$244:$B$263,MAX(1,MIN(IFERROR(MATCH(AF36,Tables!$A$244:$A$263,1),1),ROWS(Tables!$A$244:$A$263)-1)))+(AF36-INDEX(Tables!$A$244:$A$263,MAX(1,MIN(IFERROR(MATCH(AF36,Tables!$A$244:$A$263,1),1),ROWS(Tables!$A$244:$A$263)-1))))*(INDEX(Tables!$B$244:$B$263,MAX(1,MIN(IFERROR(MATCH(AF36,Tables!$A$244:$A$263,1),1),ROWS(Tables!$A$244:$A$263)-1))+1)-INDEX(Tables!$B$244:$B$263,MAX(1,MIN(IFERROR(MATCH(AF36,Tables!$A$244:$A$263,1),1),ROWS(Tables!$A$244:$A$263)-1))))/(INDEX(Tables!$A$244:$A$263,MAX(1,MIN(IFERROR(MATCH(AF36,Tables!$A$244:$A$263,1),1),ROWS(Tables!$A$244:$A$263)-1))+1)-INDEX(Tables!$A$244:$A$263,MAX(1,MIN(IFERROR(MATCH(AF36,Tables!$A$244:$A$263,1),1),ROWS(Tables!$A$244:$A$263)-1))))),IF(AD36=10000,(INDEX(Tables!$D$244:$D$263,MAX(1,MIN(IFERROR(MATCH(AF36,Tables!$C$244:$C$263,1),1),ROWS(Tables!$C$244:$C$263)-1)))+(AF36-INDEX(Tables!$C$244:$C$263,MAX(1,MIN(IFERROR(MATCH(AF36,Tables!$C$244:$C$263,1),1),ROWS(Tables!$C$244:$C$263)-1))))*(INDEX(Tables!$D$244:$D$263,MAX(1,MIN(IFERROR(MATCH(AF36,Tables!$C$244:$C$263,1),1),ROWS(Tables!$C$244:$C$263)-1))+1)-INDEX(Tables!$D$244:$D$263,MAX(1,MIN(IFERROR(MATCH(AF36,Tables!$C$244:$C$263,1),1),ROWS(Tables!$C$244:$C$263)-1))))/(INDEX(Tables!$C$244:$C$263,MAX(1,MIN(IFERROR(MATCH(AF36,Tables!$C$244:$C$263,1),1),ROWS(Tables!$C$244:$C$263)-1))+1)-INDEX(Tables!$C$244:$C$263,MAX(1,MIN(IFERROR(MATCH(AF36,Tables!$C$244:$C$263,1),1),ROWS(Tables!$C$244:$C$263)-1))))),(INDEX(Tables!$F$244:$F$263,MAX(1,MIN(IFERROR(MATCH(AF36,Tables!$E$244:$E$263,1),1),ROWS(Tables!$E$244:$E$263)-1)))+(AF36-INDEX(Tables!$E$244:$E$263,MAX(1,MIN(IFERROR(MATCH(AF36,Tables!$E$244:$E$263,1),1),ROWS(Tables!$E$244:$E$263)-1))))*(INDEX(Tables!$F$244:$F$263,MAX(1,MIN(IFERROR(MATCH(AF36,Tables!$E$244:$E$263,1),1),ROWS(Tables!$E$244:$E$263)-1))+1)-INDEX(Tables!$F$244:$F$263,MAX(1,MIN(IFERROR(MATCH(AF36,Tables!$E$244:$E$263,1),1),ROWS(Tables!$E$244:$E$263)-1))))/(INDEX(Tables!$E$244:$E$263,MAX(1,MIN(IFERROR(MATCH(AF36,Tables!$E$244:$E$263,1),1),ROWS(Tables!$E$244:$E$263)-1))+1)-INDEX(Tables!$E$244:$E$263,MAX(1,MIN(IFERROR(MATCH(AF36,Tables!$E$244:$E$263,1),1),ROWS(Tables!$E$244:$E$263)-1)))))))</f>
        <v>14.659000000000001</v>
      </c>
      <c r="AV36" s="181">
        <f>IF(P36&lt;6,(INDEX(Tables!$B$260:$B$274,MAX(1,MIN(IFERROR(MATCH(U36,Tables!$A$260:$A$274,1),1),ROWS(Tables!$A$260:$A$274)-1)))+(U36-INDEX(Tables!$A$260:$A$274,MAX(1,MIN(IFERROR(MATCH(U36,Tables!$A$260:$A$274,1),1),ROWS(Tables!$A$260:$A$274)-1))))*(INDEX(Tables!$B$260:$B$274,MAX(1,MIN(IFERROR(MATCH(U36,Tables!$A$260:$A$274,1),1),ROWS(Tables!$A$260:$A$274)-1))+1)-INDEX(Tables!$B$260:$B$274,MAX(1,MIN(IFERROR(MATCH(U36,Tables!$A$260:$A$274,1),1),ROWS(Tables!$A$260:$A$274)-1))))/(INDEX(Tables!$A$260:$A$274,MAX(1,MIN(IFERROR(MATCH(U36,Tables!$A$260:$A$274,1),1),ROWS(Tables!$A$260:$A$274)-1))+1)-INDEX(Tables!$A$260:$A$274,MAX(1,MIN(IFERROR(MATCH(U36,Tables!$A$260:$A$274,1),1),ROWS(Tables!$A$260:$A$274)-1))))),IF(P36&lt;8,(INDEX(Tables!$D$260:$D$274,MAX(1,MIN(IFERROR(MATCH(U36,Tables!$C$260:$C$274,1),1),ROWS(Tables!$C$260:$C$274)-1)))+(U36-INDEX(Tables!$C$260:$C$274,MAX(1,MIN(IFERROR(MATCH(U36,Tables!$C$260:$C$274,1),1),ROWS(Tables!$C$260:$C$274)-1))))*(INDEX(Tables!$D$260:$D$274,MAX(1,MIN(IFERROR(MATCH(U36,Tables!$C$260:$C$274,1),1),ROWS(Tables!$C$260:$C$274)-1))+1)-INDEX(Tables!$D$260:$D$274,MAX(1,MIN(IFERROR(MATCH(U36,Tables!$C$260:$C$274,1),1),ROWS(Tables!$C$260:$C$274)-1))))/(INDEX(Tables!$C$260:$C$274,MAX(1,MIN(IFERROR(MATCH(U36,Tables!$C$260:$C$274,1),1),ROWS(Tables!$C$260:$C$274)-1))+1)-INDEX(Tables!$C$260:$C$274,MAX(1,MIN(IFERROR(MATCH(U36,Tables!$C$260:$C$274,1),1),ROWS(Tables!$C$260:$C$274)-1))))),IF(P36&lt;10,(INDEX(Tables!$F$260:$F$274,MAX(1,MIN(IFERROR(MATCH(U36,Tables!$E$260:$E$274,1),1),ROWS(Tables!$E$260:$E$274)-1)))+(U36-INDEX(Tables!$E$260:$E$274,MAX(1,MIN(IFERROR(MATCH(U36,Tables!$E$260:$E$274,1),1),ROWS(Tables!$E$260:$E$274)-1))))*(INDEX(Tables!$F$260:$F$274,MAX(1,MIN(IFERROR(MATCH(U36,Tables!$E$260:$E$274,1),1),ROWS(Tables!$E$260:$E$274)-1))+1)-INDEX(Tables!$F$260:$F$274,MAX(1,MIN(IFERROR(MATCH(U36,Tables!$E$260:$E$274,1),1),ROWS(Tables!$E$260:$E$274)-1))))/(INDEX(Tables!$E$260:$E$274,MAX(1,MIN(IFERROR(MATCH(U36,Tables!$E$260:$E$274,1),1),ROWS(Tables!$E$260:$E$274)-1))+1)-INDEX(Tables!$E$260:$E$274,MAX(1,MIN(IFERROR(MATCH(U36,Tables!$E$260:$E$274,1),1),ROWS(Tables!$E$260:$E$274)-1))))),(INDEX(Tables!$H$260:$H$274,MAX(1,MIN(IFERROR(MATCH(U36,Tables!$G$260:$G$274,1),1),ROWS(Tables!$G$260:$G$274)-1)))+(U36-INDEX(Tables!$G$260:$G$274,MAX(1,MIN(IFERROR(MATCH(U36,Tables!$G$260:$G$274,1),1),ROWS(Tables!$G$260:$G$274)-1))))*(INDEX(Tables!$H$260:$H$274,MAX(1,MIN(IFERROR(MATCH(U36,Tables!$G$260:$G$274,1),1),ROWS(Tables!$G$260:$G$274)-1))+1)-INDEX(Tables!$H$260:$H$274,MAX(1,MIN(IFERROR(MATCH(U36,Tables!$G$260:$G$274,1),1),ROWS(Tables!$G$260:$G$274)-1))))/(INDEX(Tables!$G$260:$G$274,MAX(1,MIN(IFERROR(MATCH(U36,Tables!$G$260:$G$274,1),1),ROWS(Tables!$G$260:$G$274)-1))+1)-INDEX(Tables!$G$260:$G$274,MAX(1,MIN(IFERROR(MATCH(U36,Tables!$G$260:$G$274,1),1),ROWS(Tables!$G$260:$G$274)-1))))))))</f>
        <v>0.45700000000000002</v>
      </c>
      <c r="AW36" s="181">
        <f t="shared" si="41"/>
        <v>418.69768750000003</v>
      </c>
      <c r="AX36" s="181">
        <f t="shared" si="42"/>
        <v>50800</v>
      </c>
      <c r="AY36" s="181">
        <f t="shared" si="43"/>
        <v>93901.441269500006</v>
      </c>
      <c r="AZ36" s="181">
        <f t="shared" si="44"/>
        <v>28414.846737100001</v>
      </c>
      <c r="BA36" s="181">
        <f t="shared" si="45"/>
        <v>-800</v>
      </c>
      <c r="BB36" s="181">
        <f t="shared" si="46"/>
        <v>83995.131739416203</v>
      </c>
      <c r="BC36" s="181">
        <f t="shared" si="47"/>
        <v>46800</v>
      </c>
      <c r="BD36" s="181">
        <f>VLOOKUP(V36&amp;" "&amp;J36,Tables!$A$152:$E$239,4,FALSE)</f>
        <v>12000</v>
      </c>
      <c r="BE36" s="181">
        <f>VLOOKUP(V36&amp;" "&amp;J36,Tables!$A$152:$E$239,5,FALSE)</f>
        <v>23000</v>
      </c>
      <c r="BF36" s="181">
        <f t="shared" si="48"/>
        <v>8640</v>
      </c>
      <c r="BG36" s="181">
        <f t="shared" si="49"/>
        <v>16560</v>
      </c>
      <c r="BH36" s="181">
        <f t="shared" si="50"/>
        <v>51200</v>
      </c>
      <c r="BI36" s="181">
        <f t="shared" si="51"/>
        <v>46800</v>
      </c>
      <c r="BJ36" s="181">
        <f t="shared" si="52"/>
        <v>83995.131739416203</v>
      </c>
      <c r="BK36" s="181">
        <f t="shared" si="53"/>
        <v>46800</v>
      </c>
      <c r="BL36" s="181">
        <f t="shared" si="54"/>
        <v>418.69768750000003</v>
      </c>
      <c r="BM36" s="181">
        <f t="shared" si="55"/>
        <v>8640</v>
      </c>
      <c r="BN36" s="181">
        <f t="shared" si="56"/>
        <v>580.94443749999994</v>
      </c>
      <c r="BO36" s="181">
        <f t="shared" si="57"/>
        <v>16560</v>
      </c>
      <c r="BP36" t="str">
        <f t="shared" si="58"/>
        <v>Fail</v>
      </c>
      <c r="BQ36" t="str">
        <f t="shared" si="59"/>
        <v>Fail</v>
      </c>
      <c r="BR36" t="str">
        <f t="shared" si="60"/>
        <v>Pass</v>
      </c>
      <c r="BS36" t="str">
        <f t="shared" si="61"/>
        <v>Pass</v>
      </c>
      <c r="BT36" t="str">
        <f t="shared" si="62"/>
        <v>Fail</v>
      </c>
      <c r="BU36" t="str">
        <f t="shared" si="63"/>
        <v>Effective Stress</v>
      </c>
    </row>
    <row r="37" spans="1:73">
      <c r="A37" t="s">
        <v>629</v>
      </c>
      <c r="B37" s="181">
        <v>35</v>
      </c>
      <c r="C37" t="s">
        <v>594</v>
      </c>
      <c r="D37" s="181">
        <v>6</v>
      </c>
      <c r="E37" s="181">
        <v>0.34399999999999997</v>
      </c>
      <c r="F37" t="s">
        <v>117</v>
      </c>
      <c r="G37" t="s">
        <v>119</v>
      </c>
      <c r="H37" t="s">
        <v>122</v>
      </c>
      <c r="I37" s="181">
        <v>1</v>
      </c>
      <c r="J37" t="s">
        <v>126</v>
      </c>
      <c r="K37" t="s">
        <v>129</v>
      </c>
      <c r="L37" s="181">
        <v>70</v>
      </c>
      <c r="M37" s="181">
        <v>800</v>
      </c>
      <c r="N37" t="s">
        <v>389</v>
      </c>
      <c r="O37" s="181">
        <v>120</v>
      </c>
      <c r="P37" s="181">
        <v>1</v>
      </c>
      <c r="Q37" s="181">
        <v>8.625</v>
      </c>
      <c r="R37" t="s">
        <v>417</v>
      </c>
      <c r="S37" t="s">
        <v>156</v>
      </c>
      <c r="T37" s="181">
        <v>70</v>
      </c>
      <c r="U37" s="181">
        <f>HLOOKUP(D37,'Highway Loading'!$C$155:$AD$156,2,FALSE)</f>
        <v>6.625</v>
      </c>
      <c r="V37" s="181">
        <f>IF(ISBLANK(G37),"",INDEX('Highway Loading'!$C$216:$AG$216,1,MATCH(G37,'Highway Loading'!$C$215:$AG$215,0)))</f>
        <v>65000</v>
      </c>
      <c r="W37" s="181">
        <f>INDEX('Highway Loading'!$I$245:$L$253,MATCH(H37,'Highway Loading'!$H$245:$H$253,0),MATCH(I37,'Highway Loading'!$I$244:$L$244,0))</f>
        <v>0.72</v>
      </c>
      <c r="X37" s="181">
        <f t="shared" si="32"/>
        <v>1</v>
      </c>
      <c r="Y37" s="181">
        <f>VLOOKUP(K37,'Highway Loading'!$B$283:$E$292,2,FALSE)</f>
        <v>29000000</v>
      </c>
      <c r="Z37" s="181">
        <f>VLOOKUP(K37,'Highway Loading'!$B$283:$E$292,3,FALSE)</f>
        <v>0.3</v>
      </c>
      <c r="AA37" s="181">
        <f>VLOOKUP(K37,'Highway Loading'!$B$283:$E$292,4,FALSE)</f>
        <v>6.4999999999999996E-6</v>
      </c>
      <c r="AB37" s="181">
        <f t="shared" si="33"/>
        <v>1</v>
      </c>
      <c r="AC37" s="181">
        <f>VLOOKUP(N37,'Highway Loading'!$B$256:$D$261,2,FALSE)</f>
        <v>500</v>
      </c>
      <c r="AD37" s="181">
        <f>VLOOKUP(N37,'Highway Loading'!$B$256:$D$261,3,FALSE)</f>
        <v>5000</v>
      </c>
      <c r="AE37" s="181">
        <f>VLOOKUP(S37,'Highway Loading'!$B$340:$C$341,2,FALSE)</f>
        <v>10000</v>
      </c>
      <c r="AF37" s="181">
        <f t="shared" si="34"/>
        <v>5.1924528301886791E-2</v>
      </c>
      <c r="AG37" s="181">
        <f t="shared" si="35"/>
        <v>1.3913043478260869</v>
      </c>
      <c r="AH37" s="181">
        <f t="shared" si="36"/>
        <v>1.3018867924528301</v>
      </c>
      <c r="AI37" s="181">
        <f t="shared" si="37"/>
        <v>7703.4883720930238</v>
      </c>
      <c r="AJ37" s="181">
        <f t="shared" si="38"/>
        <v>46800</v>
      </c>
      <c r="AK37" s="181">
        <f>IF(AC37=200,(INDEX(Tables!$B$17:$B$38,MAX(1,MIN(IFERROR(MATCH(AF37,Tables!$A$17:$A$38,1),1),ROWS(Tables!$A$17:$A$38)-1)))+(AF37-INDEX(Tables!$A$17:$A$38,MAX(1,MIN(IFERROR(MATCH(AF37,Tables!$A$17:$A$38,1),1),ROWS(Tables!$A$17:$A$38)-1))))*(INDEX(Tables!$B$17:$B$38,MAX(1,MIN(IFERROR(MATCH(AF37,Tables!$A$17:$A$38,1),1),ROWS(Tables!$A$17:$A$38)-1))+1)-INDEX(Tables!$B$17:$B$38,MAX(1,MIN(IFERROR(MATCH(AF37,Tables!$A$17:$A$38,1),1),ROWS(Tables!$A$17:$A$38)-1))))/(INDEX(Tables!$A$17:$A$38,MAX(1,MIN(IFERROR(MATCH(AF37,Tables!$A$17:$A$38,1),1),ROWS(Tables!$A$17:$A$38)-1))+1)-INDEX(Tables!$A$17:$A$38,MAX(1,MIN(IFERROR(MATCH(AF37,Tables!$A$17:$A$38,1),1),ROWS(Tables!$A$17:$A$38)-1))))),IF(AC37=500,(INDEX(Tables!$D$17:$D$38,MAX(1,MIN(IFERROR(MATCH(AF37,Tables!$C$17:$C$38,1),1),ROWS(Tables!$C$17:$C$38)-1)))+(AF37-INDEX(Tables!$C$17:$C$38,MAX(1,MIN(IFERROR(MATCH(AF37,Tables!$C$17:$C$38,1),1),ROWS(Tables!$C$17:$C$38)-1))))*(INDEX(Tables!$D$17:$D$38,MAX(1,MIN(IFERROR(MATCH(AF37,Tables!$C$17:$C$38,1),1),ROWS(Tables!$C$17:$C$38)-1))+1)-INDEX(Tables!$D$17:$D$38,MAX(1,MIN(IFERROR(MATCH(AF37,Tables!$C$17:$C$38,1),1),ROWS(Tables!$C$17:$C$38)-1))))/(INDEX(Tables!$C$17:$C$38,MAX(1,MIN(IFERROR(MATCH(AF37,Tables!$C$17:$C$38,1),1),ROWS(Tables!$C$17:$C$38)-1))+1)-INDEX(Tables!$C$17:$C$38,MAX(1,MIN(IFERROR(MATCH(AF37,Tables!$C$17:$C$38,1),1),ROWS(Tables!$C$17:$C$38)-1))))),IF(AC37=1000,(INDEX(Tables!$F$17:$F$38,MAX(1,MIN(IFERROR(MATCH(AF37,Tables!$E$17:$E$38,1),1),ROWS(Tables!$E$17:$E$38)-1)))+(AF37-INDEX(Tables!$E$17:$E$38,MAX(1,MIN(IFERROR(MATCH(AF37,Tables!$E$17:$E$38,1),1),ROWS(Tables!$E$17:$E$38)-1))))*(INDEX(Tables!$F$17:$F$38,MAX(1,MIN(IFERROR(MATCH(AF37,Tables!$E$17:$E$38,1),1),ROWS(Tables!$E$17:$E$38)-1))+1)-INDEX(Tables!$F$17:$F$38,MAX(1,MIN(IFERROR(MATCH(AF37,Tables!$E$17:$E$38,1),1),ROWS(Tables!$E$17:$E$38)-1))))/(INDEX(Tables!$E$17:$E$38,MAX(1,MIN(IFERROR(MATCH(AF37,Tables!$E$17:$E$38,1),1),ROWS(Tables!$E$17:$E$38)-1))+1)-INDEX(Tables!$E$17:$E$38,MAX(1,MIN(IFERROR(MATCH(AF37,Tables!$E$17:$E$38,1),1),ROWS(Tables!$E$17:$E$38)-1))))),(INDEX(Tables!$H$17:$H$38,MAX(1,MIN(IFERROR(MATCH(AF37,Tables!$G$17:$G$38,1),1),ROWS(Tables!$G$17:$G$38)-1)))+(AF37-INDEX(Tables!$G$17:$G$38,MAX(1,MIN(IFERROR(MATCH(AF37,Tables!$G$17:$G$38,1),1),ROWS(Tables!$G$17:$G$38)-1))))*(INDEX(Tables!$H$17:$H$38,MAX(1,MIN(IFERROR(MATCH(AF37,Tables!$G$17:$G$38,1),1),ROWS(Tables!$G$17:$G$38)-1))+1)-INDEX(Tables!$H$17:$H$38,MAX(1,MIN(IFERROR(MATCH(AF37,Tables!$G$17:$G$38,1),1),ROWS(Tables!$G$17:$G$38)-1))))/(INDEX(Tables!$G$17:$G$38,MAX(1,MIN(IFERROR(MATCH(AF37,Tables!$G$17:$G$38,1),1),ROWS(Tables!$G$17:$G$38)-1))+1)-INDEX(Tables!$G$17:$G$38,MAX(1,MIN(IFERROR(MATCH(AF37,Tables!$G$17:$G$38,1),1),ROWS(Tables!$G$17:$G$38)-1))))))))</f>
        <v>434.21132075471701</v>
      </c>
      <c r="AL37" s="181">
        <f>IF(AC37&lt;1000,(INDEX(Tables!$B$43:$B$76,MAX(1,MIN(IFERROR(MATCH(AG37,Tables!$A$43:$A$76,1),1),ROWS(Tables!$A$43:$A$76)-1)))+(AG37-INDEX(Tables!$A$43:$A$76,MAX(1,MIN(IFERROR(MATCH(AG37,Tables!$A$43:$A$76,1),1),ROWS(Tables!$A$43:$A$76)-1))))*(INDEX(Tables!$B$43:$B$76,MAX(1,MIN(IFERROR(MATCH(AG37,Tables!$A$43:$A$76,1),1),ROWS(Tables!$A$43:$A$76)-1))+1)-INDEX(Tables!$B$43:$B$76,MAX(1,MIN(IFERROR(MATCH(AG37,Tables!$A$43:$A$76,1),1),ROWS(Tables!$A$43:$A$76)-1))))/(INDEX(Tables!$A$43:$A$76,MAX(1,MIN(IFERROR(MATCH(AG37,Tables!$A$43:$A$76,1),1),ROWS(Tables!$A$43:$A$76)-1))+1)-INDEX(Tables!$A$43:$A$76,MAX(1,MIN(IFERROR(MATCH(AG37,Tables!$A$43:$A$76,1),1),ROWS(Tables!$A$43:$A$76)-1))))),(INDEX(Tables!$D$43:$D$76,MAX(1,MIN(IFERROR(MATCH(AG37,Tables!$C$43:$C$76,1),1),ROWS(Tables!$C$43:$C$76)-1)))+(AG37-INDEX(Tables!$C$43:$C$76,MAX(1,MIN(IFERROR(MATCH(AG37,Tables!$C$43:$C$76,1),1),ROWS(Tables!$C$43:$C$76)-1))))*(INDEX(Tables!$D$43:$D$76,MAX(1,MIN(IFERROR(MATCH(AG37,Tables!$C$43:$C$76,1),1),ROWS(Tables!$C$43:$C$76)-1))+1)-INDEX(Tables!$D$43:$D$76,MAX(1,MIN(IFERROR(MATCH(AG37,Tables!$C$43:$C$76,1),1),ROWS(Tables!$C$43:$C$76)-1))))/(INDEX(Tables!$C$43:$C$76,MAX(1,MIN(IFERROR(MATCH(AG37,Tables!$C$43:$C$76,1),1),ROWS(Tables!$C$43:$C$76)-1))+1)-INDEX(Tables!$C$43:$C$76,MAX(1,MIN(IFERROR(MATCH(AG37,Tables!$C$43:$C$76,1),1),ROWS(Tables!$C$43:$C$76)-1))))))</f>
        <v>0.44739130434782609</v>
      </c>
      <c r="AM37" s="181">
        <f>(INDEX(Tables!$B$80:$B$87,MAX(1,MIN(IFERROR(MATCH(AH37,Tables!$A$80:$A$87,1),1),ROWS(Tables!$A$80:$A$87)-1)))+(AH37-INDEX(Tables!$A$80:$A$87,MAX(1,MIN(IFERROR(MATCH(AH37,Tables!$A$80:$A$87,1),1),ROWS(Tables!$A$80:$A$87)-1))))*(INDEX(Tables!$B$80:$B$87,MAX(1,MIN(IFERROR(MATCH(AH37,Tables!$A$80:$A$87,1),1),ROWS(Tables!$A$80:$A$87)-1))+1)-INDEX(Tables!$B$80:$B$87,MAX(1,MIN(IFERROR(MATCH(AH37,Tables!$A$80:$A$87,1),1),ROWS(Tables!$A$80:$A$87)-1))))/(INDEX(Tables!$A$80:$A$87,MAX(1,MIN(IFERROR(MATCH(AH37,Tables!$A$80:$A$87,1),1),ROWS(Tables!$A$80:$A$87)-1))+1)-INDEX(Tables!$A$80:$A$87,MAX(1,MIN(IFERROR(MATCH(AH37,Tables!$A$80:$A$87,1),1),ROWS(Tables!$A$80:$A$87)-1)))))</f>
        <v>1.403996226415094</v>
      </c>
      <c r="AN37" s="181">
        <f t="shared" si="39"/>
        <v>125.48101181502938</v>
      </c>
      <c r="AO37" s="181">
        <f>(INDEX(Tables!$B$91:$B$94,MAX(1,MIN(IFERROR(MATCH(P37,Tables!$A$91:$A$94,1),1),ROWS(Tables!$A$91:$A$94)-1)))+(P37-INDEX(Tables!$A$91:$A$94,MAX(1,MIN(IFERROR(MATCH(P37,Tables!$A$91:$A$94,1),1),ROWS(Tables!$A$91:$A$94)-1))))*(INDEX(Tables!$B$91:$B$94,MAX(1,MIN(IFERROR(MATCH(P37,Tables!$A$91:$A$94,1),1),ROWS(Tables!$A$91:$A$94)-1))+1)-INDEX(Tables!$B$91:$B$94,MAX(1,MIN(IFERROR(MATCH(P37,Tables!$A$91:$A$94,1),1),ROWS(Tables!$A$91:$A$94)-1))))/(INDEX(Tables!$A$91:$A$94,MAX(1,MIN(IFERROR(MATCH(P37,Tables!$A$91:$A$94,1),1),ROWS(Tables!$A$91:$A$94)-1))+1)-INDEX(Tables!$A$91:$A$94,MAX(1,MIN(IFERROR(MATCH(P37,Tables!$A$91:$A$94,1),1),ROWS(Tables!$A$91:$A$94)-1)))))</f>
        <v>1.5</v>
      </c>
      <c r="AP37" s="181">
        <f>IF(AD37=5000,(INDEX(Tables!$B$99:$B$118,MAX(1,MIN(IFERROR(MATCH(AF37,Tables!$A$99:$A$118,1),1),ROWS(Tables!$A$99:$A$118)-1)))+(AF37-INDEX(Tables!$A$99:$A$118,MAX(1,MIN(IFERROR(MATCH(AF37,Tables!$A$99:$A$118,1),1),ROWS(Tables!$A$99:$A$118)-1))))*(INDEX(Tables!$B$99:$B$118,MAX(1,MIN(IFERROR(MATCH(AF37,Tables!$A$99:$A$118,1),1),ROWS(Tables!$A$99:$A$118)-1))+1)-INDEX(Tables!$B$99:$B$118,MAX(1,MIN(IFERROR(MATCH(AF37,Tables!$A$99:$A$118,1),1),ROWS(Tables!$A$99:$A$118)-1))))/(INDEX(Tables!$A$99:$A$118,MAX(1,MIN(IFERROR(MATCH(AF37,Tables!$A$99:$A$118,1),1),ROWS(Tables!$A$99:$A$118)-1))+1)-INDEX(Tables!$A$99:$A$118,MAX(1,MIN(IFERROR(MATCH(AF37,Tables!$A$99:$A$118,1),1),ROWS(Tables!$A$99:$A$118)-1))))),IF(AD37=10000,(INDEX(Tables!$D$99:$D$118,MAX(1,MIN(IFERROR(MATCH(AF37,Tables!$C$99:$C$118,1),1),ROWS(Tables!$C$99:$C$118)-1)))+(AF37-INDEX(Tables!$C$99:$C$118,MAX(1,MIN(IFERROR(MATCH(AF37,Tables!$C$99:$C$118,1),1),ROWS(Tables!$C$99:$C$118)-1))))*(INDEX(Tables!$D$99:$D$118,MAX(1,MIN(IFERROR(MATCH(AF37,Tables!$C$99:$C$118,1),1),ROWS(Tables!$C$99:$C$118)-1))+1)-INDEX(Tables!$D$99:$D$118,MAX(1,MIN(IFERROR(MATCH(AF37,Tables!$C$99:$C$118,1),1),ROWS(Tables!$C$99:$C$118)-1))))/(INDEX(Tables!$C$99:$C$118,MAX(1,MIN(IFERROR(MATCH(AF37,Tables!$C$99:$C$118,1),1),ROWS(Tables!$C$99:$C$118)-1))+1)-INDEX(Tables!$C$99:$C$118,MAX(1,MIN(IFERROR(MATCH(AF37,Tables!$C$99:$C$118,1),1),ROWS(Tables!$C$99:$C$118)-1))))),(INDEX(Tables!$F$99:$F$118,MAX(1,MIN(IFERROR(MATCH(AF37,Tables!$E$99:$E$118,1),1),ROWS(Tables!$E$99:$E$118)-1)))+(AF37-INDEX(Tables!$E$99:$E$118,MAX(1,MIN(IFERROR(MATCH(AF37,Tables!$E$99:$E$118,1),1),ROWS(Tables!$E$99:$E$118)-1))))*(INDEX(Tables!$F$99:$F$118,MAX(1,MIN(IFERROR(MATCH(AF37,Tables!$E$99:$E$118,1),1),ROWS(Tables!$E$99:$E$118)-1))+1)-INDEX(Tables!$F$99:$F$118,MAX(1,MIN(IFERROR(MATCH(AF37,Tables!$E$99:$E$118,1),1),ROWS(Tables!$E$99:$E$118)-1))))/(INDEX(Tables!$E$99:$E$118,MAX(1,MIN(IFERROR(MATCH(AF37,Tables!$E$99:$E$118,1),1),ROWS(Tables!$E$99:$E$118)-1))+1)-INDEX(Tables!$E$99:$E$118,MAX(1,MIN(IFERROR(MATCH(AF37,Tables!$E$99:$E$118,1),1),ROWS(Tables!$E$99:$E$118)-1)))))))</f>
        <v>5.6291529705286134</v>
      </c>
      <c r="AQ37" s="181">
        <f>IF(P37&lt;6,(INDEX(Tables!$B$123:$B$138,MAX(1,MIN(IFERROR(MATCH(U37,Tables!$A$123:$A$138,1),1),ROWS(Tables!$A$123:$A$138)-1)))+(U37-INDEX(Tables!$A$123:$A$138,MAX(1,MIN(IFERROR(MATCH(U37,Tables!$A$123:$A$138,1),1),ROWS(Tables!$A$123:$A$138)-1))))*(INDEX(Tables!$B$123:$B$138,MAX(1,MIN(IFERROR(MATCH(U37,Tables!$A$123:$A$138,1),1),ROWS(Tables!$A$123:$A$138)-1))+1)-INDEX(Tables!$B$123:$B$138,MAX(1,MIN(IFERROR(MATCH(U37,Tables!$A$123:$A$138,1),1),ROWS(Tables!$A$123:$A$138)-1))))/(INDEX(Tables!$A$123:$A$138,MAX(1,MIN(IFERROR(MATCH(U37,Tables!$A$123:$A$138,1),1),ROWS(Tables!$A$123:$A$138)-1))+1)-INDEX(Tables!$A$123:$A$138,MAX(1,MIN(IFERROR(MATCH(U37,Tables!$A$123:$A$138,1),1),ROWS(Tables!$A$123:$A$138)-1))))),IF(P37&lt;8,(INDEX(Tables!$D$123:$D$138,MAX(1,MIN(IFERROR(MATCH(U37,Tables!$C$123:$C$138,1),1),ROWS(Tables!$C$123:$C$138)-1)))+(U37-INDEX(Tables!$C$123:$C$138,MAX(1,MIN(IFERROR(MATCH(U37,Tables!$C$123:$C$138,1),1),ROWS(Tables!$C$123:$C$138)-1))))*(INDEX(Tables!$D$123:$D$138,MAX(1,MIN(IFERROR(MATCH(U37,Tables!$C$123:$C$138,1),1),ROWS(Tables!$C$123:$C$138)-1))+1)-INDEX(Tables!$D$123:$D$138,MAX(1,MIN(IFERROR(MATCH(U37,Tables!$C$123:$C$138,1),1),ROWS(Tables!$C$123:$C$138)-1))))/(INDEX(Tables!$C$123:$C$138,MAX(1,MIN(IFERROR(MATCH(U37,Tables!$C$123:$C$138,1),1),ROWS(Tables!$C$123:$C$138)-1))+1)-INDEX(Tables!$C$123:$C$138,MAX(1,MIN(IFERROR(MATCH(U37,Tables!$C$123:$C$138,1),1),ROWS(Tables!$C$123:$C$138)-1))))),IF(P37&lt;10,(INDEX(Tables!$F$123:$F$138,MAX(1,MIN(IFERROR(MATCH(U37,Tables!$E$123:$E$138,1),1),ROWS(Tables!$E$123:$E$138)-1)))+(U37-INDEX(Tables!$E$123:$E$138,MAX(1,MIN(IFERROR(MATCH(U37,Tables!$E$123:$E$138,1),1),ROWS(Tables!$E$123:$E$138)-1))))*(INDEX(Tables!$F$123:$F$138,MAX(1,MIN(IFERROR(MATCH(U37,Tables!$E$123:$E$138,1),1),ROWS(Tables!$E$123:$E$138)-1))+1)-INDEX(Tables!$F$123:$F$138,MAX(1,MIN(IFERROR(MATCH(U37,Tables!$E$123:$E$138,1),1),ROWS(Tables!$E$123:$E$138)-1))))/(INDEX(Tables!$E$123:$E$138,MAX(1,MIN(IFERROR(MATCH(U37,Tables!$E$123:$E$138,1),1),ROWS(Tables!$E$123:$E$138)-1))+1)-INDEX(Tables!$E$123:$E$138,MAX(1,MIN(IFERROR(MATCH(U37,Tables!$E$123:$E$138,1),1),ROWS(Tables!$E$123:$E$138)-1))))),(INDEX(Tables!$H$123:$H$138,MAX(1,MIN(IFERROR(MATCH(U37,Tables!$G$123:$G$138,1),1),ROWS(Tables!$G$123:$G$138)-1)))+(U37-INDEX(Tables!$G$123:$G$138,MAX(1,MIN(IFERROR(MATCH(U37,Tables!$G$123:$G$138,1),1),ROWS(Tables!$G$123:$G$138)-1))))*(INDEX(Tables!$H$123:$H$138,MAX(1,MIN(IFERROR(MATCH(U37,Tables!$G$123:$G$138,1),1),ROWS(Tables!$G$123:$G$138)-1))+1)-INDEX(Tables!$H$123:$H$138,MAX(1,MIN(IFERROR(MATCH(U37,Tables!$G$123:$G$138,1),1),ROWS(Tables!$G$123:$G$138)-1))))/(INDEX(Tables!$G$123:$G$138,MAX(1,MIN(IFERROR(MATCH(U37,Tables!$G$123:$G$138,1),1),ROWS(Tables!$G$123:$G$138)-1))+1)-INDEX(Tables!$G$123:$G$138,MAX(1,MIN(IFERROR(MATCH(U37,Tables!$G$123:$G$138,1),1),ROWS(Tables!$G$123:$G$138)-1))))))))</f>
        <v>1.4501250000000001</v>
      </c>
      <c r="AR37" s="181">
        <f>IF(OR(P37&gt;=4,U37&gt;12),VLOOKUP(R37&amp;" "&amp;S37,Tables!$D$143:$F$148,2,FALSE),VLOOKUP(R37&amp;" "&amp;S37,Tables!$A$143:$C$148,2,FALSE))</f>
        <v>1.1000000000000001</v>
      </c>
      <c r="AS37" s="181">
        <f>IF(OR(P37&gt;=4,U37&gt;12),VLOOKUP(R37&amp;" "&amp;S37,Tables!$D$143:$F$148,3,FALSE),VLOOKUP(R37&amp;" "&amp;S37,Tables!$A$143:$C$148,3,FALSE))</f>
        <v>1</v>
      </c>
      <c r="AT37" s="181">
        <f t="shared" si="40"/>
        <v>935.34093713818606</v>
      </c>
      <c r="AU37" s="181">
        <f>IF(AD37=5000,(INDEX(Tables!$B$244:$B$263,MAX(1,MIN(IFERROR(MATCH(AF37,Tables!$A$244:$A$263,1),1),ROWS(Tables!$A$244:$A$263)-1)))+(AF37-INDEX(Tables!$A$244:$A$263,MAX(1,MIN(IFERROR(MATCH(AF37,Tables!$A$244:$A$263,1),1),ROWS(Tables!$A$244:$A$263)-1))))*(INDEX(Tables!$B$244:$B$263,MAX(1,MIN(IFERROR(MATCH(AF37,Tables!$A$244:$A$263,1),1),ROWS(Tables!$A$244:$A$263)-1))+1)-INDEX(Tables!$B$244:$B$263,MAX(1,MIN(IFERROR(MATCH(AF37,Tables!$A$244:$A$263,1),1),ROWS(Tables!$A$244:$A$263)-1))))/(INDEX(Tables!$A$244:$A$263,MAX(1,MIN(IFERROR(MATCH(AF37,Tables!$A$244:$A$263,1),1),ROWS(Tables!$A$244:$A$263)-1))+1)-INDEX(Tables!$A$244:$A$263,MAX(1,MIN(IFERROR(MATCH(AF37,Tables!$A$244:$A$263,1),1),ROWS(Tables!$A$244:$A$263)-1))))),IF(AD37=10000,(INDEX(Tables!$D$244:$D$263,MAX(1,MIN(IFERROR(MATCH(AF37,Tables!$C$244:$C$263,1),1),ROWS(Tables!$C$244:$C$263)-1)))+(AF37-INDEX(Tables!$C$244:$C$263,MAX(1,MIN(IFERROR(MATCH(AF37,Tables!$C$244:$C$263,1),1),ROWS(Tables!$C$244:$C$263)-1))))*(INDEX(Tables!$D$244:$D$263,MAX(1,MIN(IFERROR(MATCH(AF37,Tables!$C$244:$C$263,1),1),ROWS(Tables!$C$244:$C$263)-1))+1)-INDEX(Tables!$D$244:$D$263,MAX(1,MIN(IFERROR(MATCH(AF37,Tables!$C$244:$C$263,1),1),ROWS(Tables!$C$244:$C$263)-1))))/(INDEX(Tables!$C$244:$C$263,MAX(1,MIN(IFERROR(MATCH(AF37,Tables!$C$244:$C$263,1),1),ROWS(Tables!$C$244:$C$263)-1))+1)-INDEX(Tables!$C$244:$C$263,MAX(1,MIN(IFERROR(MATCH(AF37,Tables!$C$244:$C$263,1),1),ROWS(Tables!$C$244:$C$263)-1))))),(INDEX(Tables!$F$244:$F$263,MAX(1,MIN(IFERROR(MATCH(AF37,Tables!$E$244:$E$263,1),1),ROWS(Tables!$E$244:$E$263)-1)))+(AF37-INDEX(Tables!$E$244:$E$263,MAX(1,MIN(IFERROR(MATCH(AF37,Tables!$E$244:$E$263,1),1),ROWS(Tables!$E$244:$E$263)-1))))*(INDEX(Tables!$F$244:$F$263,MAX(1,MIN(IFERROR(MATCH(AF37,Tables!$E$244:$E$263,1),1),ROWS(Tables!$E$244:$E$263)-1))+1)-INDEX(Tables!$F$244:$F$263,MAX(1,MIN(IFERROR(MATCH(AF37,Tables!$E$244:$E$263,1),1),ROWS(Tables!$E$244:$E$263)-1))))/(INDEX(Tables!$E$244:$E$263,MAX(1,MIN(IFERROR(MATCH(AF37,Tables!$E$244:$E$263,1),1),ROWS(Tables!$E$244:$E$263)-1))+1)-INDEX(Tables!$E$244:$E$263,MAX(1,MIN(IFERROR(MATCH(AF37,Tables!$E$244:$E$263,1),1),ROWS(Tables!$E$244:$E$263)-1)))))))</f>
        <v>8.2111547169811328</v>
      </c>
      <c r="AV37" s="181">
        <f>IF(P37&lt;6,(INDEX(Tables!$B$260:$B$274,MAX(1,MIN(IFERROR(MATCH(U37,Tables!$A$260:$A$274,1),1),ROWS(Tables!$A$260:$A$274)-1)))+(U37-INDEX(Tables!$A$260:$A$274,MAX(1,MIN(IFERROR(MATCH(U37,Tables!$A$260:$A$274,1),1),ROWS(Tables!$A$260:$A$274)-1))))*(INDEX(Tables!$B$260:$B$274,MAX(1,MIN(IFERROR(MATCH(U37,Tables!$A$260:$A$274,1),1),ROWS(Tables!$A$260:$A$274)-1))+1)-INDEX(Tables!$B$260:$B$274,MAX(1,MIN(IFERROR(MATCH(U37,Tables!$A$260:$A$274,1),1),ROWS(Tables!$A$260:$A$274)-1))))/(INDEX(Tables!$A$260:$A$274,MAX(1,MIN(IFERROR(MATCH(U37,Tables!$A$260:$A$274,1),1),ROWS(Tables!$A$260:$A$274)-1))+1)-INDEX(Tables!$A$260:$A$274,MAX(1,MIN(IFERROR(MATCH(U37,Tables!$A$260:$A$274,1),1),ROWS(Tables!$A$260:$A$274)-1))))),IF(P37&lt;8,(INDEX(Tables!$D$260:$D$274,MAX(1,MIN(IFERROR(MATCH(U37,Tables!$C$260:$C$274,1),1),ROWS(Tables!$C$260:$C$274)-1)))+(U37-INDEX(Tables!$C$260:$C$274,MAX(1,MIN(IFERROR(MATCH(U37,Tables!$C$260:$C$274,1),1),ROWS(Tables!$C$260:$C$274)-1))))*(INDEX(Tables!$D$260:$D$274,MAX(1,MIN(IFERROR(MATCH(U37,Tables!$C$260:$C$274,1),1),ROWS(Tables!$C$260:$C$274)-1))+1)-INDEX(Tables!$D$260:$D$274,MAX(1,MIN(IFERROR(MATCH(U37,Tables!$C$260:$C$274,1),1),ROWS(Tables!$C$260:$C$274)-1))))/(INDEX(Tables!$C$260:$C$274,MAX(1,MIN(IFERROR(MATCH(U37,Tables!$C$260:$C$274,1),1),ROWS(Tables!$C$260:$C$274)-1))+1)-INDEX(Tables!$C$260:$C$274,MAX(1,MIN(IFERROR(MATCH(U37,Tables!$C$260:$C$274,1),1),ROWS(Tables!$C$260:$C$274)-1))))),IF(P37&lt;10,(INDEX(Tables!$F$260:$F$274,MAX(1,MIN(IFERROR(MATCH(U37,Tables!$E$260:$E$274,1),1),ROWS(Tables!$E$260:$E$274)-1)))+(U37-INDEX(Tables!$E$260:$E$274,MAX(1,MIN(IFERROR(MATCH(U37,Tables!$E$260:$E$274,1),1),ROWS(Tables!$E$260:$E$274)-1))))*(INDEX(Tables!$F$260:$F$274,MAX(1,MIN(IFERROR(MATCH(U37,Tables!$E$260:$E$274,1),1),ROWS(Tables!$E$260:$E$274)-1))+1)-INDEX(Tables!$F$260:$F$274,MAX(1,MIN(IFERROR(MATCH(U37,Tables!$E$260:$E$274,1),1),ROWS(Tables!$E$260:$E$274)-1))))/(INDEX(Tables!$E$260:$E$274,MAX(1,MIN(IFERROR(MATCH(U37,Tables!$E$260:$E$274,1),1),ROWS(Tables!$E$260:$E$274)-1))+1)-INDEX(Tables!$E$260:$E$274,MAX(1,MIN(IFERROR(MATCH(U37,Tables!$E$260:$E$274,1),1),ROWS(Tables!$E$260:$E$274)-1))))),(INDEX(Tables!$H$260:$H$274,MAX(1,MIN(IFERROR(MATCH(U37,Tables!$G$260:$G$274,1),1),ROWS(Tables!$G$260:$G$274)-1)))+(U37-INDEX(Tables!$G$260:$G$274,MAX(1,MIN(IFERROR(MATCH(U37,Tables!$G$260:$G$274,1),1),ROWS(Tables!$G$260:$G$274)-1))))*(INDEX(Tables!$H$260:$H$274,MAX(1,MIN(IFERROR(MATCH(U37,Tables!$G$260:$G$274,1),1),ROWS(Tables!$G$260:$G$274)-1))+1)-INDEX(Tables!$H$260:$H$274,MAX(1,MIN(IFERROR(MATCH(U37,Tables!$G$260:$G$274,1),1),ROWS(Tables!$G$260:$G$274)-1))))/(INDEX(Tables!$G$260:$G$274,MAX(1,MIN(IFERROR(MATCH(U37,Tables!$G$260:$G$274,1),1),ROWS(Tables!$G$260:$G$274)-1))+1)-INDEX(Tables!$G$260:$G$274,MAX(1,MIN(IFERROR(MATCH(U37,Tables!$G$260:$G$274,1),1),ROWS(Tables!$G$260:$G$274)-1))))))))</f>
        <v>1.4965000000000002</v>
      </c>
      <c r="AW37" s="181">
        <f t="shared" si="41"/>
        <v>1407.9992018081764</v>
      </c>
      <c r="AX37" s="181">
        <f t="shared" si="42"/>
        <v>7303.4883720930238</v>
      </c>
      <c r="AY37" s="181">
        <f t="shared" si="43"/>
        <v>8364.3103210462396</v>
      </c>
      <c r="AZ37" s="181">
        <f t="shared" si="44"/>
        <v>3636.6900169805922</v>
      </c>
      <c r="BA37" s="181">
        <f t="shared" si="45"/>
        <v>-800</v>
      </c>
      <c r="BB37" s="181">
        <f t="shared" si="46"/>
        <v>7937.8585180961636</v>
      </c>
      <c r="BC37" s="181">
        <f t="shared" si="47"/>
        <v>46800</v>
      </c>
      <c r="BD37" s="181">
        <f>VLOOKUP(V37&amp;" "&amp;J37,Tables!$A$152:$E$239,4,FALSE)</f>
        <v>12000</v>
      </c>
      <c r="BE37" s="181">
        <f>VLOOKUP(V37&amp;" "&amp;J37,Tables!$A$152:$E$239,5,FALSE)</f>
        <v>23000</v>
      </c>
      <c r="BF37" s="181">
        <f t="shared" si="48"/>
        <v>8640</v>
      </c>
      <c r="BG37" s="181">
        <f t="shared" si="49"/>
        <v>16560</v>
      </c>
      <c r="BH37" s="181">
        <f t="shared" si="50"/>
        <v>7703.4883720930238</v>
      </c>
      <c r="BI37" s="181">
        <f t="shared" si="51"/>
        <v>46800</v>
      </c>
      <c r="BJ37" s="181">
        <f t="shared" si="52"/>
        <v>7937.8585180961636</v>
      </c>
      <c r="BK37" s="181">
        <f t="shared" si="53"/>
        <v>46800</v>
      </c>
      <c r="BL37" s="181">
        <f t="shared" si="54"/>
        <v>1407.9992018081764</v>
      </c>
      <c r="BM37" s="181">
        <f t="shared" si="55"/>
        <v>8640</v>
      </c>
      <c r="BN37" s="181">
        <f t="shared" si="56"/>
        <v>935.34093713818606</v>
      </c>
      <c r="BO37" s="181">
        <f t="shared" si="57"/>
        <v>16560</v>
      </c>
      <c r="BP37" t="str">
        <f t="shared" si="58"/>
        <v>Pass</v>
      </c>
      <c r="BQ37" t="str">
        <f t="shared" si="59"/>
        <v>Pass</v>
      </c>
      <c r="BR37" t="str">
        <f t="shared" si="60"/>
        <v>Pass</v>
      </c>
      <c r="BS37" t="str">
        <f t="shared" si="61"/>
        <v>Pass</v>
      </c>
      <c r="BT37" t="str">
        <f t="shared" si="62"/>
        <v>Pass</v>
      </c>
      <c r="BU37" t="str">
        <f t="shared" si="63"/>
        <v>Effective Stress</v>
      </c>
    </row>
    <row r="38" spans="1:73">
      <c r="A38" t="s">
        <v>630</v>
      </c>
      <c r="B38" s="181">
        <v>36</v>
      </c>
      <c r="C38" t="s">
        <v>594</v>
      </c>
      <c r="D38" s="181">
        <v>8</v>
      </c>
      <c r="E38" s="181">
        <v>0.375</v>
      </c>
      <c r="F38" t="s">
        <v>117</v>
      </c>
      <c r="G38" t="s">
        <v>119</v>
      </c>
      <c r="H38" t="s">
        <v>122</v>
      </c>
      <c r="I38" s="181">
        <v>1</v>
      </c>
      <c r="J38" t="s">
        <v>126</v>
      </c>
      <c r="K38" t="s">
        <v>129</v>
      </c>
      <c r="L38" s="181">
        <v>70</v>
      </c>
      <c r="M38" s="181">
        <v>1000</v>
      </c>
      <c r="N38" t="s">
        <v>389</v>
      </c>
      <c r="O38" s="181">
        <v>120</v>
      </c>
      <c r="P38" s="181">
        <v>3</v>
      </c>
      <c r="Q38" s="181">
        <v>10.625</v>
      </c>
      <c r="R38" t="s">
        <v>417</v>
      </c>
      <c r="S38" t="s">
        <v>156</v>
      </c>
      <c r="T38" s="181">
        <v>70</v>
      </c>
      <c r="U38" s="181">
        <f>HLOOKUP(D38,'Highway Loading'!$C$155:$AD$156,2,FALSE)</f>
        <v>8.625</v>
      </c>
      <c r="V38" s="181">
        <f>IF(ISBLANK(G38),"",INDEX('Highway Loading'!$C$216:$AG$216,1,MATCH(G38,'Highway Loading'!$C$215:$AG$215,0)))</f>
        <v>65000</v>
      </c>
      <c r="W38" s="181">
        <f>INDEX('Highway Loading'!$I$245:$L$253,MATCH(H38,'Highway Loading'!$H$245:$H$253,0),MATCH(I38,'Highway Loading'!$I$244:$L$244,0))</f>
        <v>0.72</v>
      </c>
      <c r="X38" s="181">
        <f t="shared" si="32"/>
        <v>1</v>
      </c>
      <c r="Y38" s="181">
        <f>VLOOKUP(K38,'Highway Loading'!$B$283:$E$292,2,FALSE)</f>
        <v>29000000</v>
      </c>
      <c r="Z38" s="181">
        <f>VLOOKUP(K38,'Highway Loading'!$B$283:$E$292,3,FALSE)</f>
        <v>0.3</v>
      </c>
      <c r="AA38" s="181">
        <f>VLOOKUP(K38,'Highway Loading'!$B$283:$E$292,4,FALSE)</f>
        <v>6.4999999999999996E-6</v>
      </c>
      <c r="AB38" s="181">
        <f t="shared" si="33"/>
        <v>1</v>
      </c>
      <c r="AC38" s="181">
        <f>VLOOKUP(N38,'Highway Loading'!$B$256:$D$261,2,FALSE)</f>
        <v>500</v>
      </c>
      <c r="AD38" s="181">
        <f>VLOOKUP(N38,'Highway Loading'!$B$256:$D$261,3,FALSE)</f>
        <v>5000</v>
      </c>
      <c r="AE38" s="181">
        <f>VLOOKUP(S38,'Highway Loading'!$B$340:$C$341,2,FALSE)</f>
        <v>10000</v>
      </c>
      <c r="AF38" s="181">
        <f t="shared" si="34"/>
        <v>4.3478260869565216E-2</v>
      </c>
      <c r="AG38" s="181">
        <f t="shared" si="35"/>
        <v>3.388235294117647</v>
      </c>
      <c r="AH38" s="181">
        <f t="shared" si="36"/>
        <v>1.2318840579710144</v>
      </c>
      <c r="AI38" s="181">
        <f t="shared" si="37"/>
        <v>11500</v>
      </c>
      <c r="AJ38" s="181">
        <f t="shared" si="38"/>
        <v>46800</v>
      </c>
      <c r="AK38" s="181">
        <f>IF(AC38=200,(INDEX(Tables!$B$17:$B$38,MAX(1,MIN(IFERROR(MATCH(AF38,Tables!$A$17:$A$38,1),1),ROWS(Tables!$A$17:$A$38)-1)))+(AF38-INDEX(Tables!$A$17:$A$38,MAX(1,MIN(IFERROR(MATCH(AF38,Tables!$A$17:$A$38,1),1),ROWS(Tables!$A$17:$A$38)-1))))*(INDEX(Tables!$B$17:$B$38,MAX(1,MIN(IFERROR(MATCH(AF38,Tables!$A$17:$A$38,1),1),ROWS(Tables!$A$17:$A$38)-1))+1)-INDEX(Tables!$B$17:$B$38,MAX(1,MIN(IFERROR(MATCH(AF38,Tables!$A$17:$A$38,1),1),ROWS(Tables!$A$17:$A$38)-1))))/(INDEX(Tables!$A$17:$A$38,MAX(1,MIN(IFERROR(MATCH(AF38,Tables!$A$17:$A$38,1),1),ROWS(Tables!$A$17:$A$38)-1))+1)-INDEX(Tables!$A$17:$A$38,MAX(1,MIN(IFERROR(MATCH(AF38,Tables!$A$17:$A$38,1),1),ROWS(Tables!$A$17:$A$38)-1))))),IF(AC38=500,(INDEX(Tables!$D$17:$D$38,MAX(1,MIN(IFERROR(MATCH(AF38,Tables!$C$17:$C$38,1),1),ROWS(Tables!$C$17:$C$38)-1)))+(AF38-INDEX(Tables!$C$17:$C$38,MAX(1,MIN(IFERROR(MATCH(AF38,Tables!$C$17:$C$38,1),1),ROWS(Tables!$C$17:$C$38)-1))))*(INDEX(Tables!$D$17:$D$38,MAX(1,MIN(IFERROR(MATCH(AF38,Tables!$C$17:$C$38,1),1),ROWS(Tables!$C$17:$C$38)-1))+1)-INDEX(Tables!$D$17:$D$38,MAX(1,MIN(IFERROR(MATCH(AF38,Tables!$C$17:$C$38,1),1),ROWS(Tables!$C$17:$C$38)-1))))/(INDEX(Tables!$C$17:$C$38,MAX(1,MIN(IFERROR(MATCH(AF38,Tables!$C$17:$C$38,1),1),ROWS(Tables!$C$17:$C$38)-1))+1)-INDEX(Tables!$C$17:$C$38,MAX(1,MIN(IFERROR(MATCH(AF38,Tables!$C$17:$C$38,1),1),ROWS(Tables!$C$17:$C$38)-1))))),IF(AC38=1000,(INDEX(Tables!$F$17:$F$38,MAX(1,MIN(IFERROR(MATCH(AF38,Tables!$E$17:$E$38,1),1),ROWS(Tables!$E$17:$E$38)-1)))+(AF38-INDEX(Tables!$E$17:$E$38,MAX(1,MIN(IFERROR(MATCH(AF38,Tables!$E$17:$E$38,1),1),ROWS(Tables!$E$17:$E$38)-1))))*(INDEX(Tables!$F$17:$F$38,MAX(1,MIN(IFERROR(MATCH(AF38,Tables!$E$17:$E$38,1),1),ROWS(Tables!$E$17:$E$38)-1))+1)-INDEX(Tables!$F$17:$F$38,MAX(1,MIN(IFERROR(MATCH(AF38,Tables!$E$17:$E$38,1),1),ROWS(Tables!$E$17:$E$38)-1))))/(INDEX(Tables!$E$17:$E$38,MAX(1,MIN(IFERROR(MATCH(AF38,Tables!$E$17:$E$38,1),1),ROWS(Tables!$E$17:$E$38)-1))+1)-INDEX(Tables!$E$17:$E$38,MAX(1,MIN(IFERROR(MATCH(AF38,Tables!$E$17:$E$38,1),1),ROWS(Tables!$E$17:$E$38)-1))))),(INDEX(Tables!$H$17:$H$38,MAX(1,MIN(IFERROR(MATCH(AF38,Tables!$G$17:$G$38,1),1),ROWS(Tables!$G$17:$G$38)-1)))+(AF38-INDEX(Tables!$G$17:$G$38,MAX(1,MIN(IFERROR(MATCH(AF38,Tables!$G$17:$G$38,1),1),ROWS(Tables!$G$17:$G$38)-1))))*(INDEX(Tables!$H$17:$H$38,MAX(1,MIN(IFERROR(MATCH(AF38,Tables!$G$17:$G$38,1),1),ROWS(Tables!$G$17:$G$38)-1))+1)-INDEX(Tables!$H$17:$H$38,MAX(1,MIN(IFERROR(MATCH(AF38,Tables!$G$17:$G$38,1),1),ROWS(Tables!$G$17:$G$38)-1))))/(INDEX(Tables!$G$17:$G$38,MAX(1,MIN(IFERROR(MATCH(AF38,Tables!$G$17:$G$38,1),1),ROWS(Tables!$G$17:$G$38)-1))+1)-INDEX(Tables!$G$17:$G$38,MAX(1,MIN(IFERROR(MATCH(AF38,Tables!$G$17:$G$38,1),1),ROWS(Tables!$G$17:$G$38)-1))))))))</f>
        <v>560.60869565217388</v>
      </c>
      <c r="AL38" s="181">
        <f>IF(AC38&lt;1000,(INDEX(Tables!$B$43:$B$76,MAX(1,MIN(IFERROR(MATCH(AG38,Tables!$A$43:$A$76,1),1),ROWS(Tables!$A$43:$A$76)-1)))+(AG38-INDEX(Tables!$A$43:$A$76,MAX(1,MIN(IFERROR(MATCH(AG38,Tables!$A$43:$A$76,1),1),ROWS(Tables!$A$43:$A$76)-1))))*(INDEX(Tables!$B$43:$B$76,MAX(1,MIN(IFERROR(MATCH(AG38,Tables!$A$43:$A$76,1),1),ROWS(Tables!$A$43:$A$76)-1))+1)-INDEX(Tables!$B$43:$B$76,MAX(1,MIN(IFERROR(MATCH(AG38,Tables!$A$43:$A$76,1),1),ROWS(Tables!$A$43:$A$76)-1))))/(INDEX(Tables!$A$43:$A$76,MAX(1,MIN(IFERROR(MATCH(AG38,Tables!$A$43:$A$76,1),1),ROWS(Tables!$A$43:$A$76)-1))+1)-INDEX(Tables!$A$43:$A$76,MAX(1,MIN(IFERROR(MATCH(AG38,Tables!$A$43:$A$76,1),1),ROWS(Tables!$A$43:$A$76)-1))))),(INDEX(Tables!$D$43:$D$76,MAX(1,MIN(IFERROR(MATCH(AG38,Tables!$C$43:$C$76,1),1),ROWS(Tables!$C$43:$C$76)-1)))+(AG38-INDEX(Tables!$C$43:$C$76,MAX(1,MIN(IFERROR(MATCH(AG38,Tables!$C$43:$C$76,1),1),ROWS(Tables!$C$43:$C$76)-1))))*(INDEX(Tables!$D$43:$D$76,MAX(1,MIN(IFERROR(MATCH(AG38,Tables!$C$43:$C$76,1),1),ROWS(Tables!$C$43:$C$76)-1))+1)-INDEX(Tables!$D$43:$D$76,MAX(1,MIN(IFERROR(MATCH(AG38,Tables!$C$43:$C$76,1),1),ROWS(Tables!$C$43:$C$76)-1))))/(INDEX(Tables!$C$43:$C$76,MAX(1,MIN(IFERROR(MATCH(AG38,Tables!$C$43:$C$76,1),1),ROWS(Tables!$C$43:$C$76)-1))+1)-INDEX(Tables!$C$43:$C$76,MAX(1,MIN(IFERROR(MATCH(AG38,Tables!$C$43:$C$76,1),1),ROWS(Tables!$C$43:$C$76)-1))))))</f>
        <v>0.89796470588235289</v>
      </c>
      <c r="AM38" s="181">
        <f>(INDEX(Tables!$B$80:$B$87,MAX(1,MIN(IFERROR(MATCH(AH38,Tables!$A$80:$A$87,1),1),ROWS(Tables!$A$80:$A$87)-1)))+(AH38-INDEX(Tables!$A$80:$A$87,MAX(1,MIN(IFERROR(MATCH(AH38,Tables!$A$80:$A$87,1),1),ROWS(Tables!$A$80:$A$87)-1))))*(INDEX(Tables!$B$80:$B$87,MAX(1,MIN(IFERROR(MATCH(AH38,Tables!$A$80:$A$87,1),1),ROWS(Tables!$A$80:$A$87)-1))+1)-INDEX(Tables!$B$80:$B$87,MAX(1,MIN(IFERROR(MATCH(AH38,Tables!$A$80:$A$87,1),1),ROWS(Tables!$A$80:$A$87)-1))))/(INDEX(Tables!$A$80:$A$87,MAX(1,MIN(IFERROR(MATCH(AH38,Tables!$A$80:$A$87,1),1),ROWS(Tables!$A$80:$A$87)-1))+1)-INDEX(Tables!$A$80:$A$87,MAX(1,MIN(IFERROR(MATCH(AH38,Tables!$A$80:$A$87,1),1),ROWS(Tables!$A$80:$A$87)-1)))))</f>
        <v>1.2567086956521738</v>
      </c>
      <c r="AN38" s="181">
        <f t="shared" si="39"/>
        <v>378.92244322321761</v>
      </c>
      <c r="AO38" s="181">
        <f>(INDEX(Tables!$B$91:$B$94,MAX(1,MIN(IFERROR(MATCH(P38,Tables!$A$91:$A$94,1),1),ROWS(Tables!$A$91:$A$94)-1)))+(P38-INDEX(Tables!$A$91:$A$94,MAX(1,MIN(IFERROR(MATCH(P38,Tables!$A$91:$A$94,1),1),ROWS(Tables!$A$91:$A$94)-1))))*(INDEX(Tables!$B$91:$B$94,MAX(1,MIN(IFERROR(MATCH(P38,Tables!$A$91:$A$94,1),1),ROWS(Tables!$A$91:$A$94)-1))+1)-INDEX(Tables!$B$91:$B$94,MAX(1,MIN(IFERROR(MATCH(P38,Tables!$A$91:$A$94,1),1),ROWS(Tables!$A$91:$A$94)-1))))/(INDEX(Tables!$A$91:$A$94,MAX(1,MIN(IFERROR(MATCH(P38,Tables!$A$91:$A$94,1),1),ROWS(Tables!$A$91:$A$94)-1))+1)-INDEX(Tables!$A$91:$A$94,MAX(1,MIN(IFERROR(MATCH(P38,Tables!$A$91:$A$94,1),1),ROWS(Tables!$A$91:$A$94)-1)))))</f>
        <v>1.5</v>
      </c>
      <c r="AP38" s="181">
        <f>IF(AD38=5000,(INDEX(Tables!$B$99:$B$118,MAX(1,MIN(IFERROR(MATCH(AF38,Tables!$A$99:$A$118,1),1),ROWS(Tables!$A$99:$A$118)-1)))+(AF38-INDEX(Tables!$A$99:$A$118,MAX(1,MIN(IFERROR(MATCH(AF38,Tables!$A$99:$A$118,1),1),ROWS(Tables!$A$99:$A$118)-1))))*(INDEX(Tables!$B$99:$B$118,MAX(1,MIN(IFERROR(MATCH(AF38,Tables!$A$99:$A$118,1),1),ROWS(Tables!$A$99:$A$118)-1))+1)-INDEX(Tables!$B$99:$B$118,MAX(1,MIN(IFERROR(MATCH(AF38,Tables!$A$99:$A$118,1),1),ROWS(Tables!$A$99:$A$118)-1))))/(INDEX(Tables!$A$99:$A$118,MAX(1,MIN(IFERROR(MATCH(AF38,Tables!$A$99:$A$118,1),1),ROWS(Tables!$A$99:$A$118)-1))+1)-INDEX(Tables!$A$99:$A$118,MAX(1,MIN(IFERROR(MATCH(AF38,Tables!$A$99:$A$118,1),1),ROWS(Tables!$A$99:$A$118)-1))))),IF(AD38=10000,(INDEX(Tables!$D$99:$D$118,MAX(1,MIN(IFERROR(MATCH(AF38,Tables!$C$99:$C$118,1),1),ROWS(Tables!$C$99:$C$118)-1)))+(AF38-INDEX(Tables!$C$99:$C$118,MAX(1,MIN(IFERROR(MATCH(AF38,Tables!$C$99:$C$118,1),1),ROWS(Tables!$C$99:$C$118)-1))))*(INDEX(Tables!$D$99:$D$118,MAX(1,MIN(IFERROR(MATCH(AF38,Tables!$C$99:$C$118,1),1),ROWS(Tables!$C$99:$C$118)-1))+1)-INDEX(Tables!$D$99:$D$118,MAX(1,MIN(IFERROR(MATCH(AF38,Tables!$C$99:$C$118,1),1),ROWS(Tables!$C$99:$C$118)-1))))/(INDEX(Tables!$C$99:$C$118,MAX(1,MIN(IFERROR(MATCH(AF38,Tables!$C$99:$C$118,1),1),ROWS(Tables!$C$99:$C$118)-1))+1)-INDEX(Tables!$C$99:$C$118,MAX(1,MIN(IFERROR(MATCH(AF38,Tables!$C$99:$C$118,1),1),ROWS(Tables!$C$99:$C$118)-1))))),(INDEX(Tables!$F$99:$F$118,MAX(1,MIN(IFERROR(MATCH(AF38,Tables!$E$99:$E$118,1),1),ROWS(Tables!$E$99:$E$118)-1)))+(AF38-INDEX(Tables!$E$99:$E$118,MAX(1,MIN(IFERROR(MATCH(AF38,Tables!$E$99:$E$118,1),1),ROWS(Tables!$E$99:$E$118)-1))))*(INDEX(Tables!$F$99:$F$118,MAX(1,MIN(IFERROR(MATCH(AF38,Tables!$E$99:$E$118,1),1),ROWS(Tables!$E$99:$E$118)-1))+1)-INDEX(Tables!$F$99:$F$118,MAX(1,MIN(IFERROR(MATCH(AF38,Tables!$E$99:$E$118,1),1),ROWS(Tables!$E$99:$E$118)-1))))/(INDEX(Tables!$E$99:$E$118,MAX(1,MIN(IFERROR(MATCH(AF38,Tables!$E$99:$E$118,1),1),ROWS(Tables!$E$99:$E$118)-1))+1)-INDEX(Tables!$E$99:$E$118,MAX(1,MIN(IFERROR(MATCH(AF38,Tables!$E$99:$E$118,1),1),ROWS(Tables!$E$99:$E$118)-1)))))))</f>
        <v>7.5349097621000816</v>
      </c>
      <c r="AQ38" s="181">
        <f>IF(P38&lt;6,(INDEX(Tables!$B$123:$B$138,MAX(1,MIN(IFERROR(MATCH(U38,Tables!$A$123:$A$138,1),1),ROWS(Tables!$A$123:$A$138)-1)))+(U38-INDEX(Tables!$A$123:$A$138,MAX(1,MIN(IFERROR(MATCH(U38,Tables!$A$123:$A$138,1),1),ROWS(Tables!$A$123:$A$138)-1))))*(INDEX(Tables!$B$123:$B$138,MAX(1,MIN(IFERROR(MATCH(U38,Tables!$A$123:$A$138,1),1),ROWS(Tables!$A$123:$A$138)-1))+1)-INDEX(Tables!$B$123:$B$138,MAX(1,MIN(IFERROR(MATCH(U38,Tables!$A$123:$A$138,1),1),ROWS(Tables!$A$123:$A$138)-1))))/(INDEX(Tables!$A$123:$A$138,MAX(1,MIN(IFERROR(MATCH(U38,Tables!$A$123:$A$138,1),1),ROWS(Tables!$A$123:$A$138)-1))+1)-INDEX(Tables!$A$123:$A$138,MAX(1,MIN(IFERROR(MATCH(U38,Tables!$A$123:$A$138,1),1),ROWS(Tables!$A$123:$A$138)-1))))),IF(P38&lt;8,(INDEX(Tables!$D$123:$D$138,MAX(1,MIN(IFERROR(MATCH(U38,Tables!$C$123:$C$138,1),1),ROWS(Tables!$C$123:$C$138)-1)))+(U38-INDEX(Tables!$C$123:$C$138,MAX(1,MIN(IFERROR(MATCH(U38,Tables!$C$123:$C$138,1),1),ROWS(Tables!$C$123:$C$138)-1))))*(INDEX(Tables!$D$123:$D$138,MAX(1,MIN(IFERROR(MATCH(U38,Tables!$C$123:$C$138,1),1),ROWS(Tables!$C$123:$C$138)-1))+1)-INDEX(Tables!$D$123:$D$138,MAX(1,MIN(IFERROR(MATCH(U38,Tables!$C$123:$C$138,1),1),ROWS(Tables!$C$123:$C$138)-1))))/(INDEX(Tables!$C$123:$C$138,MAX(1,MIN(IFERROR(MATCH(U38,Tables!$C$123:$C$138,1),1),ROWS(Tables!$C$123:$C$138)-1))+1)-INDEX(Tables!$C$123:$C$138,MAX(1,MIN(IFERROR(MATCH(U38,Tables!$C$123:$C$138,1),1),ROWS(Tables!$C$123:$C$138)-1))))),IF(P38&lt;10,(INDEX(Tables!$F$123:$F$138,MAX(1,MIN(IFERROR(MATCH(U38,Tables!$E$123:$E$138,1),1),ROWS(Tables!$E$123:$E$138)-1)))+(U38-INDEX(Tables!$E$123:$E$138,MAX(1,MIN(IFERROR(MATCH(U38,Tables!$E$123:$E$138,1),1),ROWS(Tables!$E$123:$E$138)-1))))*(INDEX(Tables!$F$123:$F$138,MAX(1,MIN(IFERROR(MATCH(U38,Tables!$E$123:$E$138,1),1),ROWS(Tables!$E$123:$E$138)-1))+1)-INDEX(Tables!$F$123:$F$138,MAX(1,MIN(IFERROR(MATCH(U38,Tables!$E$123:$E$138,1),1),ROWS(Tables!$E$123:$E$138)-1))))/(INDEX(Tables!$E$123:$E$138,MAX(1,MIN(IFERROR(MATCH(U38,Tables!$E$123:$E$138,1),1),ROWS(Tables!$E$123:$E$138)-1))+1)-INDEX(Tables!$E$123:$E$138,MAX(1,MIN(IFERROR(MATCH(U38,Tables!$E$123:$E$138,1),1),ROWS(Tables!$E$123:$E$138)-1))))),(INDEX(Tables!$H$123:$H$138,MAX(1,MIN(IFERROR(MATCH(U38,Tables!$G$123:$G$138,1),1),ROWS(Tables!$G$123:$G$138)-1)))+(U38-INDEX(Tables!$G$123:$G$138,MAX(1,MIN(IFERROR(MATCH(U38,Tables!$G$123:$G$138,1),1),ROWS(Tables!$G$123:$G$138)-1))))*(INDEX(Tables!$H$123:$H$138,MAX(1,MIN(IFERROR(MATCH(U38,Tables!$G$123:$G$138,1),1),ROWS(Tables!$G$123:$G$138)-1))+1)-INDEX(Tables!$H$123:$H$138,MAX(1,MIN(IFERROR(MATCH(U38,Tables!$G$123:$G$138,1),1),ROWS(Tables!$G$123:$G$138)-1))))/(INDEX(Tables!$G$123:$G$138,MAX(1,MIN(IFERROR(MATCH(U38,Tables!$G$123:$G$138,1),1),ROWS(Tables!$G$123:$G$138)-1))+1)-INDEX(Tables!$G$123:$G$138,MAX(1,MIN(IFERROR(MATCH(U38,Tables!$G$123:$G$138,1),1),ROWS(Tables!$G$123:$G$138)-1))))))))</f>
        <v>1.389875</v>
      </c>
      <c r="AR38" s="181">
        <f>IF(OR(P38&gt;=4,U38&gt;12),VLOOKUP(R38&amp;" "&amp;S38,Tables!$D$143:$F$148,2,FALSE),VLOOKUP(R38&amp;" "&amp;S38,Tables!$A$143:$C$148,2,FALSE))</f>
        <v>1.1000000000000001</v>
      </c>
      <c r="AS38" s="181">
        <f>IF(OR(P38&gt;=4,U38&gt;12),VLOOKUP(R38&amp;" "&amp;S38,Tables!$D$143:$F$148,3,FALSE),VLOOKUP(R38&amp;" "&amp;S38,Tables!$A$143:$C$148,3,FALSE))</f>
        <v>1</v>
      </c>
      <c r="AT38" s="181">
        <f t="shared" si="40"/>
        <v>1199.9834350165352</v>
      </c>
      <c r="AU38" s="181">
        <f>IF(AD38=5000,(INDEX(Tables!$B$244:$B$263,MAX(1,MIN(IFERROR(MATCH(AF38,Tables!$A$244:$A$263,1),1),ROWS(Tables!$A$244:$A$263)-1)))+(AF38-INDEX(Tables!$A$244:$A$263,MAX(1,MIN(IFERROR(MATCH(AF38,Tables!$A$244:$A$263,1),1),ROWS(Tables!$A$244:$A$263)-1))))*(INDEX(Tables!$B$244:$B$263,MAX(1,MIN(IFERROR(MATCH(AF38,Tables!$A$244:$A$263,1),1),ROWS(Tables!$A$244:$A$263)-1))+1)-INDEX(Tables!$B$244:$B$263,MAX(1,MIN(IFERROR(MATCH(AF38,Tables!$A$244:$A$263,1),1),ROWS(Tables!$A$244:$A$263)-1))))/(INDEX(Tables!$A$244:$A$263,MAX(1,MIN(IFERROR(MATCH(AF38,Tables!$A$244:$A$263,1),1),ROWS(Tables!$A$244:$A$263)-1))+1)-INDEX(Tables!$A$244:$A$263,MAX(1,MIN(IFERROR(MATCH(AF38,Tables!$A$244:$A$263,1),1),ROWS(Tables!$A$244:$A$263)-1))))),IF(AD38=10000,(INDEX(Tables!$D$244:$D$263,MAX(1,MIN(IFERROR(MATCH(AF38,Tables!$C$244:$C$263,1),1),ROWS(Tables!$C$244:$C$263)-1)))+(AF38-INDEX(Tables!$C$244:$C$263,MAX(1,MIN(IFERROR(MATCH(AF38,Tables!$C$244:$C$263,1),1),ROWS(Tables!$C$244:$C$263)-1))))*(INDEX(Tables!$D$244:$D$263,MAX(1,MIN(IFERROR(MATCH(AF38,Tables!$C$244:$C$263,1),1),ROWS(Tables!$C$244:$C$263)-1))+1)-INDEX(Tables!$D$244:$D$263,MAX(1,MIN(IFERROR(MATCH(AF38,Tables!$C$244:$C$263,1),1),ROWS(Tables!$C$244:$C$263)-1))))/(INDEX(Tables!$C$244:$C$263,MAX(1,MIN(IFERROR(MATCH(AF38,Tables!$C$244:$C$263,1),1),ROWS(Tables!$C$244:$C$263)-1))+1)-INDEX(Tables!$C$244:$C$263,MAX(1,MIN(IFERROR(MATCH(AF38,Tables!$C$244:$C$263,1),1),ROWS(Tables!$C$244:$C$263)-1))))),(INDEX(Tables!$F$244:$F$263,MAX(1,MIN(IFERROR(MATCH(AF38,Tables!$E$244:$E$263,1),1),ROWS(Tables!$E$244:$E$263)-1)))+(AF38-INDEX(Tables!$E$244:$E$263,MAX(1,MIN(IFERROR(MATCH(AF38,Tables!$E$244:$E$263,1),1),ROWS(Tables!$E$244:$E$263)-1))))*(INDEX(Tables!$F$244:$F$263,MAX(1,MIN(IFERROR(MATCH(AF38,Tables!$E$244:$E$263,1),1),ROWS(Tables!$E$244:$E$263)-1))+1)-INDEX(Tables!$F$244:$F$263,MAX(1,MIN(IFERROR(MATCH(AF38,Tables!$E$244:$E$263,1),1),ROWS(Tables!$E$244:$E$263)-1))))/(INDEX(Tables!$E$244:$E$263,MAX(1,MIN(IFERROR(MATCH(AF38,Tables!$E$244:$E$263,1),1),ROWS(Tables!$E$244:$E$263)-1))+1)-INDEX(Tables!$E$244:$E$263,MAX(1,MIN(IFERROR(MATCH(AF38,Tables!$E$244:$E$263,1),1),ROWS(Tables!$E$244:$E$263)-1)))))))</f>
        <v>9.2075652173913038</v>
      </c>
      <c r="AV38" s="181">
        <f>IF(P38&lt;6,(INDEX(Tables!$B$260:$B$274,MAX(1,MIN(IFERROR(MATCH(U38,Tables!$A$260:$A$274,1),1),ROWS(Tables!$A$260:$A$274)-1)))+(U38-INDEX(Tables!$A$260:$A$274,MAX(1,MIN(IFERROR(MATCH(U38,Tables!$A$260:$A$274,1),1),ROWS(Tables!$A$260:$A$274)-1))))*(INDEX(Tables!$B$260:$B$274,MAX(1,MIN(IFERROR(MATCH(U38,Tables!$A$260:$A$274,1),1),ROWS(Tables!$A$260:$A$274)-1))+1)-INDEX(Tables!$B$260:$B$274,MAX(1,MIN(IFERROR(MATCH(U38,Tables!$A$260:$A$274,1),1),ROWS(Tables!$A$260:$A$274)-1))))/(INDEX(Tables!$A$260:$A$274,MAX(1,MIN(IFERROR(MATCH(U38,Tables!$A$260:$A$274,1),1),ROWS(Tables!$A$260:$A$274)-1))+1)-INDEX(Tables!$A$260:$A$274,MAX(1,MIN(IFERROR(MATCH(U38,Tables!$A$260:$A$274,1),1),ROWS(Tables!$A$260:$A$274)-1))))),IF(P38&lt;8,(INDEX(Tables!$D$260:$D$274,MAX(1,MIN(IFERROR(MATCH(U38,Tables!$C$260:$C$274,1),1),ROWS(Tables!$C$260:$C$274)-1)))+(U38-INDEX(Tables!$C$260:$C$274,MAX(1,MIN(IFERROR(MATCH(U38,Tables!$C$260:$C$274,1),1),ROWS(Tables!$C$260:$C$274)-1))))*(INDEX(Tables!$D$260:$D$274,MAX(1,MIN(IFERROR(MATCH(U38,Tables!$C$260:$C$274,1),1),ROWS(Tables!$C$260:$C$274)-1))+1)-INDEX(Tables!$D$260:$D$274,MAX(1,MIN(IFERROR(MATCH(U38,Tables!$C$260:$C$274,1),1),ROWS(Tables!$C$260:$C$274)-1))))/(INDEX(Tables!$C$260:$C$274,MAX(1,MIN(IFERROR(MATCH(U38,Tables!$C$260:$C$274,1),1),ROWS(Tables!$C$260:$C$274)-1))+1)-INDEX(Tables!$C$260:$C$274,MAX(1,MIN(IFERROR(MATCH(U38,Tables!$C$260:$C$274,1),1),ROWS(Tables!$C$260:$C$274)-1))))),IF(P38&lt;10,(INDEX(Tables!$F$260:$F$274,MAX(1,MIN(IFERROR(MATCH(U38,Tables!$E$260:$E$274,1),1),ROWS(Tables!$E$260:$E$274)-1)))+(U38-INDEX(Tables!$E$260:$E$274,MAX(1,MIN(IFERROR(MATCH(U38,Tables!$E$260:$E$274,1),1),ROWS(Tables!$E$260:$E$274)-1))))*(INDEX(Tables!$F$260:$F$274,MAX(1,MIN(IFERROR(MATCH(U38,Tables!$E$260:$E$274,1),1),ROWS(Tables!$E$260:$E$274)-1))+1)-INDEX(Tables!$F$260:$F$274,MAX(1,MIN(IFERROR(MATCH(U38,Tables!$E$260:$E$274,1),1),ROWS(Tables!$E$260:$E$274)-1))))/(INDEX(Tables!$E$260:$E$274,MAX(1,MIN(IFERROR(MATCH(U38,Tables!$E$260:$E$274,1),1),ROWS(Tables!$E$260:$E$274)-1))+1)-INDEX(Tables!$E$260:$E$274,MAX(1,MIN(IFERROR(MATCH(U38,Tables!$E$260:$E$274,1),1),ROWS(Tables!$E$260:$E$274)-1))))),(INDEX(Tables!$H$260:$H$274,MAX(1,MIN(IFERROR(MATCH(U38,Tables!$G$260:$G$274,1),1),ROWS(Tables!$G$260:$G$274)-1)))+(U38-INDEX(Tables!$G$260:$G$274,MAX(1,MIN(IFERROR(MATCH(U38,Tables!$G$260:$G$274,1),1),ROWS(Tables!$G$260:$G$274)-1))))*(INDEX(Tables!$H$260:$H$274,MAX(1,MIN(IFERROR(MATCH(U38,Tables!$G$260:$G$274,1),1),ROWS(Tables!$G$260:$G$274)-1))+1)-INDEX(Tables!$H$260:$H$274,MAX(1,MIN(IFERROR(MATCH(U38,Tables!$G$260:$G$274,1),1),ROWS(Tables!$G$260:$G$274)-1))))/(INDEX(Tables!$G$260:$G$274,MAX(1,MIN(IFERROR(MATCH(U38,Tables!$G$260:$G$274,1),1),ROWS(Tables!$G$260:$G$274)-1))+1)-INDEX(Tables!$G$260:$G$274,MAX(1,MIN(IFERROR(MATCH(U38,Tables!$G$260:$G$274,1),1),ROWS(Tables!$G$260:$G$274)-1))))))))</f>
        <v>1.3123750000000001</v>
      </c>
      <c r="AW38" s="181">
        <f t="shared" si="41"/>
        <v>1384.5996085824277</v>
      </c>
      <c r="AX38" s="181">
        <f t="shared" si="42"/>
        <v>11000</v>
      </c>
      <c r="AY38" s="181">
        <f t="shared" si="43"/>
        <v>12578.905878239753</v>
      </c>
      <c r="AZ38" s="181">
        <f t="shared" si="44"/>
        <v>4798.2763415493928</v>
      </c>
      <c r="BA38" s="181">
        <f t="shared" si="45"/>
        <v>-1000</v>
      </c>
      <c r="BB38" s="181">
        <f t="shared" si="46"/>
        <v>11801.374694718494</v>
      </c>
      <c r="BC38" s="181">
        <f t="shared" si="47"/>
        <v>46800</v>
      </c>
      <c r="BD38" s="181">
        <f>VLOOKUP(V38&amp;" "&amp;J38,Tables!$A$152:$E$239,4,FALSE)</f>
        <v>12000</v>
      </c>
      <c r="BE38" s="181">
        <f>VLOOKUP(V38&amp;" "&amp;J38,Tables!$A$152:$E$239,5,FALSE)</f>
        <v>23000</v>
      </c>
      <c r="BF38" s="181">
        <f t="shared" si="48"/>
        <v>8640</v>
      </c>
      <c r="BG38" s="181">
        <f t="shared" si="49"/>
        <v>16560</v>
      </c>
      <c r="BH38" s="181">
        <f t="shared" si="50"/>
        <v>11500</v>
      </c>
      <c r="BI38" s="181">
        <f t="shared" si="51"/>
        <v>46800</v>
      </c>
      <c r="BJ38" s="181">
        <f t="shared" si="52"/>
        <v>11801.374694718494</v>
      </c>
      <c r="BK38" s="181">
        <f t="shared" si="53"/>
        <v>46800</v>
      </c>
      <c r="BL38" s="181">
        <f t="shared" si="54"/>
        <v>1384.5996085824277</v>
      </c>
      <c r="BM38" s="181">
        <f t="shared" si="55"/>
        <v>8640</v>
      </c>
      <c r="BN38" s="181">
        <f t="shared" si="56"/>
        <v>1199.9834350165352</v>
      </c>
      <c r="BO38" s="181">
        <f t="shared" si="57"/>
        <v>16560</v>
      </c>
      <c r="BP38" t="str">
        <f t="shared" si="58"/>
        <v>Pass</v>
      </c>
      <c r="BQ38" t="str">
        <f t="shared" si="59"/>
        <v>Pass</v>
      </c>
      <c r="BR38" t="str">
        <f t="shared" si="60"/>
        <v>Pass</v>
      </c>
      <c r="BS38" t="str">
        <f t="shared" si="61"/>
        <v>Pass</v>
      </c>
      <c r="BT38" t="str">
        <f t="shared" si="62"/>
        <v>Pass</v>
      </c>
      <c r="BU38" t="str">
        <f t="shared" si="63"/>
        <v>Effective Stress</v>
      </c>
    </row>
    <row r="39" spans="1:73">
      <c r="A39" t="s">
        <v>631</v>
      </c>
      <c r="B39" s="181">
        <v>37</v>
      </c>
      <c r="C39" t="s">
        <v>594</v>
      </c>
      <c r="D39" s="181">
        <v>12</v>
      </c>
      <c r="E39" s="181">
        <v>0.40600000000000003</v>
      </c>
      <c r="F39" t="s">
        <v>117</v>
      </c>
      <c r="G39" t="s">
        <v>119</v>
      </c>
      <c r="H39" t="s">
        <v>122</v>
      </c>
      <c r="I39" s="181">
        <v>1</v>
      </c>
      <c r="J39" t="s">
        <v>126</v>
      </c>
      <c r="K39" t="s">
        <v>129</v>
      </c>
      <c r="L39" s="181">
        <v>70</v>
      </c>
      <c r="M39" s="181">
        <v>1000</v>
      </c>
      <c r="N39" t="s">
        <v>389</v>
      </c>
      <c r="O39" s="181">
        <v>120</v>
      </c>
      <c r="P39" s="181">
        <v>6</v>
      </c>
      <c r="Q39" s="181">
        <v>14.75</v>
      </c>
      <c r="R39" t="s">
        <v>417</v>
      </c>
      <c r="S39" t="s">
        <v>156</v>
      </c>
      <c r="T39" s="181">
        <v>70</v>
      </c>
      <c r="U39" s="181">
        <f>HLOOKUP(D39,'Highway Loading'!$C$155:$AD$156,2,FALSE)</f>
        <v>12.75</v>
      </c>
      <c r="V39" s="181">
        <f>IF(ISBLANK(G39),"",INDEX('Highway Loading'!$C$216:$AG$216,1,MATCH(G39,'Highway Loading'!$C$215:$AG$215,0)))</f>
        <v>65000</v>
      </c>
      <c r="W39" s="181">
        <f>INDEX('Highway Loading'!$I$245:$L$253,MATCH(H39,'Highway Loading'!$H$245:$H$253,0),MATCH(I39,'Highway Loading'!$I$244:$L$244,0))</f>
        <v>0.72</v>
      </c>
      <c r="X39" s="181">
        <f t="shared" si="32"/>
        <v>1</v>
      </c>
      <c r="Y39" s="181">
        <f>VLOOKUP(K39,'Highway Loading'!$B$283:$E$292,2,FALSE)</f>
        <v>29000000</v>
      </c>
      <c r="Z39" s="181">
        <f>VLOOKUP(K39,'Highway Loading'!$B$283:$E$292,3,FALSE)</f>
        <v>0.3</v>
      </c>
      <c r="AA39" s="181">
        <f>VLOOKUP(K39,'Highway Loading'!$B$283:$E$292,4,FALSE)</f>
        <v>6.4999999999999996E-6</v>
      </c>
      <c r="AB39" s="181">
        <f t="shared" si="33"/>
        <v>1</v>
      </c>
      <c r="AC39" s="181">
        <f>VLOOKUP(N39,'Highway Loading'!$B$256:$D$261,2,FALSE)</f>
        <v>500</v>
      </c>
      <c r="AD39" s="181">
        <f>VLOOKUP(N39,'Highway Loading'!$B$256:$D$261,3,FALSE)</f>
        <v>5000</v>
      </c>
      <c r="AE39" s="181">
        <f>VLOOKUP(S39,'Highway Loading'!$B$340:$C$341,2,FALSE)</f>
        <v>10000</v>
      </c>
      <c r="AF39" s="181">
        <f t="shared" si="34"/>
        <v>3.1843137254901961E-2</v>
      </c>
      <c r="AG39" s="181">
        <f t="shared" si="35"/>
        <v>4.8813559322033901</v>
      </c>
      <c r="AH39" s="181">
        <f t="shared" si="36"/>
        <v>1.1568627450980393</v>
      </c>
      <c r="AI39" s="181">
        <f t="shared" si="37"/>
        <v>15701.970443349752</v>
      </c>
      <c r="AJ39" s="181">
        <f t="shared" si="38"/>
        <v>46800</v>
      </c>
      <c r="AK39" s="181">
        <f>IF(AC39=200,(INDEX(Tables!$B$17:$B$38,MAX(1,MIN(IFERROR(MATCH(AF39,Tables!$A$17:$A$38,1),1),ROWS(Tables!$A$17:$A$38)-1)))+(AF39-INDEX(Tables!$A$17:$A$38,MAX(1,MIN(IFERROR(MATCH(AF39,Tables!$A$17:$A$38,1),1),ROWS(Tables!$A$17:$A$38)-1))))*(INDEX(Tables!$B$17:$B$38,MAX(1,MIN(IFERROR(MATCH(AF39,Tables!$A$17:$A$38,1),1),ROWS(Tables!$A$17:$A$38)-1))+1)-INDEX(Tables!$B$17:$B$38,MAX(1,MIN(IFERROR(MATCH(AF39,Tables!$A$17:$A$38,1),1),ROWS(Tables!$A$17:$A$38)-1))))/(INDEX(Tables!$A$17:$A$38,MAX(1,MIN(IFERROR(MATCH(AF39,Tables!$A$17:$A$38,1),1),ROWS(Tables!$A$17:$A$38)-1))+1)-INDEX(Tables!$A$17:$A$38,MAX(1,MIN(IFERROR(MATCH(AF39,Tables!$A$17:$A$38,1),1),ROWS(Tables!$A$17:$A$38)-1))))),IF(AC39=500,(INDEX(Tables!$D$17:$D$38,MAX(1,MIN(IFERROR(MATCH(AF39,Tables!$C$17:$C$38,1),1),ROWS(Tables!$C$17:$C$38)-1)))+(AF39-INDEX(Tables!$C$17:$C$38,MAX(1,MIN(IFERROR(MATCH(AF39,Tables!$C$17:$C$38,1),1),ROWS(Tables!$C$17:$C$38)-1))))*(INDEX(Tables!$D$17:$D$38,MAX(1,MIN(IFERROR(MATCH(AF39,Tables!$C$17:$C$38,1),1),ROWS(Tables!$C$17:$C$38)-1))+1)-INDEX(Tables!$D$17:$D$38,MAX(1,MIN(IFERROR(MATCH(AF39,Tables!$C$17:$C$38,1),1),ROWS(Tables!$C$17:$C$38)-1))))/(INDEX(Tables!$C$17:$C$38,MAX(1,MIN(IFERROR(MATCH(AF39,Tables!$C$17:$C$38,1),1),ROWS(Tables!$C$17:$C$38)-1))+1)-INDEX(Tables!$C$17:$C$38,MAX(1,MIN(IFERROR(MATCH(AF39,Tables!$C$17:$C$38,1),1),ROWS(Tables!$C$17:$C$38)-1))))),IF(AC39=1000,(INDEX(Tables!$F$17:$F$38,MAX(1,MIN(IFERROR(MATCH(AF39,Tables!$E$17:$E$38,1),1),ROWS(Tables!$E$17:$E$38)-1)))+(AF39-INDEX(Tables!$E$17:$E$38,MAX(1,MIN(IFERROR(MATCH(AF39,Tables!$E$17:$E$38,1),1),ROWS(Tables!$E$17:$E$38)-1))))*(INDEX(Tables!$F$17:$F$38,MAX(1,MIN(IFERROR(MATCH(AF39,Tables!$E$17:$E$38,1),1),ROWS(Tables!$E$17:$E$38)-1))+1)-INDEX(Tables!$F$17:$F$38,MAX(1,MIN(IFERROR(MATCH(AF39,Tables!$E$17:$E$38,1),1),ROWS(Tables!$E$17:$E$38)-1))))/(INDEX(Tables!$E$17:$E$38,MAX(1,MIN(IFERROR(MATCH(AF39,Tables!$E$17:$E$38,1),1),ROWS(Tables!$E$17:$E$38)-1))+1)-INDEX(Tables!$E$17:$E$38,MAX(1,MIN(IFERROR(MATCH(AF39,Tables!$E$17:$E$38,1),1),ROWS(Tables!$E$17:$E$38)-1))))),(INDEX(Tables!$H$17:$H$38,MAX(1,MIN(IFERROR(MATCH(AF39,Tables!$G$17:$G$38,1),1),ROWS(Tables!$G$17:$G$38)-1)))+(AF39-INDEX(Tables!$G$17:$G$38,MAX(1,MIN(IFERROR(MATCH(AF39,Tables!$G$17:$G$38,1),1),ROWS(Tables!$G$17:$G$38)-1))))*(INDEX(Tables!$H$17:$H$38,MAX(1,MIN(IFERROR(MATCH(AF39,Tables!$G$17:$G$38,1),1),ROWS(Tables!$G$17:$G$38)-1))+1)-INDEX(Tables!$H$17:$H$38,MAX(1,MIN(IFERROR(MATCH(AF39,Tables!$G$17:$G$38,1),1),ROWS(Tables!$G$17:$G$38)-1))))/(INDEX(Tables!$G$17:$G$38,MAX(1,MIN(IFERROR(MATCH(AF39,Tables!$G$17:$G$38,1),1),ROWS(Tables!$G$17:$G$38)-1))+1)-INDEX(Tables!$G$17:$G$38,MAX(1,MIN(IFERROR(MATCH(AF39,Tables!$G$17:$G$38,1),1),ROWS(Tables!$G$17:$G$38)-1))))))))</f>
        <v>981.89411764705881</v>
      </c>
      <c r="AL39" s="181">
        <f>IF(AC39&lt;1000,(INDEX(Tables!$B$43:$B$76,MAX(1,MIN(IFERROR(MATCH(AG39,Tables!$A$43:$A$76,1),1),ROWS(Tables!$A$43:$A$76)-1)))+(AG39-INDEX(Tables!$A$43:$A$76,MAX(1,MIN(IFERROR(MATCH(AG39,Tables!$A$43:$A$76,1),1),ROWS(Tables!$A$43:$A$76)-1))))*(INDEX(Tables!$B$43:$B$76,MAX(1,MIN(IFERROR(MATCH(AG39,Tables!$A$43:$A$76,1),1),ROWS(Tables!$A$43:$A$76)-1))+1)-INDEX(Tables!$B$43:$B$76,MAX(1,MIN(IFERROR(MATCH(AG39,Tables!$A$43:$A$76,1),1),ROWS(Tables!$A$43:$A$76)-1))))/(INDEX(Tables!$A$43:$A$76,MAX(1,MIN(IFERROR(MATCH(AG39,Tables!$A$43:$A$76,1),1),ROWS(Tables!$A$43:$A$76)-1))+1)-INDEX(Tables!$A$43:$A$76,MAX(1,MIN(IFERROR(MATCH(AG39,Tables!$A$43:$A$76,1),1),ROWS(Tables!$A$43:$A$76)-1))))),(INDEX(Tables!$D$43:$D$76,MAX(1,MIN(IFERROR(MATCH(AG39,Tables!$C$43:$C$76,1),1),ROWS(Tables!$C$43:$C$76)-1)))+(AG39-INDEX(Tables!$C$43:$C$76,MAX(1,MIN(IFERROR(MATCH(AG39,Tables!$C$43:$C$76,1),1),ROWS(Tables!$C$43:$C$76)-1))))*(INDEX(Tables!$D$43:$D$76,MAX(1,MIN(IFERROR(MATCH(AG39,Tables!$C$43:$C$76,1),1),ROWS(Tables!$C$43:$C$76)-1))+1)-INDEX(Tables!$D$43:$D$76,MAX(1,MIN(IFERROR(MATCH(AG39,Tables!$C$43:$C$76,1),1),ROWS(Tables!$C$43:$C$76)-1))))/(INDEX(Tables!$C$43:$C$76,MAX(1,MIN(IFERROR(MATCH(AG39,Tables!$C$43:$C$76,1),1),ROWS(Tables!$C$43:$C$76)-1))+1)-INDEX(Tables!$C$43:$C$76,MAX(1,MIN(IFERROR(MATCH(AG39,Tables!$C$43:$C$76,1),1),ROWS(Tables!$C$43:$C$76)-1))))))</f>
        <v>1.0658474576271186</v>
      </c>
      <c r="AM39" s="181">
        <f>(INDEX(Tables!$B$80:$B$87,MAX(1,MIN(IFERROR(MATCH(AH39,Tables!$A$80:$A$87,1),1),ROWS(Tables!$A$80:$A$87)-1)))+(AH39-INDEX(Tables!$A$80:$A$87,MAX(1,MIN(IFERROR(MATCH(AH39,Tables!$A$80:$A$87,1),1),ROWS(Tables!$A$80:$A$87)-1))))*(INDEX(Tables!$B$80:$B$87,MAX(1,MIN(IFERROR(MATCH(AH39,Tables!$A$80:$A$87,1),1),ROWS(Tables!$A$80:$A$87)-1))+1)-INDEX(Tables!$B$80:$B$87,MAX(1,MIN(IFERROR(MATCH(AH39,Tables!$A$80:$A$87,1),1),ROWS(Tables!$A$80:$A$87)-1))))/(INDEX(Tables!$A$80:$A$87,MAX(1,MIN(IFERROR(MATCH(AH39,Tables!$A$80:$A$87,1),1),ROWS(Tables!$A$80:$A$87)-1))+1)-INDEX(Tables!$A$80:$A$87,MAX(1,MIN(IFERROR(MATCH(AH39,Tables!$A$80:$A$87,1),1),ROWS(Tables!$A$80:$A$87)-1)))))</f>
        <v>1.1041078431372553</v>
      </c>
      <c r="AN39" s="181">
        <f t="shared" si="39"/>
        <v>1023.1019195291125</v>
      </c>
      <c r="AO39" s="181">
        <f>(INDEX(Tables!$B$91:$B$94,MAX(1,MIN(IFERROR(MATCH(P39,Tables!$A$91:$A$94,1),1),ROWS(Tables!$A$91:$A$94)-1)))+(P39-INDEX(Tables!$A$91:$A$94,MAX(1,MIN(IFERROR(MATCH(P39,Tables!$A$91:$A$94,1),1),ROWS(Tables!$A$91:$A$94)-1))))*(INDEX(Tables!$B$91:$B$94,MAX(1,MIN(IFERROR(MATCH(P39,Tables!$A$91:$A$94,1),1),ROWS(Tables!$A$91:$A$94)-1))+1)-INDEX(Tables!$B$91:$B$94,MAX(1,MIN(IFERROR(MATCH(P39,Tables!$A$91:$A$94,1),1),ROWS(Tables!$A$91:$A$94)-1))))/(INDEX(Tables!$A$91:$A$94,MAX(1,MIN(IFERROR(MATCH(P39,Tables!$A$91:$A$94,1),1),ROWS(Tables!$A$91:$A$94)-1))+1)-INDEX(Tables!$A$91:$A$94,MAX(1,MIN(IFERROR(MATCH(P39,Tables!$A$91:$A$94,1),1),ROWS(Tables!$A$91:$A$94)-1)))))</f>
        <v>1.476219512195122</v>
      </c>
      <c r="AP39" s="181">
        <f>IF(AD39=5000,(INDEX(Tables!$B$99:$B$118,MAX(1,MIN(IFERROR(MATCH(AF39,Tables!$A$99:$A$118,1),1),ROWS(Tables!$A$99:$A$118)-1)))+(AF39-INDEX(Tables!$A$99:$A$118,MAX(1,MIN(IFERROR(MATCH(AF39,Tables!$A$99:$A$118,1),1),ROWS(Tables!$A$99:$A$118)-1))))*(INDEX(Tables!$B$99:$B$118,MAX(1,MIN(IFERROR(MATCH(AF39,Tables!$A$99:$A$118,1),1),ROWS(Tables!$A$99:$A$118)-1))+1)-INDEX(Tables!$B$99:$B$118,MAX(1,MIN(IFERROR(MATCH(AF39,Tables!$A$99:$A$118,1),1),ROWS(Tables!$A$99:$A$118)-1))))/(INDEX(Tables!$A$99:$A$118,MAX(1,MIN(IFERROR(MATCH(AF39,Tables!$A$99:$A$118,1),1),ROWS(Tables!$A$99:$A$118)-1))+1)-INDEX(Tables!$A$99:$A$118,MAX(1,MIN(IFERROR(MATCH(AF39,Tables!$A$99:$A$118,1),1),ROWS(Tables!$A$99:$A$118)-1))))),IF(AD39=10000,(INDEX(Tables!$D$99:$D$118,MAX(1,MIN(IFERROR(MATCH(AF39,Tables!$C$99:$C$118,1),1),ROWS(Tables!$C$99:$C$118)-1)))+(AF39-INDEX(Tables!$C$99:$C$118,MAX(1,MIN(IFERROR(MATCH(AF39,Tables!$C$99:$C$118,1),1),ROWS(Tables!$C$99:$C$118)-1))))*(INDEX(Tables!$D$99:$D$118,MAX(1,MIN(IFERROR(MATCH(AF39,Tables!$C$99:$C$118,1),1),ROWS(Tables!$C$99:$C$118)-1))+1)-INDEX(Tables!$D$99:$D$118,MAX(1,MIN(IFERROR(MATCH(AF39,Tables!$C$99:$C$118,1),1),ROWS(Tables!$C$99:$C$118)-1))))/(INDEX(Tables!$C$99:$C$118,MAX(1,MIN(IFERROR(MATCH(AF39,Tables!$C$99:$C$118,1),1),ROWS(Tables!$C$99:$C$118)-1))+1)-INDEX(Tables!$C$99:$C$118,MAX(1,MIN(IFERROR(MATCH(AF39,Tables!$C$99:$C$118,1),1),ROWS(Tables!$C$99:$C$118)-1))))),(INDEX(Tables!$F$99:$F$118,MAX(1,MIN(IFERROR(MATCH(AF39,Tables!$E$99:$E$118,1),1),ROWS(Tables!$E$99:$E$118)-1)))+(AF39-INDEX(Tables!$E$99:$E$118,MAX(1,MIN(IFERROR(MATCH(AF39,Tables!$E$99:$E$118,1),1),ROWS(Tables!$E$99:$E$118)-1))))*(INDEX(Tables!$F$99:$F$118,MAX(1,MIN(IFERROR(MATCH(AF39,Tables!$E$99:$E$118,1),1),ROWS(Tables!$E$99:$E$118)-1))+1)-INDEX(Tables!$F$99:$F$118,MAX(1,MIN(IFERROR(MATCH(AF39,Tables!$E$99:$E$118,1),1),ROWS(Tables!$E$99:$E$118)-1))))/(INDEX(Tables!$E$99:$E$118,MAX(1,MIN(IFERROR(MATCH(AF39,Tables!$E$99:$E$118,1),1),ROWS(Tables!$E$99:$E$118)-1))+1)-INDEX(Tables!$E$99:$E$118,MAX(1,MIN(IFERROR(MATCH(AF39,Tables!$E$99:$E$118,1),1),ROWS(Tables!$E$99:$E$118)-1)))))))</f>
        <v>12.445423111376529</v>
      </c>
      <c r="AQ39" s="181">
        <f>IF(P39&lt;6,(INDEX(Tables!$B$123:$B$138,MAX(1,MIN(IFERROR(MATCH(U39,Tables!$A$123:$A$138,1),1),ROWS(Tables!$A$123:$A$138)-1)))+(U39-INDEX(Tables!$A$123:$A$138,MAX(1,MIN(IFERROR(MATCH(U39,Tables!$A$123:$A$138,1),1),ROWS(Tables!$A$123:$A$138)-1))))*(INDEX(Tables!$B$123:$B$138,MAX(1,MIN(IFERROR(MATCH(U39,Tables!$A$123:$A$138,1),1),ROWS(Tables!$A$123:$A$138)-1))+1)-INDEX(Tables!$B$123:$B$138,MAX(1,MIN(IFERROR(MATCH(U39,Tables!$A$123:$A$138,1),1),ROWS(Tables!$A$123:$A$138)-1))))/(INDEX(Tables!$A$123:$A$138,MAX(1,MIN(IFERROR(MATCH(U39,Tables!$A$123:$A$138,1),1),ROWS(Tables!$A$123:$A$138)-1))+1)-INDEX(Tables!$A$123:$A$138,MAX(1,MIN(IFERROR(MATCH(U39,Tables!$A$123:$A$138,1),1),ROWS(Tables!$A$123:$A$138)-1))))),IF(P39&lt;8,(INDEX(Tables!$D$123:$D$138,MAX(1,MIN(IFERROR(MATCH(U39,Tables!$C$123:$C$138,1),1),ROWS(Tables!$C$123:$C$138)-1)))+(U39-INDEX(Tables!$C$123:$C$138,MAX(1,MIN(IFERROR(MATCH(U39,Tables!$C$123:$C$138,1),1),ROWS(Tables!$C$123:$C$138)-1))))*(INDEX(Tables!$D$123:$D$138,MAX(1,MIN(IFERROR(MATCH(U39,Tables!$C$123:$C$138,1),1),ROWS(Tables!$C$123:$C$138)-1))+1)-INDEX(Tables!$D$123:$D$138,MAX(1,MIN(IFERROR(MATCH(U39,Tables!$C$123:$C$138,1),1),ROWS(Tables!$C$123:$C$138)-1))))/(INDEX(Tables!$C$123:$C$138,MAX(1,MIN(IFERROR(MATCH(U39,Tables!$C$123:$C$138,1),1),ROWS(Tables!$C$123:$C$138)-1))+1)-INDEX(Tables!$C$123:$C$138,MAX(1,MIN(IFERROR(MATCH(U39,Tables!$C$123:$C$138,1),1),ROWS(Tables!$C$123:$C$138)-1))))),IF(P39&lt;10,(INDEX(Tables!$F$123:$F$138,MAX(1,MIN(IFERROR(MATCH(U39,Tables!$E$123:$E$138,1),1),ROWS(Tables!$E$123:$E$138)-1)))+(U39-INDEX(Tables!$E$123:$E$138,MAX(1,MIN(IFERROR(MATCH(U39,Tables!$E$123:$E$138,1),1),ROWS(Tables!$E$123:$E$138)-1))))*(INDEX(Tables!$F$123:$F$138,MAX(1,MIN(IFERROR(MATCH(U39,Tables!$E$123:$E$138,1),1),ROWS(Tables!$E$123:$E$138)-1))+1)-INDEX(Tables!$F$123:$F$138,MAX(1,MIN(IFERROR(MATCH(U39,Tables!$E$123:$E$138,1),1),ROWS(Tables!$E$123:$E$138)-1))))/(INDEX(Tables!$E$123:$E$138,MAX(1,MIN(IFERROR(MATCH(U39,Tables!$E$123:$E$138,1),1),ROWS(Tables!$E$123:$E$138)-1))+1)-INDEX(Tables!$E$123:$E$138,MAX(1,MIN(IFERROR(MATCH(U39,Tables!$E$123:$E$138,1),1),ROWS(Tables!$E$123:$E$138)-1))))),(INDEX(Tables!$H$123:$H$138,MAX(1,MIN(IFERROR(MATCH(U39,Tables!$G$123:$G$138,1),1),ROWS(Tables!$G$123:$G$138)-1)))+(U39-INDEX(Tables!$G$123:$G$138,MAX(1,MIN(IFERROR(MATCH(U39,Tables!$G$123:$G$138,1),1),ROWS(Tables!$G$123:$G$138)-1))))*(INDEX(Tables!$H$123:$H$138,MAX(1,MIN(IFERROR(MATCH(U39,Tables!$G$123:$G$138,1),1),ROWS(Tables!$G$123:$G$138)-1))+1)-INDEX(Tables!$H$123:$H$138,MAX(1,MIN(IFERROR(MATCH(U39,Tables!$G$123:$G$138,1),1),ROWS(Tables!$G$123:$G$138)-1))))/(INDEX(Tables!$G$123:$G$138,MAX(1,MIN(IFERROR(MATCH(U39,Tables!$G$123:$G$138,1),1),ROWS(Tables!$G$123:$G$138)-1))+1)-INDEX(Tables!$G$123:$G$138,MAX(1,MIN(IFERROR(MATCH(U39,Tables!$G$123:$G$138,1),1),ROWS(Tables!$G$123:$G$138)-1))))))))</f>
        <v>1.01675</v>
      </c>
      <c r="AR39" s="181">
        <f>IF(OR(P39&gt;=4,U39&gt;12),VLOOKUP(R39&amp;" "&amp;S39,Tables!$D$143:$F$148,2,FALSE),VLOOKUP(R39&amp;" "&amp;S39,Tables!$A$143:$C$148,2,FALSE))</f>
        <v>1.1000000000000001</v>
      </c>
      <c r="AS39" s="181">
        <f>IF(OR(P39&gt;=4,U39&gt;12),VLOOKUP(R39&amp;" "&amp;S39,Tables!$D$143:$F$148,3,FALSE),VLOOKUP(R39&amp;" "&amp;S39,Tables!$A$143:$C$148,3,FALSE))</f>
        <v>1</v>
      </c>
      <c r="AT39" s="181">
        <f t="shared" si="40"/>
        <v>1426.9375992221071</v>
      </c>
      <c r="AU39" s="181">
        <f>IF(AD39=5000,(INDEX(Tables!$B$244:$B$263,MAX(1,MIN(IFERROR(MATCH(AF39,Tables!$A$244:$A$263,1),1),ROWS(Tables!$A$244:$A$263)-1)))+(AF39-INDEX(Tables!$A$244:$A$263,MAX(1,MIN(IFERROR(MATCH(AF39,Tables!$A$244:$A$263,1),1),ROWS(Tables!$A$244:$A$263)-1))))*(INDEX(Tables!$B$244:$B$263,MAX(1,MIN(IFERROR(MATCH(AF39,Tables!$A$244:$A$263,1),1),ROWS(Tables!$A$244:$A$263)-1))+1)-INDEX(Tables!$B$244:$B$263,MAX(1,MIN(IFERROR(MATCH(AF39,Tables!$A$244:$A$263,1),1),ROWS(Tables!$A$244:$A$263)-1))))/(INDEX(Tables!$A$244:$A$263,MAX(1,MIN(IFERROR(MATCH(AF39,Tables!$A$244:$A$263,1),1),ROWS(Tables!$A$244:$A$263)-1))+1)-INDEX(Tables!$A$244:$A$263,MAX(1,MIN(IFERROR(MATCH(AF39,Tables!$A$244:$A$263,1),1),ROWS(Tables!$A$244:$A$263)-1))))),IF(AD39=10000,(INDEX(Tables!$D$244:$D$263,MAX(1,MIN(IFERROR(MATCH(AF39,Tables!$C$244:$C$263,1),1),ROWS(Tables!$C$244:$C$263)-1)))+(AF39-INDEX(Tables!$C$244:$C$263,MAX(1,MIN(IFERROR(MATCH(AF39,Tables!$C$244:$C$263,1),1),ROWS(Tables!$C$244:$C$263)-1))))*(INDEX(Tables!$D$244:$D$263,MAX(1,MIN(IFERROR(MATCH(AF39,Tables!$C$244:$C$263,1),1),ROWS(Tables!$C$244:$C$263)-1))+1)-INDEX(Tables!$D$244:$D$263,MAX(1,MIN(IFERROR(MATCH(AF39,Tables!$C$244:$C$263,1),1),ROWS(Tables!$C$244:$C$263)-1))))/(INDEX(Tables!$C$244:$C$263,MAX(1,MIN(IFERROR(MATCH(AF39,Tables!$C$244:$C$263,1),1),ROWS(Tables!$C$244:$C$263)-1))+1)-INDEX(Tables!$C$244:$C$263,MAX(1,MIN(IFERROR(MATCH(AF39,Tables!$C$244:$C$263,1),1),ROWS(Tables!$C$244:$C$263)-1))))),(INDEX(Tables!$F$244:$F$263,MAX(1,MIN(IFERROR(MATCH(AF39,Tables!$E$244:$E$263,1),1),ROWS(Tables!$E$244:$E$263)-1)))+(AF39-INDEX(Tables!$E$244:$E$263,MAX(1,MIN(IFERROR(MATCH(AF39,Tables!$E$244:$E$263,1),1),ROWS(Tables!$E$244:$E$263)-1))))*(INDEX(Tables!$F$244:$F$263,MAX(1,MIN(IFERROR(MATCH(AF39,Tables!$E$244:$E$263,1),1),ROWS(Tables!$E$244:$E$263)-1))+1)-INDEX(Tables!$F$244:$F$263,MAX(1,MIN(IFERROR(MATCH(AF39,Tables!$E$244:$E$263,1),1),ROWS(Tables!$E$244:$E$263)-1))))/(INDEX(Tables!$E$244:$E$263,MAX(1,MIN(IFERROR(MATCH(AF39,Tables!$E$244:$E$263,1),1),ROWS(Tables!$E$244:$E$263)-1))+1)-INDEX(Tables!$E$244:$E$263,MAX(1,MIN(IFERROR(MATCH(AF39,Tables!$E$244:$E$263,1),1),ROWS(Tables!$E$244:$E$263)-1)))))))</f>
        <v>11.380729411764705</v>
      </c>
      <c r="AV39" s="181">
        <f>IF(P39&lt;6,(INDEX(Tables!$B$260:$B$274,MAX(1,MIN(IFERROR(MATCH(U39,Tables!$A$260:$A$274,1),1),ROWS(Tables!$A$260:$A$274)-1)))+(U39-INDEX(Tables!$A$260:$A$274,MAX(1,MIN(IFERROR(MATCH(U39,Tables!$A$260:$A$274,1),1),ROWS(Tables!$A$260:$A$274)-1))))*(INDEX(Tables!$B$260:$B$274,MAX(1,MIN(IFERROR(MATCH(U39,Tables!$A$260:$A$274,1),1),ROWS(Tables!$A$260:$A$274)-1))+1)-INDEX(Tables!$B$260:$B$274,MAX(1,MIN(IFERROR(MATCH(U39,Tables!$A$260:$A$274,1),1),ROWS(Tables!$A$260:$A$274)-1))))/(INDEX(Tables!$A$260:$A$274,MAX(1,MIN(IFERROR(MATCH(U39,Tables!$A$260:$A$274,1),1),ROWS(Tables!$A$260:$A$274)-1))+1)-INDEX(Tables!$A$260:$A$274,MAX(1,MIN(IFERROR(MATCH(U39,Tables!$A$260:$A$274,1),1),ROWS(Tables!$A$260:$A$274)-1))))),IF(P39&lt;8,(INDEX(Tables!$D$260:$D$274,MAX(1,MIN(IFERROR(MATCH(U39,Tables!$C$260:$C$274,1),1),ROWS(Tables!$C$260:$C$274)-1)))+(U39-INDEX(Tables!$C$260:$C$274,MAX(1,MIN(IFERROR(MATCH(U39,Tables!$C$260:$C$274,1),1),ROWS(Tables!$C$260:$C$274)-1))))*(INDEX(Tables!$D$260:$D$274,MAX(1,MIN(IFERROR(MATCH(U39,Tables!$C$260:$C$274,1),1),ROWS(Tables!$C$260:$C$274)-1))+1)-INDEX(Tables!$D$260:$D$274,MAX(1,MIN(IFERROR(MATCH(U39,Tables!$C$260:$C$274,1),1),ROWS(Tables!$C$260:$C$274)-1))))/(INDEX(Tables!$C$260:$C$274,MAX(1,MIN(IFERROR(MATCH(U39,Tables!$C$260:$C$274,1),1),ROWS(Tables!$C$260:$C$274)-1))+1)-INDEX(Tables!$C$260:$C$274,MAX(1,MIN(IFERROR(MATCH(U39,Tables!$C$260:$C$274,1),1),ROWS(Tables!$C$260:$C$274)-1))))),IF(P39&lt;10,(INDEX(Tables!$F$260:$F$274,MAX(1,MIN(IFERROR(MATCH(U39,Tables!$E$260:$E$274,1),1),ROWS(Tables!$E$260:$E$274)-1)))+(U39-INDEX(Tables!$E$260:$E$274,MAX(1,MIN(IFERROR(MATCH(U39,Tables!$E$260:$E$274,1),1),ROWS(Tables!$E$260:$E$274)-1))))*(INDEX(Tables!$F$260:$F$274,MAX(1,MIN(IFERROR(MATCH(U39,Tables!$E$260:$E$274,1),1),ROWS(Tables!$E$260:$E$274)-1))+1)-INDEX(Tables!$F$260:$F$274,MAX(1,MIN(IFERROR(MATCH(U39,Tables!$E$260:$E$274,1),1),ROWS(Tables!$E$260:$E$274)-1))))/(INDEX(Tables!$E$260:$E$274,MAX(1,MIN(IFERROR(MATCH(U39,Tables!$E$260:$E$274,1),1),ROWS(Tables!$E$260:$E$274)-1))+1)-INDEX(Tables!$E$260:$E$274,MAX(1,MIN(IFERROR(MATCH(U39,Tables!$E$260:$E$274,1),1),ROWS(Tables!$E$260:$E$274)-1))))),(INDEX(Tables!$H$260:$H$274,MAX(1,MIN(IFERROR(MATCH(U39,Tables!$G$260:$G$274,1),1),ROWS(Tables!$G$260:$G$274)-1)))+(U39-INDEX(Tables!$G$260:$G$274,MAX(1,MIN(IFERROR(MATCH(U39,Tables!$G$260:$G$274,1),1),ROWS(Tables!$G$260:$G$274)-1))))*(INDEX(Tables!$H$260:$H$274,MAX(1,MIN(IFERROR(MATCH(U39,Tables!$G$260:$G$274,1),1),ROWS(Tables!$G$260:$G$274)-1))+1)-INDEX(Tables!$H$260:$H$274,MAX(1,MIN(IFERROR(MATCH(U39,Tables!$G$260:$G$274,1),1),ROWS(Tables!$G$260:$G$274)-1))))/(INDEX(Tables!$G$260:$G$274,MAX(1,MIN(IFERROR(MATCH(U39,Tables!$G$260:$G$274,1),1),ROWS(Tables!$G$260:$G$274)-1))+1)-INDEX(Tables!$G$260:$G$274,MAX(1,MIN(IFERROR(MATCH(U39,Tables!$G$260:$G$274,1),1),ROWS(Tables!$G$260:$G$274)-1))))))))</f>
        <v>1.0024999999999999</v>
      </c>
      <c r="AW39" s="181">
        <f t="shared" si="41"/>
        <v>1286.5764967696375</v>
      </c>
      <c r="AX39" s="181">
        <f t="shared" si="42"/>
        <v>15201.970443349752</v>
      </c>
      <c r="AY39" s="181">
        <f t="shared" si="43"/>
        <v>17652.009962100972</v>
      </c>
      <c r="AZ39" s="181">
        <f t="shared" si="44"/>
        <v>6154.0982056332969</v>
      </c>
      <c r="BA39" s="181">
        <f t="shared" si="45"/>
        <v>-1000</v>
      </c>
      <c r="BB39" s="181">
        <f t="shared" si="46"/>
        <v>16298.474951995922</v>
      </c>
      <c r="BC39" s="181">
        <f t="shared" si="47"/>
        <v>46800</v>
      </c>
      <c r="BD39" s="181">
        <f>VLOOKUP(V39&amp;" "&amp;J39,Tables!$A$152:$E$239,4,FALSE)</f>
        <v>12000</v>
      </c>
      <c r="BE39" s="181">
        <f>VLOOKUP(V39&amp;" "&amp;J39,Tables!$A$152:$E$239,5,FALSE)</f>
        <v>23000</v>
      </c>
      <c r="BF39" s="181">
        <f t="shared" si="48"/>
        <v>8640</v>
      </c>
      <c r="BG39" s="181">
        <f t="shared" si="49"/>
        <v>16560</v>
      </c>
      <c r="BH39" s="181">
        <f t="shared" si="50"/>
        <v>15701.970443349752</v>
      </c>
      <c r="BI39" s="181">
        <f t="shared" si="51"/>
        <v>46800</v>
      </c>
      <c r="BJ39" s="181">
        <f t="shared" si="52"/>
        <v>16298.474951995922</v>
      </c>
      <c r="BK39" s="181">
        <f t="shared" si="53"/>
        <v>46800</v>
      </c>
      <c r="BL39" s="181">
        <f t="shared" si="54"/>
        <v>1286.5764967696375</v>
      </c>
      <c r="BM39" s="181">
        <f t="shared" si="55"/>
        <v>8640</v>
      </c>
      <c r="BN39" s="181">
        <f t="shared" si="56"/>
        <v>1426.9375992221071</v>
      </c>
      <c r="BO39" s="181">
        <f t="shared" si="57"/>
        <v>16560</v>
      </c>
      <c r="BP39" t="str">
        <f t="shared" si="58"/>
        <v>Pass</v>
      </c>
      <c r="BQ39" t="str">
        <f t="shared" si="59"/>
        <v>Pass</v>
      </c>
      <c r="BR39" t="str">
        <f t="shared" si="60"/>
        <v>Pass</v>
      </c>
      <c r="BS39" t="str">
        <f t="shared" si="61"/>
        <v>Pass</v>
      </c>
      <c r="BT39" t="str">
        <f t="shared" si="62"/>
        <v>Pass</v>
      </c>
      <c r="BU39" t="str">
        <f t="shared" si="63"/>
        <v>Effective Stress</v>
      </c>
    </row>
    <row r="40" spans="1:73">
      <c r="A40" t="s">
        <v>632</v>
      </c>
      <c r="B40" s="181">
        <v>38</v>
      </c>
      <c r="C40" t="s">
        <v>594</v>
      </c>
      <c r="D40" s="181">
        <v>16</v>
      </c>
      <c r="E40" s="181">
        <v>0.81200000000000006</v>
      </c>
      <c r="F40" t="s">
        <v>117</v>
      </c>
      <c r="G40" t="s">
        <v>119</v>
      </c>
      <c r="H40" t="s">
        <v>122</v>
      </c>
      <c r="I40" s="181">
        <v>1</v>
      </c>
      <c r="J40" t="s">
        <v>126</v>
      </c>
      <c r="K40" t="s">
        <v>129</v>
      </c>
      <c r="L40" s="181">
        <v>70</v>
      </c>
      <c r="M40" s="181">
        <v>1000</v>
      </c>
      <c r="N40" t="s">
        <v>389</v>
      </c>
      <c r="O40" s="181">
        <v>120</v>
      </c>
      <c r="P40" s="181">
        <v>8</v>
      </c>
      <c r="Q40" s="181">
        <v>18</v>
      </c>
      <c r="R40" t="s">
        <v>417</v>
      </c>
      <c r="S40" t="s">
        <v>156</v>
      </c>
      <c r="T40" s="181">
        <v>70</v>
      </c>
      <c r="U40" s="181">
        <f>HLOOKUP(D40,'Highway Loading'!$C$155:$AD$156,2,FALSE)</f>
        <v>16</v>
      </c>
      <c r="V40" s="181">
        <f>IF(ISBLANK(G40),"",INDEX('Highway Loading'!$C$216:$AG$216,1,MATCH(G40,'Highway Loading'!$C$215:$AG$215,0)))</f>
        <v>65000</v>
      </c>
      <c r="W40" s="181">
        <f>INDEX('Highway Loading'!$I$245:$L$253,MATCH(H40,'Highway Loading'!$H$245:$H$253,0),MATCH(I40,'Highway Loading'!$I$244:$L$244,0))</f>
        <v>0.72</v>
      </c>
      <c r="X40" s="181">
        <f t="shared" si="32"/>
        <v>1</v>
      </c>
      <c r="Y40" s="181">
        <f>VLOOKUP(K40,'Highway Loading'!$B$283:$E$292,2,FALSE)</f>
        <v>29000000</v>
      </c>
      <c r="Z40" s="181">
        <f>VLOOKUP(K40,'Highway Loading'!$B$283:$E$292,3,FALSE)</f>
        <v>0.3</v>
      </c>
      <c r="AA40" s="181">
        <f>VLOOKUP(K40,'Highway Loading'!$B$283:$E$292,4,FALSE)</f>
        <v>6.4999999999999996E-6</v>
      </c>
      <c r="AB40" s="181">
        <f t="shared" si="33"/>
        <v>1</v>
      </c>
      <c r="AC40" s="181">
        <f>VLOOKUP(N40,'Highway Loading'!$B$256:$D$261,2,FALSE)</f>
        <v>500</v>
      </c>
      <c r="AD40" s="181">
        <f>VLOOKUP(N40,'Highway Loading'!$B$256:$D$261,3,FALSE)</f>
        <v>5000</v>
      </c>
      <c r="AE40" s="181">
        <f>VLOOKUP(S40,'Highway Loading'!$B$340:$C$341,2,FALSE)</f>
        <v>10000</v>
      </c>
      <c r="AF40" s="181">
        <f t="shared" si="34"/>
        <v>5.0750000000000003E-2</v>
      </c>
      <c r="AG40" s="181">
        <f t="shared" si="35"/>
        <v>5.333333333333333</v>
      </c>
      <c r="AH40" s="181">
        <f t="shared" si="36"/>
        <v>1.125</v>
      </c>
      <c r="AI40" s="181">
        <f t="shared" si="37"/>
        <v>9852.2167487684728</v>
      </c>
      <c r="AJ40" s="181">
        <f t="shared" si="38"/>
        <v>46800</v>
      </c>
      <c r="AK40" s="181">
        <f>IF(AC40=200,(INDEX(Tables!$B$17:$B$38,MAX(1,MIN(IFERROR(MATCH(AF40,Tables!$A$17:$A$38,1),1),ROWS(Tables!$A$17:$A$38)-1)))+(AF40-INDEX(Tables!$A$17:$A$38,MAX(1,MIN(IFERROR(MATCH(AF40,Tables!$A$17:$A$38,1),1),ROWS(Tables!$A$17:$A$38)-1))))*(INDEX(Tables!$B$17:$B$38,MAX(1,MIN(IFERROR(MATCH(AF40,Tables!$A$17:$A$38,1),1),ROWS(Tables!$A$17:$A$38)-1))+1)-INDEX(Tables!$B$17:$B$38,MAX(1,MIN(IFERROR(MATCH(AF40,Tables!$A$17:$A$38,1),1),ROWS(Tables!$A$17:$A$38)-1))))/(INDEX(Tables!$A$17:$A$38,MAX(1,MIN(IFERROR(MATCH(AF40,Tables!$A$17:$A$38,1),1),ROWS(Tables!$A$17:$A$38)-1))+1)-INDEX(Tables!$A$17:$A$38,MAX(1,MIN(IFERROR(MATCH(AF40,Tables!$A$17:$A$38,1),1),ROWS(Tables!$A$17:$A$38)-1))))),IF(AC40=500,(INDEX(Tables!$D$17:$D$38,MAX(1,MIN(IFERROR(MATCH(AF40,Tables!$C$17:$C$38,1),1),ROWS(Tables!$C$17:$C$38)-1)))+(AF40-INDEX(Tables!$C$17:$C$38,MAX(1,MIN(IFERROR(MATCH(AF40,Tables!$C$17:$C$38,1),1),ROWS(Tables!$C$17:$C$38)-1))))*(INDEX(Tables!$D$17:$D$38,MAX(1,MIN(IFERROR(MATCH(AF40,Tables!$C$17:$C$38,1),1),ROWS(Tables!$C$17:$C$38)-1))+1)-INDEX(Tables!$D$17:$D$38,MAX(1,MIN(IFERROR(MATCH(AF40,Tables!$C$17:$C$38,1),1),ROWS(Tables!$C$17:$C$38)-1))))/(INDEX(Tables!$C$17:$C$38,MAX(1,MIN(IFERROR(MATCH(AF40,Tables!$C$17:$C$38,1),1),ROWS(Tables!$C$17:$C$38)-1))+1)-INDEX(Tables!$C$17:$C$38,MAX(1,MIN(IFERROR(MATCH(AF40,Tables!$C$17:$C$38,1),1),ROWS(Tables!$C$17:$C$38)-1))))),IF(AC40=1000,(INDEX(Tables!$F$17:$F$38,MAX(1,MIN(IFERROR(MATCH(AF40,Tables!$E$17:$E$38,1),1),ROWS(Tables!$E$17:$E$38)-1)))+(AF40-INDEX(Tables!$E$17:$E$38,MAX(1,MIN(IFERROR(MATCH(AF40,Tables!$E$17:$E$38,1),1),ROWS(Tables!$E$17:$E$38)-1))))*(INDEX(Tables!$F$17:$F$38,MAX(1,MIN(IFERROR(MATCH(AF40,Tables!$E$17:$E$38,1),1),ROWS(Tables!$E$17:$E$38)-1))+1)-INDEX(Tables!$F$17:$F$38,MAX(1,MIN(IFERROR(MATCH(AF40,Tables!$E$17:$E$38,1),1),ROWS(Tables!$E$17:$E$38)-1))))/(INDEX(Tables!$E$17:$E$38,MAX(1,MIN(IFERROR(MATCH(AF40,Tables!$E$17:$E$38,1),1),ROWS(Tables!$E$17:$E$38)-1))+1)-INDEX(Tables!$E$17:$E$38,MAX(1,MIN(IFERROR(MATCH(AF40,Tables!$E$17:$E$38,1),1),ROWS(Tables!$E$17:$E$38)-1))))),(INDEX(Tables!$H$17:$H$38,MAX(1,MIN(IFERROR(MATCH(AF40,Tables!$G$17:$G$38,1),1),ROWS(Tables!$G$17:$G$38)-1)))+(AF40-INDEX(Tables!$G$17:$G$38,MAX(1,MIN(IFERROR(MATCH(AF40,Tables!$G$17:$G$38,1),1),ROWS(Tables!$G$17:$G$38)-1))))*(INDEX(Tables!$H$17:$H$38,MAX(1,MIN(IFERROR(MATCH(AF40,Tables!$G$17:$G$38,1),1),ROWS(Tables!$G$17:$G$38)-1))+1)-INDEX(Tables!$H$17:$H$38,MAX(1,MIN(IFERROR(MATCH(AF40,Tables!$G$17:$G$38,1),1),ROWS(Tables!$G$17:$G$38)-1))))/(INDEX(Tables!$G$17:$G$38,MAX(1,MIN(IFERROR(MATCH(AF40,Tables!$G$17:$G$38,1),1),ROWS(Tables!$G$17:$G$38)-1))+1)-INDEX(Tables!$G$17:$G$38,MAX(1,MIN(IFERROR(MATCH(AF40,Tables!$G$17:$G$38,1),1),ROWS(Tables!$G$17:$G$38)-1))))))))</f>
        <v>449.95</v>
      </c>
      <c r="AL40" s="181">
        <f>IF(AC40&lt;1000,(INDEX(Tables!$B$43:$B$76,MAX(1,MIN(IFERROR(MATCH(AG40,Tables!$A$43:$A$76,1),1),ROWS(Tables!$A$43:$A$76)-1)))+(AG40-INDEX(Tables!$A$43:$A$76,MAX(1,MIN(IFERROR(MATCH(AG40,Tables!$A$43:$A$76,1),1),ROWS(Tables!$A$43:$A$76)-1))))*(INDEX(Tables!$B$43:$B$76,MAX(1,MIN(IFERROR(MATCH(AG40,Tables!$A$43:$A$76,1),1),ROWS(Tables!$A$43:$A$76)-1))+1)-INDEX(Tables!$B$43:$B$76,MAX(1,MIN(IFERROR(MATCH(AG40,Tables!$A$43:$A$76,1),1),ROWS(Tables!$A$43:$A$76)-1))))/(INDEX(Tables!$A$43:$A$76,MAX(1,MIN(IFERROR(MATCH(AG40,Tables!$A$43:$A$76,1),1),ROWS(Tables!$A$43:$A$76)-1))+1)-INDEX(Tables!$A$43:$A$76,MAX(1,MIN(IFERROR(MATCH(AG40,Tables!$A$43:$A$76,1),1),ROWS(Tables!$A$43:$A$76)-1))))),(INDEX(Tables!$D$43:$D$76,MAX(1,MIN(IFERROR(MATCH(AG40,Tables!$C$43:$C$76,1),1),ROWS(Tables!$C$43:$C$76)-1)))+(AG40-INDEX(Tables!$C$43:$C$76,MAX(1,MIN(IFERROR(MATCH(AG40,Tables!$C$43:$C$76,1),1),ROWS(Tables!$C$43:$C$76)-1))))*(INDEX(Tables!$D$43:$D$76,MAX(1,MIN(IFERROR(MATCH(AG40,Tables!$C$43:$C$76,1),1),ROWS(Tables!$C$43:$C$76)-1))+1)-INDEX(Tables!$D$43:$D$76,MAX(1,MIN(IFERROR(MATCH(AG40,Tables!$C$43:$C$76,1),1),ROWS(Tables!$C$43:$C$76)-1))))/(INDEX(Tables!$C$43:$C$76,MAX(1,MIN(IFERROR(MATCH(AG40,Tables!$C$43:$C$76,1),1),ROWS(Tables!$C$43:$C$76)-1))+1)-INDEX(Tables!$C$43:$C$76,MAX(1,MIN(IFERROR(MATCH(AG40,Tables!$C$43:$C$76,1),1),ROWS(Tables!$C$43:$C$76)-1))))))</f>
        <v>1.1053333333333333</v>
      </c>
      <c r="AM40" s="181">
        <f>(INDEX(Tables!$B$80:$B$87,MAX(1,MIN(IFERROR(MATCH(AH40,Tables!$A$80:$A$87,1),1),ROWS(Tables!$A$80:$A$87)-1)))+(AH40-INDEX(Tables!$A$80:$A$87,MAX(1,MIN(IFERROR(MATCH(AH40,Tables!$A$80:$A$87,1),1),ROWS(Tables!$A$80:$A$87)-1))))*(INDEX(Tables!$B$80:$B$87,MAX(1,MIN(IFERROR(MATCH(AH40,Tables!$A$80:$A$87,1),1),ROWS(Tables!$A$80:$A$87)-1))+1)-INDEX(Tables!$B$80:$B$87,MAX(1,MIN(IFERROR(MATCH(AH40,Tables!$A$80:$A$87,1),1),ROWS(Tables!$A$80:$A$87)-1))))/(INDEX(Tables!$A$80:$A$87,MAX(1,MIN(IFERROR(MATCH(AH40,Tables!$A$80:$A$87,1),1),ROWS(Tables!$A$80:$A$87)-1))+1)-INDEX(Tables!$A$80:$A$87,MAX(1,MIN(IFERROR(MATCH(AH40,Tables!$A$80:$A$87,1),1),ROWS(Tables!$A$80:$A$87)-1)))))</f>
        <v>1.04345</v>
      </c>
      <c r="AN40" s="181">
        <f t="shared" si="39"/>
        <v>576.6159577740741</v>
      </c>
      <c r="AO40" s="181">
        <f>(INDEX(Tables!$B$91:$B$94,MAX(1,MIN(IFERROR(MATCH(P40,Tables!$A$91:$A$94,1),1),ROWS(Tables!$A$91:$A$94)-1)))+(P40-INDEX(Tables!$A$91:$A$94,MAX(1,MIN(IFERROR(MATCH(P40,Tables!$A$91:$A$94,1),1),ROWS(Tables!$A$91:$A$94)-1))))*(INDEX(Tables!$B$91:$B$94,MAX(1,MIN(IFERROR(MATCH(P40,Tables!$A$91:$A$94,1),1),ROWS(Tables!$A$91:$A$94)-1))+1)-INDEX(Tables!$B$91:$B$94,MAX(1,MIN(IFERROR(MATCH(P40,Tables!$A$91:$A$94,1),1),ROWS(Tables!$A$91:$A$94)-1))))/(INDEX(Tables!$A$91:$A$94,MAX(1,MIN(IFERROR(MATCH(P40,Tables!$A$91:$A$94,1),1),ROWS(Tables!$A$91:$A$94)-1))+1)-INDEX(Tables!$A$91:$A$94,MAX(1,MIN(IFERROR(MATCH(P40,Tables!$A$91:$A$94,1),1),ROWS(Tables!$A$91:$A$94)-1)))))</f>
        <v>1.4152439024390244</v>
      </c>
      <c r="AP40" s="181">
        <f>IF(AD40=5000,(INDEX(Tables!$B$99:$B$118,MAX(1,MIN(IFERROR(MATCH(AF40,Tables!$A$99:$A$118,1),1),ROWS(Tables!$A$99:$A$118)-1)))+(AF40-INDEX(Tables!$A$99:$A$118,MAX(1,MIN(IFERROR(MATCH(AF40,Tables!$A$99:$A$118,1),1),ROWS(Tables!$A$99:$A$118)-1))))*(INDEX(Tables!$B$99:$B$118,MAX(1,MIN(IFERROR(MATCH(AF40,Tables!$A$99:$A$118,1),1),ROWS(Tables!$A$99:$A$118)-1))+1)-INDEX(Tables!$B$99:$B$118,MAX(1,MIN(IFERROR(MATCH(AF40,Tables!$A$99:$A$118,1),1),ROWS(Tables!$A$99:$A$118)-1))))/(INDEX(Tables!$A$99:$A$118,MAX(1,MIN(IFERROR(MATCH(AF40,Tables!$A$99:$A$118,1),1),ROWS(Tables!$A$99:$A$118)-1))+1)-INDEX(Tables!$A$99:$A$118,MAX(1,MIN(IFERROR(MATCH(AF40,Tables!$A$99:$A$118,1),1),ROWS(Tables!$A$99:$A$118)-1))))),IF(AD40=10000,(INDEX(Tables!$D$99:$D$118,MAX(1,MIN(IFERROR(MATCH(AF40,Tables!$C$99:$C$118,1),1),ROWS(Tables!$C$99:$C$118)-1)))+(AF40-INDEX(Tables!$C$99:$C$118,MAX(1,MIN(IFERROR(MATCH(AF40,Tables!$C$99:$C$118,1),1),ROWS(Tables!$C$99:$C$118)-1))))*(INDEX(Tables!$D$99:$D$118,MAX(1,MIN(IFERROR(MATCH(AF40,Tables!$C$99:$C$118,1),1),ROWS(Tables!$C$99:$C$118)-1))+1)-INDEX(Tables!$D$99:$D$118,MAX(1,MIN(IFERROR(MATCH(AF40,Tables!$C$99:$C$118,1),1),ROWS(Tables!$C$99:$C$118)-1))))/(INDEX(Tables!$C$99:$C$118,MAX(1,MIN(IFERROR(MATCH(AF40,Tables!$C$99:$C$118,1),1),ROWS(Tables!$C$99:$C$118)-1))+1)-INDEX(Tables!$C$99:$C$118,MAX(1,MIN(IFERROR(MATCH(AF40,Tables!$C$99:$C$118,1),1),ROWS(Tables!$C$99:$C$118)-1))))),(INDEX(Tables!$F$99:$F$118,MAX(1,MIN(IFERROR(MATCH(AF40,Tables!$E$99:$E$118,1),1),ROWS(Tables!$E$99:$E$118)-1)))+(AF40-INDEX(Tables!$E$99:$E$118,MAX(1,MIN(IFERROR(MATCH(AF40,Tables!$E$99:$E$118,1),1),ROWS(Tables!$E$99:$E$118)-1))))*(INDEX(Tables!$F$99:$F$118,MAX(1,MIN(IFERROR(MATCH(AF40,Tables!$E$99:$E$118,1),1),ROWS(Tables!$E$99:$E$118)-1))+1)-INDEX(Tables!$F$99:$F$118,MAX(1,MIN(IFERROR(MATCH(AF40,Tables!$E$99:$E$118,1),1),ROWS(Tables!$E$99:$E$118)-1))))/(INDEX(Tables!$E$99:$E$118,MAX(1,MIN(IFERROR(MATCH(AF40,Tables!$E$99:$E$118,1),1),ROWS(Tables!$E$99:$E$118)-1))+1)-INDEX(Tables!$E$99:$E$118,MAX(1,MIN(IFERROR(MATCH(AF40,Tables!$E$99:$E$118,1),1),ROWS(Tables!$E$99:$E$118)-1)))))))</f>
        <v>5.8145537190082637</v>
      </c>
      <c r="AQ40" s="181">
        <f>IF(P40&lt;6,(INDEX(Tables!$B$123:$B$138,MAX(1,MIN(IFERROR(MATCH(U40,Tables!$A$123:$A$138,1),1),ROWS(Tables!$A$123:$A$138)-1)))+(U40-INDEX(Tables!$A$123:$A$138,MAX(1,MIN(IFERROR(MATCH(U40,Tables!$A$123:$A$138,1),1),ROWS(Tables!$A$123:$A$138)-1))))*(INDEX(Tables!$B$123:$B$138,MAX(1,MIN(IFERROR(MATCH(U40,Tables!$A$123:$A$138,1),1),ROWS(Tables!$A$123:$A$138)-1))+1)-INDEX(Tables!$B$123:$B$138,MAX(1,MIN(IFERROR(MATCH(U40,Tables!$A$123:$A$138,1),1),ROWS(Tables!$A$123:$A$138)-1))))/(INDEX(Tables!$A$123:$A$138,MAX(1,MIN(IFERROR(MATCH(U40,Tables!$A$123:$A$138,1),1),ROWS(Tables!$A$123:$A$138)-1))+1)-INDEX(Tables!$A$123:$A$138,MAX(1,MIN(IFERROR(MATCH(U40,Tables!$A$123:$A$138,1),1),ROWS(Tables!$A$123:$A$138)-1))))),IF(P40&lt;8,(INDEX(Tables!$D$123:$D$138,MAX(1,MIN(IFERROR(MATCH(U40,Tables!$C$123:$C$138,1),1),ROWS(Tables!$C$123:$C$138)-1)))+(U40-INDEX(Tables!$C$123:$C$138,MAX(1,MIN(IFERROR(MATCH(U40,Tables!$C$123:$C$138,1),1),ROWS(Tables!$C$123:$C$138)-1))))*(INDEX(Tables!$D$123:$D$138,MAX(1,MIN(IFERROR(MATCH(U40,Tables!$C$123:$C$138,1),1),ROWS(Tables!$C$123:$C$138)-1))+1)-INDEX(Tables!$D$123:$D$138,MAX(1,MIN(IFERROR(MATCH(U40,Tables!$C$123:$C$138,1),1),ROWS(Tables!$C$123:$C$138)-1))))/(INDEX(Tables!$C$123:$C$138,MAX(1,MIN(IFERROR(MATCH(U40,Tables!$C$123:$C$138,1),1),ROWS(Tables!$C$123:$C$138)-1))+1)-INDEX(Tables!$C$123:$C$138,MAX(1,MIN(IFERROR(MATCH(U40,Tables!$C$123:$C$138,1),1),ROWS(Tables!$C$123:$C$138)-1))))),IF(P40&lt;10,(INDEX(Tables!$F$123:$F$138,MAX(1,MIN(IFERROR(MATCH(U40,Tables!$E$123:$E$138,1),1),ROWS(Tables!$E$123:$E$138)-1)))+(U40-INDEX(Tables!$E$123:$E$138,MAX(1,MIN(IFERROR(MATCH(U40,Tables!$E$123:$E$138,1),1),ROWS(Tables!$E$123:$E$138)-1))))*(INDEX(Tables!$F$123:$F$138,MAX(1,MIN(IFERROR(MATCH(U40,Tables!$E$123:$E$138,1),1),ROWS(Tables!$E$123:$E$138)-1))+1)-INDEX(Tables!$F$123:$F$138,MAX(1,MIN(IFERROR(MATCH(U40,Tables!$E$123:$E$138,1),1),ROWS(Tables!$E$123:$E$138)-1))))/(INDEX(Tables!$E$123:$E$138,MAX(1,MIN(IFERROR(MATCH(U40,Tables!$E$123:$E$138,1),1),ROWS(Tables!$E$123:$E$138)-1))+1)-INDEX(Tables!$E$123:$E$138,MAX(1,MIN(IFERROR(MATCH(U40,Tables!$E$123:$E$138,1),1),ROWS(Tables!$E$123:$E$138)-1))))),(INDEX(Tables!$H$123:$H$138,MAX(1,MIN(IFERROR(MATCH(U40,Tables!$G$123:$G$138,1),1),ROWS(Tables!$G$123:$G$138)-1)))+(U40-INDEX(Tables!$G$123:$G$138,MAX(1,MIN(IFERROR(MATCH(U40,Tables!$G$123:$G$138,1),1),ROWS(Tables!$G$123:$G$138)-1))))*(INDEX(Tables!$H$123:$H$138,MAX(1,MIN(IFERROR(MATCH(U40,Tables!$G$123:$G$138,1),1),ROWS(Tables!$G$123:$G$138)-1))+1)-INDEX(Tables!$H$123:$H$138,MAX(1,MIN(IFERROR(MATCH(U40,Tables!$G$123:$G$138,1),1),ROWS(Tables!$G$123:$G$138)-1))))/(INDEX(Tables!$G$123:$G$138,MAX(1,MIN(IFERROR(MATCH(U40,Tables!$G$123:$G$138,1),1),ROWS(Tables!$G$123:$G$138)-1))+1)-INDEX(Tables!$G$123:$G$138,MAX(1,MIN(IFERROR(MATCH(U40,Tables!$G$123:$G$138,1),1),ROWS(Tables!$G$123:$G$138)-1))))))))</f>
        <v>0.79200000000000004</v>
      </c>
      <c r="AR40" s="181">
        <f>IF(OR(P40&gt;=4,U40&gt;12),VLOOKUP(R40&amp;" "&amp;S40,Tables!$D$143:$F$148,2,FALSE),VLOOKUP(R40&amp;" "&amp;S40,Tables!$A$143:$C$148,2,FALSE))</f>
        <v>1.1000000000000001</v>
      </c>
      <c r="AS40" s="181">
        <f>IF(OR(P40&gt;=4,U40&gt;12),VLOOKUP(R40&amp;" "&amp;S40,Tables!$D$143:$F$148,3,FALSE),VLOOKUP(R40&amp;" "&amp;S40,Tables!$A$143:$C$148,3,FALSE))</f>
        <v>1</v>
      </c>
      <c r="AT40" s="181">
        <f t="shared" si="40"/>
        <v>497.85520762195119</v>
      </c>
      <c r="AU40" s="181">
        <f>IF(AD40=5000,(INDEX(Tables!$B$244:$B$263,MAX(1,MIN(IFERROR(MATCH(AF40,Tables!$A$244:$A$263,1),1),ROWS(Tables!$A$244:$A$263)-1)))+(AF40-INDEX(Tables!$A$244:$A$263,MAX(1,MIN(IFERROR(MATCH(AF40,Tables!$A$244:$A$263,1),1),ROWS(Tables!$A$244:$A$263)-1))))*(INDEX(Tables!$B$244:$B$263,MAX(1,MIN(IFERROR(MATCH(AF40,Tables!$A$244:$A$263,1),1),ROWS(Tables!$A$244:$A$263)-1))+1)-INDEX(Tables!$B$244:$B$263,MAX(1,MIN(IFERROR(MATCH(AF40,Tables!$A$244:$A$263,1),1),ROWS(Tables!$A$244:$A$263)-1))))/(INDEX(Tables!$A$244:$A$263,MAX(1,MIN(IFERROR(MATCH(AF40,Tables!$A$244:$A$263,1),1),ROWS(Tables!$A$244:$A$263)-1))+1)-INDEX(Tables!$A$244:$A$263,MAX(1,MIN(IFERROR(MATCH(AF40,Tables!$A$244:$A$263,1),1),ROWS(Tables!$A$244:$A$263)-1))))),IF(AD40=10000,(INDEX(Tables!$D$244:$D$263,MAX(1,MIN(IFERROR(MATCH(AF40,Tables!$C$244:$C$263,1),1),ROWS(Tables!$C$244:$C$263)-1)))+(AF40-INDEX(Tables!$C$244:$C$263,MAX(1,MIN(IFERROR(MATCH(AF40,Tables!$C$244:$C$263,1),1),ROWS(Tables!$C$244:$C$263)-1))))*(INDEX(Tables!$D$244:$D$263,MAX(1,MIN(IFERROR(MATCH(AF40,Tables!$C$244:$C$263,1),1),ROWS(Tables!$C$244:$C$263)-1))+1)-INDEX(Tables!$D$244:$D$263,MAX(1,MIN(IFERROR(MATCH(AF40,Tables!$C$244:$C$263,1),1),ROWS(Tables!$C$244:$C$263)-1))))/(INDEX(Tables!$C$244:$C$263,MAX(1,MIN(IFERROR(MATCH(AF40,Tables!$C$244:$C$263,1),1),ROWS(Tables!$C$244:$C$263)-1))+1)-INDEX(Tables!$C$244:$C$263,MAX(1,MIN(IFERROR(MATCH(AF40,Tables!$C$244:$C$263,1),1),ROWS(Tables!$C$244:$C$263)-1))))),(INDEX(Tables!$F$244:$F$263,MAX(1,MIN(IFERROR(MATCH(AF40,Tables!$E$244:$E$263,1),1),ROWS(Tables!$E$244:$E$263)-1)))+(AF40-INDEX(Tables!$E$244:$E$263,MAX(1,MIN(IFERROR(MATCH(AF40,Tables!$E$244:$E$263,1),1),ROWS(Tables!$E$244:$E$263)-1))))*(INDEX(Tables!$F$244:$F$263,MAX(1,MIN(IFERROR(MATCH(AF40,Tables!$E$244:$E$263,1),1),ROWS(Tables!$E$244:$E$263)-1))+1)-INDEX(Tables!$F$244:$F$263,MAX(1,MIN(IFERROR(MATCH(AF40,Tables!$E$244:$E$263,1),1),ROWS(Tables!$E$244:$E$263)-1))))/(INDEX(Tables!$E$244:$E$263,MAX(1,MIN(IFERROR(MATCH(AF40,Tables!$E$244:$E$263,1),1),ROWS(Tables!$E$244:$E$263)-1))+1)-INDEX(Tables!$E$244:$E$263,MAX(1,MIN(IFERROR(MATCH(AF40,Tables!$E$244:$E$263,1),1),ROWS(Tables!$E$244:$E$263)-1)))))))</f>
        <v>8.3038249999999998</v>
      </c>
      <c r="AV40" s="181">
        <f>IF(P40&lt;6,(INDEX(Tables!$B$260:$B$274,MAX(1,MIN(IFERROR(MATCH(U40,Tables!$A$260:$A$274,1),1),ROWS(Tables!$A$260:$A$274)-1)))+(U40-INDEX(Tables!$A$260:$A$274,MAX(1,MIN(IFERROR(MATCH(U40,Tables!$A$260:$A$274,1),1),ROWS(Tables!$A$260:$A$274)-1))))*(INDEX(Tables!$B$260:$B$274,MAX(1,MIN(IFERROR(MATCH(U40,Tables!$A$260:$A$274,1),1),ROWS(Tables!$A$260:$A$274)-1))+1)-INDEX(Tables!$B$260:$B$274,MAX(1,MIN(IFERROR(MATCH(U40,Tables!$A$260:$A$274,1),1),ROWS(Tables!$A$260:$A$274)-1))))/(INDEX(Tables!$A$260:$A$274,MAX(1,MIN(IFERROR(MATCH(U40,Tables!$A$260:$A$274,1),1),ROWS(Tables!$A$260:$A$274)-1))+1)-INDEX(Tables!$A$260:$A$274,MAX(1,MIN(IFERROR(MATCH(U40,Tables!$A$260:$A$274,1),1),ROWS(Tables!$A$260:$A$274)-1))))),IF(P40&lt;8,(INDEX(Tables!$D$260:$D$274,MAX(1,MIN(IFERROR(MATCH(U40,Tables!$C$260:$C$274,1),1),ROWS(Tables!$C$260:$C$274)-1)))+(U40-INDEX(Tables!$C$260:$C$274,MAX(1,MIN(IFERROR(MATCH(U40,Tables!$C$260:$C$274,1),1),ROWS(Tables!$C$260:$C$274)-1))))*(INDEX(Tables!$D$260:$D$274,MAX(1,MIN(IFERROR(MATCH(U40,Tables!$C$260:$C$274,1),1),ROWS(Tables!$C$260:$C$274)-1))+1)-INDEX(Tables!$D$260:$D$274,MAX(1,MIN(IFERROR(MATCH(U40,Tables!$C$260:$C$274,1),1),ROWS(Tables!$C$260:$C$274)-1))))/(INDEX(Tables!$C$260:$C$274,MAX(1,MIN(IFERROR(MATCH(U40,Tables!$C$260:$C$274,1),1),ROWS(Tables!$C$260:$C$274)-1))+1)-INDEX(Tables!$C$260:$C$274,MAX(1,MIN(IFERROR(MATCH(U40,Tables!$C$260:$C$274,1),1),ROWS(Tables!$C$260:$C$274)-1))))),IF(P40&lt;10,(INDEX(Tables!$F$260:$F$274,MAX(1,MIN(IFERROR(MATCH(U40,Tables!$E$260:$E$274,1),1),ROWS(Tables!$E$260:$E$274)-1)))+(U40-INDEX(Tables!$E$260:$E$274,MAX(1,MIN(IFERROR(MATCH(U40,Tables!$E$260:$E$274,1),1),ROWS(Tables!$E$260:$E$274)-1))))*(INDEX(Tables!$F$260:$F$274,MAX(1,MIN(IFERROR(MATCH(U40,Tables!$E$260:$E$274,1),1),ROWS(Tables!$E$260:$E$274)-1))+1)-INDEX(Tables!$F$260:$F$274,MAX(1,MIN(IFERROR(MATCH(U40,Tables!$E$260:$E$274,1),1),ROWS(Tables!$E$260:$E$274)-1))))/(INDEX(Tables!$E$260:$E$274,MAX(1,MIN(IFERROR(MATCH(U40,Tables!$E$260:$E$274,1),1),ROWS(Tables!$E$260:$E$274)-1))+1)-INDEX(Tables!$E$260:$E$274,MAX(1,MIN(IFERROR(MATCH(U40,Tables!$E$260:$E$274,1),1),ROWS(Tables!$E$260:$E$274)-1))))),(INDEX(Tables!$H$260:$H$274,MAX(1,MIN(IFERROR(MATCH(U40,Tables!$G$260:$G$274,1),1),ROWS(Tables!$G$260:$G$274)-1)))+(U40-INDEX(Tables!$G$260:$G$274,MAX(1,MIN(IFERROR(MATCH(U40,Tables!$G$260:$G$274,1),1),ROWS(Tables!$G$260:$G$274)-1))))*(INDEX(Tables!$H$260:$H$274,MAX(1,MIN(IFERROR(MATCH(U40,Tables!$G$260:$G$274,1),1),ROWS(Tables!$G$260:$G$274)-1))+1)-INDEX(Tables!$H$260:$H$274,MAX(1,MIN(IFERROR(MATCH(U40,Tables!$G$260:$G$274,1),1),ROWS(Tables!$G$260:$G$274)-1))))/(INDEX(Tables!$G$260:$G$274,MAX(1,MIN(IFERROR(MATCH(U40,Tables!$G$260:$G$274,1),1),ROWS(Tables!$G$260:$G$274)-1))+1)-INDEX(Tables!$G$260:$G$274,MAX(1,MIN(IFERROR(MATCH(U40,Tables!$G$260:$G$274,1),1),ROWS(Tables!$G$260:$G$274)-1))))))))</f>
        <v>0.84099999999999997</v>
      </c>
      <c r="AW40" s="181">
        <f t="shared" si="41"/>
        <v>754.98038642901008</v>
      </c>
      <c r="AX40" s="181">
        <f t="shared" si="42"/>
        <v>9352.2167487684728</v>
      </c>
      <c r="AY40" s="181">
        <f t="shared" si="43"/>
        <v>10426.687914164499</v>
      </c>
      <c r="AZ40" s="181">
        <f t="shared" si="44"/>
        <v>3733.6301983917742</v>
      </c>
      <c r="BA40" s="181">
        <f t="shared" si="45"/>
        <v>-1000</v>
      </c>
      <c r="BB40" s="181">
        <f t="shared" si="46"/>
        <v>9944.1810404252083</v>
      </c>
      <c r="BC40" s="181">
        <f t="shared" si="47"/>
        <v>46800</v>
      </c>
      <c r="BD40" s="181">
        <f>VLOOKUP(V40&amp;" "&amp;J40,Tables!$A$152:$E$239,4,FALSE)</f>
        <v>12000</v>
      </c>
      <c r="BE40" s="181">
        <f>VLOOKUP(V40&amp;" "&amp;J40,Tables!$A$152:$E$239,5,FALSE)</f>
        <v>23000</v>
      </c>
      <c r="BF40" s="181">
        <f t="shared" si="48"/>
        <v>8640</v>
      </c>
      <c r="BG40" s="181">
        <f t="shared" si="49"/>
        <v>16560</v>
      </c>
      <c r="BH40" s="181">
        <f t="shared" si="50"/>
        <v>9852.2167487684728</v>
      </c>
      <c r="BI40" s="181">
        <f t="shared" si="51"/>
        <v>46800</v>
      </c>
      <c r="BJ40" s="181">
        <f t="shared" si="52"/>
        <v>9944.1810404252083</v>
      </c>
      <c r="BK40" s="181">
        <f t="shared" si="53"/>
        <v>46800</v>
      </c>
      <c r="BL40" s="181">
        <f t="shared" si="54"/>
        <v>754.98038642901008</v>
      </c>
      <c r="BM40" s="181">
        <f t="shared" si="55"/>
        <v>8640</v>
      </c>
      <c r="BN40" s="181">
        <f t="shared" si="56"/>
        <v>497.85520762195119</v>
      </c>
      <c r="BO40" s="181">
        <f t="shared" si="57"/>
        <v>16560</v>
      </c>
      <c r="BP40" t="str">
        <f t="shared" si="58"/>
        <v>Pass</v>
      </c>
      <c r="BQ40" t="str">
        <f t="shared" si="59"/>
        <v>Pass</v>
      </c>
      <c r="BR40" t="str">
        <f t="shared" si="60"/>
        <v>Pass</v>
      </c>
      <c r="BS40" t="str">
        <f t="shared" si="61"/>
        <v>Pass</v>
      </c>
      <c r="BT40" t="str">
        <f t="shared" si="62"/>
        <v>Pass</v>
      </c>
      <c r="BU40" t="str">
        <f t="shared" si="63"/>
        <v>Effective Stress</v>
      </c>
    </row>
    <row r="41" spans="1:73">
      <c r="A41" t="s">
        <v>633</v>
      </c>
      <c r="B41" s="181">
        <v>39</v>
      </c>
      <c r="C41" t="s">
        <v>594</v>
      </c>
      <c r="D41" s="181">
        <v>24</v>
      </c>
      <c r="E41" s="181">
        <v>0.56200000000000006</v>
      </c>
      <c r="F41" t="s">
        <v>117</v>
      </c>
      <c r="G41" t="s">
        <v>119</v>
      </c>
      <c r="H41" t="s">
        <v>122</v>
      </c>
      <c r="I41" s="181">
        <v>1</v>
      </c>
      <c r="J41" t="s">
        <v>126</v>
      </c>
      <c r="K41" t="s">
        <v>129</v>
      </c>
      <c r="L41" s="181">
        <v>70</v>
      </c>
      <c r="M41" s="181">
        <v>1440</v>
      </c>
      <c r="N41" t="s">
        <v>389</v>
      </c>
      <c r="O41" s="181">
        <v>120</v>
      </c>
      <c r="P41" s="181">
        <v>10</v>
      </c>
      <c r="Q41" s="181">
        <v>26</v>
      </c>
      <c r="R41" t="s">
        <v>417</v>
      </c>
      <c r="S41" t="s">
        <v>156</v>
      </c>
      <c r="T41" s="181">
        <v>70</v>
      </c>
      <c r="U41" s="181">
        <f>HLOOKUP(D41,'Highway Loading'!$C$155:$AD$156,2,FALSE)</f>
        <v>24</v>
      </c>
      <c r="V41" s="181">
        <f>IF(ISBLANK(G41),"",INDEX('Highway Loading'!$C$216:$AG$216,1,MATCH(G41,'Highway Loading'!$C$215:$AG$215,0)))</f>
        <v>65000</v>
      </c>
      <c r="W41" s="181">
        <f>INDEX('Highway Loading'!$I$245:$L$253,MATCH(H41,'Highway Loading'!$H$245:$H$253,0),MATCH(I41,'Highway Loading'!$I$244:$L$244,0))</f>
        <v>0.72</v>
      </c>
      <c r="X41" s="181">
        <f t="shared" si="32"/>
        <v>1</v>
      </c>
      <c r="Y41" s="181">
        <f>VLOOKUP(K41,'Highway Loading'!$B$283:$E$292,2,FALSE)</f>
        <v>29000000</v>
      </c>
      <c r="Z41" s="181">
        <f>VLOOKUP(K41,'Highway Loading'!$B$283:$E$292,3,FALSE)</f>
        <v>0.3</v>
      </c>
      <c r="AA41" s="181">
        <f>VLOOKUP(K41,'Highway Loading'!$B$283:$E$292,4,FALSE)</f>
        <v>6.4999999999999996E-6</v>
      </c>
      <c r="AB41" s="181">
        <f t="shared" si="33"/>
        <v>1</v>
      </c>
      <c r="AC41" s="181">
        <f>VLOOKUP(N41,'Highway Loading'!$B$256:$D$261,2,FALSE)</f>
        <v>500</v>
      </c>
      <c r="AD41" s="181">
        <f>VLOOKUP(N41,'Highway Loading'!$B$256:$D$261,3,FALSE)</f>
        <v>5000</v>
      </c>
      <c r="AE41" s="181">
        <f>VLOOKUP(S41,'Highway Loading'!$B$340:$C$341,2,FALSE)</f>
        <v>10000</v>
      </c>
      <c r="AF41" s="181">
        <f t="shared" si="34"/>
        <v>2.3416666666666669E-2</v>
      </c>
      <c r="AG41" s="181">
        <f t="shared" si="35"/>
        <v>4.615384615384615</v>
      </c>
      <c r="AH41" s="181">
        <f t="shared" si="36"/>
        <v>1.0833333333333333</v>
      </c>
      <c r="AI41" s="181">
        <f t="shared" si="37"/>
        <v>30747.330960854091</v>
      </c>
      <c r="AJ41" s="181">
        <f t="shared" si="38"/>
        <v>46800</v>
      </c>
      <c r="AK41" s="181">
        <f>IF(AC41=200,(INDEX(Tables!$B$17:$B$38,MAX(1,MIN(IFERROR(MATCH(AF41,Tables!$A$17:$A$38,1),1),ROWS(Tables!$A$17:$A$38)-1)))+(AF41-INDEX(Tables!$A$17:$A$38,MAX(1,MIN(IFERROR(MATCH(AF41,Tables!$A$17:$A$38,1),1),ROWS(Tables!$A$17:$A$38)-1))))*(INDEX(Tables!$B$17:$B$38,MAX(1,MIN(IFERROR(MATCH(AF41,Tables!$A$17:$A$38,1),1),ROWS(Tables!$A$17:$A$38)-1))+1)-INDEX(Tables!$B$17:$B$38,MAX(1,MIN(IFERROR(MATCH(AF41,Tables!$A$17:$A$38,1),1),ROWS(Tables!$A$17:$A$38)-1))))/(INDEX(Tables!$A$17:$A$38,MAX(1,MIN(IFERROR(MATCH(AF41,Tables!$A$17:$A$38,1),1),ROWS(Tables!$A$17:$A$38)-1))+1)-INDEX(Tables!$A$17:$A$38,MAX(1,MIN(IFERROR(MATCH(AF41,Tables!$A$17:$A$38,1),1),ROWS(Tables!$A$17:$A$38)-1))))),IF(AC41=500,(INDEX(Tables!$D$17:$D$38,MAX(1,MIN(IFERROR(MATCH(AF41,Tables!$C$17:$C$38,1),1),ROWS(Tables!$C$17:$C$38)-1)))+(AF41-INDEX(Tables!$C$17:$C$38,MAX(1,MIN(IFERROR(MATCH(AF41,Tables!$C$17:$C$38,1),1),ROWS(Tables!$C$17:$C$38)-1))))*(INDEX(Tables!$D$17:$D$38,MAX(1,MIN(IFERROR(MATCH(AF41,Tables!$C$17:$C$38,1),1),ROWS(Tables!$C$17:$C$38)-1))+1)-INDEX(Tables!$D$17:$D$38,MAX(1,MIN(IFERROR(MATCH(AF41,Tables!$C$17:$C$38,1),1),ROWS(Tables!$C$17:$C$38)-1))))/(INDEX(Tables!$C$17:$C$38,MAX(1,MIN(IFERROR(MATCH(AF41,Tables!$C$17:$C$38,1),1),ROWS(Tables!$C$17:$C$38)-1))+1)-INDEX(Tables!$C$17:$C$38,MAX(1,MIN(IFERROR(MATCH(AF41,Tables!$C$17:$C$38,1),1),ROWS(Tables!$C$17:$C$38)-1))))),IF(AC41=1000,(INDEX(Tables!$F$17:$F$38,MAX(1,MIN(IFERROR(MATCH(AF41,Tables!$E$17:$E$38,1),1),ROWS(Tables!$E$17:$E$38)-1)))+(AF41-INDEX(Tables!$E$17:$E$38,MAX(1,MIN(IFERROR(MATCH(AF41,Tables!$E$17:$E$38,1),1),ROWS(Tables!$E$17:$E$38)-1))))*(INDEX(Tables!$F$17:$F$38,MAX(1,MIN(IFERROR(MATCH(AF41,Tables!$E$17:$E$38,1),1),ROWS(Tables!$E$17:$E$38)-1))+1)-INDEX(Tables!$F$17:$F$38,MAX(1,MIN(IFERROR(MATCH(AF41,Tables!$E$17:$E$38,1),1),ROWS(Tables!$E$17:$E$38)-1))))/(INDEX(Tables!$E$17:$E$38,MAX(1,MIN(IFERROR(MATCH(AF41,Tables!$E$17:$E$38,1),1),ROWS(Tables!$E$17:$E$38)-1))+1)-INDEX(Tables!$E$17:$E$38,MAX(1,MIN(IFERROR(MATCH(AF41,Tables!$E$17:$E$38,1),1),ROWS(Tables!$E$17:$E$38)-1))))),(INDEX(Tables!$H$17:$H$38,MAX(1,MIN(IFERROR(MATCH(AF41,Tables!$G$17:$G$38,1),1),ROWS(Tables!$G$17:$G$38)-1)))+(AF41-INDEX(Tables!$G$17:$G$38,MAX(1,MIN(IFERROR(MATCH(AF41,Tables!$G$17:$G$38,1),1),ROWS(Tables!$G$17:$G$38)-1))))*(INDEX(Tables!$H$17:$H$38,MAX(1,MIN(IFERROR(MATCH(AF41,Tables!$G$17:$G$38,1),1),ROWS(Tables!$G$17:$G$38)-1))+1)-INDEX(Tables!$H$17:$H$38,MAX(1,MIN(IFERROR(MATCH(AF41,Tables!$G$17:$G$38,1),1),ROWS(Tables!$G$17:$G$38)-1))))/(INDEX(Tables!$G$17:$G$38,MAX(1,MIN(IFERROR(MATCH(AF41,Tables!$G$17:$G$38,1),1),ROWS(Tables!$G$17:$G$38)-1))+1)-INDEX(Tables!$G$17:$G$38,MAX(1,MIN(IFERROR(MATCH(AF41,Tables!$G$17:$G$38,1),1),ROWS(Tables!$G$17:$G$38)-1))))))))</f>
        <v>1965.3166666666666</v>
      </c>
      <c r="AL41" s="181">
        <f>IF(AC41&lt;1000,(INDEX(Tables!$B$43:$B$76,MAX(1,MIN(IFERROR(MATCH(AG41,Tables!$A$43:$A$76,1),1),ROWS(Tables!$A$43:$A$76)-1)))+(AG41-INDEX(Tables!$A$43:$A$76,MAX(1,MIN(IFERROR(MATCH(AG41,Tables!$A$43:$A$76,1),1),ROWS(Tables!$A$43:$A$76)-1))))*(INDEX(Tables!$B$43:$B$76,MAX(1,MIN(IFERROR(MATCH(AG41,Tables!$A$43:$A$76,1),1),ROWS(Tables!$A$43:$A$76)-1))+1)-INDEX(Tables!$B$43:$B$76,MAX(1,MIN(IFERROR(MATCH(AG41,Tables!$A$43:$A$76,1),1),ROWS(Tables!$A$43:$A$76)-1))))/(INDEX(Tables!$A$43:$A$76,MAX(1,MIN(IFERROR(MATCH(AG41,Tables!$A$43:$A$76,1),1),ROWS(Tables!$A$43:$A$76)-1))+1)-INDEX(Tables!$A$43:$A$76,MAX(1,MIN(IFERROR(MATCH(AG41,Tables!$A$43:$A$76,1),1),ROWS(Tables!$A$43:$A$76)-1))))),(INDEX(Tables!$D$43:$D$76,MAX(1,MIN(IFERROR(MATCH(AG41,Tables!$C$43:$C$76,1),1),ROWS(Tables!$C$43:$C$76)-1)))+(AG41-INDEX(Tables!$C$43:$C$76,MAX(1,MIN(IFERROR(MATCH(AG41,Tables!$C$43:$C$76,1),1),ROWS(Tables!$C$43:$C$76)-1))))*(INDEX(Tables!$D$43:$D$76,MAX(1,MIN(IFERROR(MATCH(AG41,Tables!$C$43:$C$76,1),1),ROWS(Tables!$C$43:$C$76)-1))+1)-INDEX(Tables!$D$43:$D$76,MAX(1,MIN(IFERROR(MATCH(AG41,Tables!$C$43:$C$76,1),1),ROWS(Tables!$C$43:$C$76)-1))))/(INDEX(Tables!$C$43:$C$76,MAX(1,MIN(IFERROR(MATCH(AG41,Tables!$C$43:$C$76,1),1),ROWS(Tables!$C$43:$C$76)-1))+1)-INDEX(Tables!$C$43:$C$76,MAX(1,MIN(IFERROR(MATCH(AG41,Tables!$C$43:$C$76,1),1),ROWS(Tables!$C$43:$C$76)-1))))))</f>
        <v>1.0408461538461538</v>
      </c>
      <c r="AM41" s="181">
        <f>(INDEX(Tables!$B$80:$B$87,MAX(1,MIN(IFERROR(MATCH(AH41,Tables!$A$80:$A$87,1),1),ROWS(Tables!$A$80:$A$87)-1)))+(AH41-INDEX(Tables!$A$80:$A$87,MAX(1,MIN(IFERROR(MATCH(AH41,Tables!$A$80:$A$87,1),1),ROWS(Tables!$A$80:$A$87)-1))))*(INDEX(Tables!$B$80:$B$87,MAX(1,MIN(IFERROR(MATCH(AH41,Tables!$A$80:$A$87,1),1),ROWS(Tables!$A$80:$A$87)-1))+1)-INDEX(Tables!$B$80:$B$87,MAX(1,MIN(IFERROR(MATCH(AH41,Tables!$A$80:$A$87,1),1),ROWS(Tables!$A$80:$A$87)-1))))/(INDEX(Tables!$A$80:$A$87,MAX(1,MIN(IFERROR(MATCH(AH41,Tables!$A$80:$A$87,1),1),ROWS(Tables!$A$80:$A$87)-1))+1)-INDEX(Tables!$A$80:$A$87,MAX(1,MIN(IFERROR(MATCH(AH41,Tables!$A$80:$A$87,1),1),ROWS(Tables!$A$80:$A$87)-1)))))</f>
        <v>0.96739999999999982</v>
      </c>
      <c r="AN41" s="181">
        <f t="shared" si="39"/>
        <v>3298.1766413645291</v>
      </c>
      <c r="AO41" s="181">
        <f>(INDEX(Tables!$B$91:$B$94,MAX(1,MIN(IFERROR(MATCH(P41,Tables!$A$91:$A$94,1),1),ROWS(Tables!$A$91:$A$94)-1)))+(P41-INDEX(Tables!$A$91:$A$94,MAX(1,MIN(IFERROR(MATCH(P41,Tables!$A$91:$A$94,1),1),ROWS(Tables!$A$91:$A$94)-1))))*(INDEX(Tables!$B$91:$B$94,MAX(1,MIN(IFERROR(MATCH(P41,Tables!$A$91:$A$94,1),1),ROWS(Tables!$A$91:$A$94)-1))+1)-INDEX(Tables!$B$91:$B$94,MAX(1,MIN(IFERROR(MATCH(P41,Tables!$A$91:$A$94,1),1),ROWS(Tables!$A$91:$A$94)-1))))/(INDEX(Tables!$A$91:$A$94,MAX(1,MIN(IFERROR(MATCH(P41,Tables!$A$91:$A$94,1),1),ROWS(Tables!$A$91:$A$94)-1))+1)-INDEX(Tables!$A$91:$A$94,MAX(1,MIN(IFERROR(MATCH(P41,Tables!$A$91:$A$94,1),1),ROWS(Tables!$A$91:$A$94)-1)))))</f>
        <v>1.3542682926829268</v>
      </c>
      <c r="AP41" s="181">
        <f>IF(AD41=5000,(INDEX(Tables!$B$99:$B$118,MAX(1,MIN(IFERROR(MATCH(AF41,Tables!$A$99:$A$118,1),1),ROWS(Tables!$A$99:$A$118)-1)))+(AF41-INDEX(Tables!$A$99:$A$118,MAX(1,MIN(IFERROR(MATCH(AF41,Tables!$A$99:$A$118,1),1),ROWS(Tables!$A$99:$A$118)-1))))*(INDEX(Tables!$B$99:$B$118,MAX(1,MIN(IFERROR(MATCH(AF41,Tables!$A$99:$A$118,1),1),ROWS(Tables!$A$99:$A$118)-1))+1)-INDEX(Tables!$B$99:$B$118,MAX(1,MIN(IFERROR(MATCH(AF41,Tables!$A$99:$A$118,1),1),ROWS(Tables!$A$99:$A$118)-1))))/(INDEX(Tables!$A$99:$A$118,MAX(1,MIN(IFERROR(MATCH(AF41,Tables!$A$99:$A$118,1),1),ROWS(Tables!$A$99:$A$118)-1))+1)-INDEX(Tables!$A$99:$A$118,MAX(1,MIN(IFERROR(MATCH(AF41,Tables!$A$99:$A$118,1),1),ROWS(Tables!$A$99:$A$118)-1))))),IF(AD41=10000,(INDEX(Tables!$D$99:$D$118,MAX(1,MIN(IFERROR(MATCH(AF41,Tables!$C$99:$C$118,1),1),ROWS(Tables!$C$99:$C$118)-1)))+(AF41-INDEX(Tables!$C$99:$C$118,MAX(1,MIN(IFERROR(MATCH(AF41,Tables!$C$99:$C$118,1),1),ROWS(Tables!$C$99:$C$118)-1))))*(INDEX(Tables!$D$99:$D$118,MAX(1,MIN(IFERROR(MATCH(AF41,Tables!$C$99:$C$118,1),1),ROWS(Tables!$C$99:$C$118)-1))+1)-INDEX(Tables!$D$99:$D$118,MAX(1,MIN(IFERROR(MATCH(AF41,Tables!$C$99:$C$118,1),1),ROWS(Tables!$C$99:$C$118)-1))))/(INDEX(Tables!$C$99:$C$118,MAX(1,MIN(IFERROR(MATCH(AF41,Tables!$C$99:$C$118,1),1),ROWS(Tables!$C$99:$C$118)-1))+1)-INDEX(Tables!$C$99:$C$118,MAX(1,MIN(IFERROR(MATCH(AF41,Tables!$C$99:$C$118,1),1),ROWS(Tables!$C$99:$C$118)-1))))),(INDEX(Tables!$F$99:$F$118,MAX(1,MIN(IFERROR(MATCH(AF41,Tables!$E$99:$E$118,1),1),ROWS(Tables!$E$99:$E$118)-1)))+(AF41-INDEX(Tables!$E$99:$E$118,MAX(1,MIN(IFERROR(MATCH(AF41,Tables!$E$99:$E$118,1),1),ROWS(Tables!$E$99:$E$118)-1))))*(INDEX(Tables!$F$99:$F$118,MAX(1,MIN(IFERROR(MATCH(AF41,Tables!$E$99:$E$118,1),1),ROWS(Tables!$E$99:$E$118)-1))+1)-INDEX(Tables!$F$99:$F$118,MAX(1,MIN(IFERROR(MATCH(AF41,Tables!$E$99:$E$118,1),1),ROWS(Tables!$E$99:$E$118)-1))))/(INDEX(Tables!$E$99:$E$118,MAX(1,MIN(IFERROR(MATCH(AF41,Tables!$E$99:$E$118,1),1),ROWS(Tables!$E$99:$E$118)-1))+1)-INDEX(Tables!$E$99:$E$118,MAX(1,MIN(IFERROR(MATCH(AF41,Tables!$E$99:$E$118,1),1),ROWS(Tables!$E$99:$E$118)-1)))))))</f>
        <v>17.686755937755937</v>
      </c>
      <c r="AQ41" s="181">
        <f>IF(P41&lt;6,(INDEX(Tables!$B$123:$B$138,MAX(1,MIN(IFERROR(MATCH(U41,Tables!$A$123:$A$138,1),1),ROWS(Tables!$A$123:$A$138)-1)))+(U41-INDEX(Tables!$A$123:$A$138,MAX(1,MIN(IFERROR(MATCH(U41,Tables!$A$123:$A$138,1),1),ROWS(Tables!$A$123:$A$138)-1))))*(INDEX(Tables!$B$123:$B$138,MAX(1,MIN(IFERROR(MATCH(U41,Tables!$A$123:$A$138,1),1),ROWS(Tables!$A$123:$A$138)-1))+1)-INDEX(Tables!$B$123:$B$138,MAX(1,MIN(IFERROR(MATCH(U41,Tables!$A$123:$A$138,1),1),ROWS(Tables!$A$123:$A$138)-1))))/(INDEX(Tables!$A$123:$A$138,MAX(1,MIN(IFERROR(MATCH(U41,Tables!$A$123:$A$138,1),1),ROWS(Tables!$A$123:$A$138)-1))+1)-INDEX(Tables!$A$123:$A$138,MAX(1,MIN(IFERROR(MATCH(U41,Tables!$A$123:$A$138,1),1),ROWS(Tables!$A$123:$A$138)-1))))),IF(P41&lt;8,(INDEX(Tables!$D$123:$D$138,MAX(1,MIN(IFERROR(MATCH(U41,Tables!$C$123:$C$138,1),1),ROWS(Tables!$C$123:$C$138)-1)))+(U41-INDEX(Tables!$C$123:$C$138,MAX(1,MIN(IFERROR(MATCH(U41,Tables!$C$123:$C$138,1),1),ROWS(Tables!$C$123:$C$138)-1))))*(INDEX(Tables!$D$123:$D$138,MAX(1,MIN(IFERROR(MATCH(U41,Tables!$C$123:$C$138,1),1),ROWS(Tables!$C$123:$C$138)-1))+1)-INDEX(Tables!$D$123:$D$138,MAX(1,MIN(IFERROR(MATCH(U41,Tables!$C$123:$C$138,1),1),ROWS(Tables!$C$123:$C$138)-1))))/(INDEX(Tables!$C$123:$C$138,MAX(1,MIN(IFERROR(MATCH(U41,Tables!$C$123:$C$138,1),1),ROWS(Tables!$C$123:$C$138)-1))+1)-INDEX(Tables!$C$123:$C$138,MAX(1,MIN(IFERROR(MATCH(U41,Tables!$C$123:$C$138,1),1),ROWS(Tables!$C$123:$C$138)-1))))),IF(P41&lt;10,(INDEX(Tables!$F$123:$F$138,MAX(1,MIN(IFERROR(MATCH(U41,Tables!$E$123:$E$138,1),1),ROWS(Tables!$E$123:$E$138)-1)))+(U41-INDEX(Tables!$E$123:$E$138,MAX(1,MIN(IFERROR(MATCH(U41,Tables!$E$123:$E$138,1),1),ROWS(Tables!$E$123:$E$138)-1))))*(INDEX(Tables!$F$123:$F$138,MAX(1,MIN(IFERROR(MATCH(U41,Tables!$E$123:$E$138,1),1),ROWS(Tables!$E$123:$E$138)-1))+1)-INDEX(Tables!$F$123:$F$138,MAX(1,MIN(IFERROR(MATCH(U41,Tables!$E$123:$E$138,1),1),ROWS(Tables!$E$123:$E$138)-1))))/(INDEX(Tables!$E$123:$E$138,MAX(1,MIN(IFERROR(MATCH(U41,Tables!$E$123:$E$138,1),1),ROWS(Tables!$E$123:$E$138)-1))+1)-INDEX(Tables!$E$123:$E$138,MAX(1,MIN(IFERROR(MATCH(U41,Tables!$E$123:$E$138,1),1),ROWS(Tables!$E$123:$E$138)-1))))),(INDEX(Tables!$H$123:$H$138,MAX(1,MIN(IFERROR(MATCH(U41,Tables!$G$123:$G$138,1),1),ROWS(Tables!$G$123:$G$138)-1)))+(U41-INDEX(Tables!$G$123:$G$138,MAX(1,MIN(IFERROR(MATCH(U41,Tables!$G$123:$G$138,1),1),ROWS(Tables!$G$123:$G$138)-1))))*(INDEX(Tables!$H$123:$H$138,MAX(1,MIN(IFERROR(MATCH(U41,Tables!$G$123:$G$138,1),1),ROWS(Tables!$G$123:$G$138)-1))+1)-INDEX(Tables!$H$123:$H$138,MAX(1,MIN(IFERROR(MATCH(U41,Tables!$G$123:$G$138,1),1),ROWS(Tables!$G$123:$G$138)-1))))/(INDEX(Tables!$G$123:$G$138,MAX(1,MIN(IFERROR(MATCH(U41,Tables!$G$123:$G$138,1),1),ROWS(Tables!$G$123:$G$138)-1))+1)-INDEX(Tables!$G$123:$G$138,MAX(1,MIN(IFERROR(MATCH(U41,Tables!$G$123:$G$138,1),1),ROWS(Tables!$G$123:$G$138)-1))))))))</f>
        <v>0.57750000000000001</v>
      </c>
      <c r="AR41" s="181">
        <f>IF(OR(P41&gt;=4,U41&gt;12),VLOOKUP(R41&amp;" "&amp;S41,Tables!$D$143:$F$148,2,FALSE),VLOOKUP(R41&amp;" "&amp;S41,Tables!$A$143:$C$148,2,FALSE))</f>
        <v>1.1000000000000001</v>
      </c>
      <c r="AS41" s="181">
        <f>IF(OR(P41&gt;=4,U41&gt;12),VLOOKUP(R41&amp;" "&amp;S41,Tables!$D$143:$F$148,3,FALSE),VLOOKUP(R41&amp;" "&amp;S41,Tables!$A$143:$C$148,3,FALSE))</f>
        <v>1</v>
      </c>
      <c r="AT41" s="181">
        <f t="shared" si="40"/>
        <v>1056.6595319575483</v>
      </c>
      <c r="AU41" s="181">
        <f>IF(AD41=5000,(INDEX(Tables!$B$244:$B$263,MAX(1,MIN(IFERROR(MATCH(AF41,Tables!$A$244:$A$263,1),1),ROWS(Tables!$A$244:$A$263)-1)))+(AF41-INDEX(Tables!$A$244:$A$263,MAX(1,MIN(IFERROR(MATCH(AF41,Tables!$A$244:$A$263,1),1),ROWS(Tables!$A$244:$A$263)-1))))*(INDEX(Tables!$B$244:$B$263,MAX(1,MIN(IFERROR(MATCH(AF41,Tables!$A$244:$A$263,1),1),ROWS(Tables!$A$244:$A$263)-1))+1)-INDEX(Tables!$B$244:$B$263,MAX(1,MIN(IFERROR(MATCH(AF41,Tables!$A$244:$A$263,1),1),ROWS(Tables!$A$244:$A$263)-1))))/(INDEX(Tables!$A$244:$A$263,MAX(1,MIN(IFERROR(MATCH(AF41,Tables!$A$244:$A$263,1),1),ROWS(Tables!$A$244:$A$263)-1))+1)-INDEX(Tables!$A$244:$A$263,MAX(1,MIN(IFERROR(MATCH(AF41,Tables!$A$244:$A$263,1),1),ROWS(Tables!$A$244:$A$263)-1))))),IF(AD41=10000,(INDEX(Tables!$D$244:$D$263,MAX(1,MIN(IFERROR(MATCH(AF41,Tables!$C$244:$C$263,1),1),ROWS(Tables!$C$244:$C$263)-1)))+(AF41-INDEX(Tables!$C$244:$C$263,MAX(1,MIN(IFERROR(MATCH(AF41,Tables!$C$244:$C$263,1),1),ROWS(Tables!$C$244:$C$263)-1))))*(INDEX(Tables!$D$244:$D$263,MAX(1,MIN(IFERROR(MATCH(AF41,Tables!$C$244:$C$263,1),1),ROWS(Tables!$C$244:$C$263)-1))+1)-INDEX(Tables!$D$244:$D$263,MAX(1,MIN(IFERROR(MATCH(AF41,Tables!$C$244:$C$263,1),1),ROWS(Tables!$C$244:$C$263)-1))))/(INDEX(Tables!$C$244:$C$263,MAX(1,MIN(IFERROR(MATCH(AF41,Tables!$C$244:$C$263,1),1),ROWS(Tables!$C$244:$C$263)-1))+1)-INDEX(Tables!$C$244:$C$263,MAX(1,MIN(IFERROR(MATCH(AF41,Tables!$C$244:$C$263,1),1),ROWS(Tables!$C$244:$C$263)-1))))),(INDEX(Tables!$F$244:$F$263,MAX(1,MIN(IFERROR(MATCH(AF41,Tables!$E$244:$E$263,1),1),ROWS(Tables!$E$244:$E$263)-1)))+(AF41-INDEX(Tables!$E$244:$E$263,MAX(1,MIN(IFERROR(MATCH(AF41,Tables!$E$244:$E$263,1),1),ROWS(Tables!$E$244:$E$263)-1))))*(INDEX(Tables!$F$244:$F$263,MAX(1,MIN(IFERROR(MATCH(AF41,Tables!$E$244:$E$263,1),1),ROWS(Tables!$E$244:$E$263)-1))+1)-INDEX(Tables!$F$244:$F$263,MAX(1,MIN(IFERROR(MATCH(AF41,Tables!$E$244:$E$263,1),1),ROWS(Tables!$E$244:$E$263)-1))))/(INDEX(Tables!$E$244:$E$263,MAX(1,MIN(IFERROR(MATCH(AF41,Tables!$E$244:$E$263,1),1),ROWS(Tables!$E$244:$E$263)-1))+1)-INDEX(Tables!$E$244:$E$263,MAX(1,MIN(IFERROR(MATCH(AF41,Tables!$E$244:$E$263,1),1),ROWS(Tables!$E$244:$E$263)-1)))))))</f>
        <v>13.628550000000001</v>
      </c>
      <c r="AV41" s="181">
        <f>IF(P41&lt;6,(INDEX(Tables!$B$260:$B$274,MAX(1,MIN(IFERROR(MATCH(U41,Tables!$A$260:$A$274,1),1),ROWS(Tables!$A$260:$A$274)-1)))+(U41-INDEX(Tables!$A$260:$A$274,MAX(1,MIN(IFERROR(MATCH(U41,Tables!$A$260:$A$274,1),1),ROWS(Tables!$A$260:$A$274)-1))))*(INDEX(Tables!$B$260:$B$274,MAX(1,MIN(IFERROR(MATCH(U41,Tables!$A$260:$A$274,1),1),ROWS(Tables!$A$260:$A$274)-1))+1)-INDEX(Tables!$B$260:$B$274,MAX(1,MIN(IFERROR(MATCH(U41,Tables!$A$260:$A$274,1),1),ROWS(Tables!$A$260:$A$274)-1))))/(INDEX(Tables!$A$260:$A$274,MAX(1,MIN(IFERROR(MATCH(U41,Tables!$A$260:$A$274,1),1),ROWS(Tables!$A$260:$A$274)-1))+1)-INDEX(Tables!$A$260:$A$274,MAX(1,MIN(IFERROR(MATCH(U41,Tables!$A$260:$A$274,1),1),ROWS(Tables!$A$260:$A$274)-1))))),IF(P41&lt;8,(INDEX(Tables!$D$260:$D$274,MAX(1,MIN(IFERROR(MATCH(U41,Tables!$C$260:$C$274,1),1),ROWS(Tables!$C$260:$C$274)-1)))+(U41-INDEX(Tables!$C$260:$C$274,MAX(1,MIN(IFERROR(MATCH(U41,Tables!$C$260:$C$274,1),1),ROWS(Tables!$C$260:$C$274)-1))))*(INDEX(Tables!$D$260:$D$274,MAX(1,MIN(IFERROR(MATCH(U41,Tables!$C$260:$C$274,1),1),ROWS(Tables!$C$260:$C$274)-1))+1)-INDEX(Tables!$D$260:$D$274,MAX(1,MIN(IFERROR(MATCH(U41,Tables!$C$260:$C$274,1),1),ROWS(Tables!$C$260:$C$274)-1))))/(INDEX(Tables!$C$260:$C$274,MAX(1,MIN(IFERROR(MATCH(U41,Tables!$C$260:$C$274,1),1),ROWS(Tables!$C$260:$C$274)-1))+1)-INDEX(Tables!$C$260:$C$274,MAX(1,MIN(IFERROR(MATCH(U41,Tables!$C$260:$C$274,1),1),ROWS(Tables!$C$260:$C$274)-1))))),IF(P41&lt;10,(INDEX(Tables!$F$260:$F$274,MAX(1,MIN(IFERROR(MATCH(U41,Tables!$E$260:$E$274,1),1),ROWS(Tables!$E$260:$E$274)-1)))+(U41-INDEX(Tables!$E$260:$E$274,MAX(1,MIN(IFERROR(MATCH(U41,Tables!$E$260:$E$274,1),1),ROWS(Tables!$E$260:$E$274)-1))))*(INDEX(Tables!$F$260:$F$274,MAX(1,MIN(IFERROR(MATCH(U41,Tables!$E$260:$E$274,1),1),ROWS(Tables!$E$260:$E$274)-1))+1)-INDEX(Tables!$F$260:$F$274,MAX(1,MIN(IFERROR(MATCH(U41,Tables!$E$260:$E$274,1),1),ROWS(Tables!$E$260:$E$274)-1))))/(INDEX(Tables!$E$260:$E$274,MAX(1,MIN(IFERROR(MATCH(U41,Tables!$E$260:$E$274,1),1),ROWS(Tables!$E$260:$E$274)-1))+1)-INDEX(Tables!$E$260:$E$274,MAX(1,MIN(IFERROR(MATCH(U41,Tables!$E$260:$E$274,1),1),ROWS(Tables!$E$260:$E$274)-1))))),(INDEX(Tables!$H$260:$H$274,MAX(1,MIN(IFERROR(MATCH(U41,Tables!$G$260:$G$274,1),1),ROWS(Tables!$G$260:$G$274)-1)))+(U41-INDEX(Tables!$G$260:$G$274,MAX(1,MIN(IFERROR(MATCH(U41,Tables!$G$260:$G$274,1),1),ROWS(Tables!$G$260:$G$274)-1))))*(INDEX(Tables!$H$260:$H$274,MAX(1,MIN(IFERROR(MATCH(U41,Tables!$G$260:$G$274,1),1),ROWS(Tables!$G$260:$G$274)-1))+1)-INDEX(Tables!$H$260:$H$274,MAX(1,MIN(IFERROR(MATCH(U41,Tables!$G$260:$G$274,1),1),ROWS(Tables!$G$260:$G$274)-1))))/(INDEX(Tables!$G$260:$G$274,MAX(1,MIN(IFERROR(MATCH(U41,Tables!$G$260:$G$274,1),1),ROWS(Tables!$G$260:$G$274)-1))+1)-INDEX(Tables!$G$260:$G$274,MAX(1,MIN(IFERROR(MATCH(U41,Tables!$G$260:$G$274,1),1),ROWS(Tables!$G$260:$G$274)-1))))))))</f>
        <v>0.64533333333333331</v>
      </c>
      <c r="AW41" s="181">
        <f t="shared" si="41"/>
        <v>909.84759961720874</v>
      </c>
      <c r="AX41" s="181">
        <f t="shared" si="42"/>
        <v>30027.330960854091</v>
      </c>
      <c r="AY41" s="181">
        <f t="shared" si="43"/>
        <v>34382.167134176168</v>
      </c>
      <c r="AZ41" s="181">
        <f t="shared" si="44"/>
        <v>10907.499880282794</v>
      </c>
      <c r="BA41" s="181">
        <f t="shared" si="45"/>
        <v>-1440</v>
      </c>
      <c r="BB41" s="181">
        <f t="shared" si="46"/>
        <v>31517.83950529802</v>
      </c>
      <c r="BC41" s="181">
        <f t="shared" si="47"/>
        <v>46800</v>
      </c>
      <c r="BD41" s="181">
        <f>VLOOKUP(V41&amp;" "&amp;J41,Tables!$A$152:$E$239,4,FALSE)</f>
        <v>12000</v>
      </c>
      <c r="BE41" s="181">
        <f>VLOOKUP(V41&amp;" "&amp;J41,Tables!$A$152:$E$239,5,FALSE)</f>
        <v>23000</v>
      </c>
      <c r="BF41" s="181">
        <f t="shared" si="48"/>
        <v>8640</v>
      </c>
      <c r="BG41" s="181">
        <f t="shared" si="49"/>
        <v>16560</v>
      </c>
      <c r="BH41" s="181">
        <f t="shared" si="50"/>
        <v>30747.330960854091</v>
      </c>
      <c r="BI41" s="181">
        <f t="shared" si="51"/>
        <v>46800</v>
      </c>
      <c r="BJ41" s="181">
        <f t="shared" si="52"/>
        <v>31517.83950529802</v>
      </c>
      <c r="BK41" s="181">
        <f t="shared" si="53"/>
        <v>46800</v>
      </c>
      <c r="BL41" s="181">
        <f t="shared" si="54"/>
        <v>909.84759961720874</v>
      </c>
      <c r="BM41" s="181">
        <f t="shared" si="55"/>
        <v>8640</v>
      </c>
      <c r="BN41" s="181">
        <f t="shared" si="56"/>
        <v>1056.6595319575483</v>
      </c>
      <c r="BO41" s="181">
        <f t="shared" si="57"/>
        <v>16560</v>
      </c>
      <c r="BP41" t="str">
        <f t="shared" si="58"/>
        <v>Pass</v>
      </c>
      <c r="BQ41" t="str">
        <f t="shared" si="59"/>
        <v>Pass</v>
      </c>
      <c r="BR41" t="str">
        <f t="shared" si="60"/>
        <v>Pass</v>
      </c>
      <c r="BS41" t="str">
        <f t="shared" si="61"/>
        <v>Pass</v>
      </c>
      <c r="BT41" t="str">
        <f t="shared" si="62"/>
        <v>Pass</v>
      </c>
      <c r="BU41" t="str">
        <f t="shared" si="63"/>
        <v>Effective Stress</v>
      </c>
    </row>
    <row r="42" spans="1:73">
      <c r="A42" t="s">
        <v>634</v>
      </c>
      <c r="B42" s="181">
        <v>40</v>
      </c>
      <c r="C42" t="s">
        <v>594</v>
      </c>
      <c r="D42" s="181">
        <v>36</v>
      </c>
      <c r="E42" s="181">
        <v>0.5</v>
      </c>
      <c r="F42" t="s">
        <v>117</v>
      </c>
      <c r="G42" t="s">
        <v>119</v>
      </c>
      <c r="H42" t="s">
        <v>122</v>
      </c>
      <c r="I42" s="181">
        <v>1</v>
      </c>
      <c r="J42" t="s">
        <v>126</v>
      </c>
      <c r="K42" t="s">
        <v>129</v>
      </c>
      <c r="L42" s="181">
        <v>70</v>
      </c>
      <c r="M42" s="181">
        <v>1440</v>
      </c>
      <c r="N42" t="s">
        <v>141</v>
      </c>
      <c r="O42" s="181">
        <v>120</v>
      </c>
      <c r="P42" s="181">
        <v>14</v>
      </c>
      <c r="Q42" s="181">
        <v>38</v>
      </c>
      <c r="R42" t="s">
        <v>417</v>
      </c>
      <c r="S42" t="s">
        <v>156</v>
      </c>
      <c r="T42" s="181">
        <v>70</v>
      </c>
      <c r="U42" s="181">
        <f>HLOOKUP(D42,'Highway Loading'!$C$155:$AD$156,2,FALSE)</f>
        <v>36</v>
      </c>
      <c r="V42" s="181">
        <f>IF(ISBLANK(G42),"",INDEX('Highway Loading'!$C$216:$AG$216,1,MATCH(G42,'Highway Loading'!$C$215:$AG$215,0)))</f>
        <v>65000</v>
      </c>
      <c r="W42" s="181">
        <f>INDEX('Highway Loading'!$I$245:$L$253,MATCH(H42,'Highway Loading'!$H$245:$H$253,0),MATCH(I42,'Highway Loading'!$I$244:$L$244,0))</f>
        <v>0.72</v>
      </c>
      <c r="X42" s="181">
        <f t="shared" si="32"/>
        <v>1</v>
      </c>
      <c r="Y42" s="181">
        <f>VLOOKUP(K42,'Highway Loading'!$B$283:$E$292,2,FALSE)</f>
        <v>29000000</v>
      </c>
      <c r="Z42" s="181">
        <f>VLOOKUP(K42,'Highway Loading'!$B$283:$E$292,3,FALSE)</f>
        <v>0.3</v>
      </c>
      <c r="AA42" s="181">
        <f>VLOOKUP(K42,'Highway Loading'!$B$283:$E$292,4,FALSE)</f>
        <v>6.4999999999999996E-6</v>
      </c>
      <c r="AB42" s="181">
        <f t="shared" si="33"/>
        <v>1</v>
      </c>
      <c r="AC42" s="181">
        <f>VLOOKUP(N42,'Highway Loading'!$B$256:$D$261,2,FALSE)</f>
        <v>500</v>
      </c>
      <c r="AD42" s="181">
        <f>VLOOKUP(N42,'Highway Loading'!$B$256:$D$261,3,FALSE)</f>
        <v>10000</v>
      </c>
      <c r="AE42" s="181">
        <f>VLOOKUP(S42,'Highway Loading'!$B$340:$C$341,2,FALSE)</f>
        <v>10000</v>
      </c>
      <c r="AF42" s="181">
        <f t="shared" si="34"/>
        <v>1.3888888888888888E-2</v>
      </c>
      <c r="AG42" s="181">
        <f t="shared" si="35"/>
        <v>4.4210526315789478</v>
      </c>
      <c r="AH42" s="181">
        <f t="shared" si="36"/>
        <v>1.0555555555555556</v>
      </c>
      <c r="AI42" s="181">
        <f t="shared" si="37"/>
        <v>51840</v>
      </c>
      <c r="AJ42" s="181">
        <f t="shared" si="38"/>
        <v>46800</v>
      </c>
      <c r="AK42" s="181">
        <f>IF(AC42=200,(INDEX(Tables!$B$17:$B$38,MAX(1,MIN(IFERROR(MATCH(AF42,Tables!$A$17:$A$38,1),1),ROWS(Tables!$A$17:$A$38)-1)))+(AF42-INDEX(Tables!$A$17:$A$38,MAX(1,MIN(IFERROR(MATCH(AF42,Tables!$A$17:$A$38,1),1),ROWS(Tables!$A$17:$A$38)-1))))*(INDEX(Tables!$B$17:$B$38,MAX(1,MIN(IFERROR(MATCH(AF42,Tables!$A$17:$A$38,1),1),ROWS(Tables!$A$17:$A$38)-1))+1)-INDEX(Tables!$B$17:$B$38,MAX(1,MIN(IFERROR(MATCH(AF42,Tables!$A$17:$A$38,1),1),ROWS(Tables!$A$17:$A$38)-1))))/(INDEX(Tables!$A$17:$A$38,MAX(1,MIN(IFERROR(MATCH(AF42,Tables!$A$17:$A$38,1),1),ROWS(Tables!$A$17:$A$38)-1))+1)-INDEX(Tables!$A$17:$A$38,MAX(1,MIN(IFERROR(MATCH(AF42,Tables!$A$17:$A$38,1),1),ROWS(Tables!$A$17:$A$38)-1))))),IF(AC42=500,(INDEX(Tables!$D$17:$D$38,MAX(1,MIN(IFERROR(MATCH(AF42,Tables!$C$17:$C$38,1),1),ROWS(Tables!$C$17:$C$38)-1)))+(AF42-INDEX(Tables!$C$17:$C$38,MAX(1,MIN(IFERROR(MATCH(AF42,Tables!$C$17:$C$38,1),1),ROWS(Tables!$C$17:$C$38)-1))))*(INDEX(Tables!$D$17:$D$38,MAX(1,MIN(IFERROR(MATCH(AF42,Tables!$C$17:$C$38,1),1),ROWS(Tables!$C$17:$C$38)-1))+1)-INDEX(Tables!$D$17:$D$38,MAX(1,MIN(IFERROR(MATCH(AF42,Tables!$C$17:$C$38,1),1),ROWS(Tables!$C$17:$C$38)-1))))/(INDEX(Tables!$C$17:$C$38,MAX(1,MIN(IFERROR(MATCH(AF42,Tables!$C$17:$C$38,1),1),ROWS(Tables!$C$17:$C$38)-1))+1)-INDEX(Tables!$C$17:$C$38,MAX(1,MIN(IFERROR(MATCH(AF42,Tables!$C$17:$C$38,1),1),ROWS(Tables!$C$17:$C$38)-1))))),IF(AC42=1000,(INDEX(Tables!$F$17:$F$38,MAX(1,MIN(IFERROR(MATCH(AF42,Tables!$E$17:$E$38,1),1),ROWS(Tables!$E$17:$E$38)-1)))+(AF42-INDEX(Tables!$E$17:$E$38,MAX(1,MIN(IFERROR(MATCH(AF42,Tables!$E$17:$E$38,1),1),ROWS(Tables!$E$17:$E$38)-1))))*(INDEX(Tables!$F$17:$F$38,MAX(1,MIN(IFERROR(MATCH(AF42,Tables!$E$17:$E$38,1),1),ROWS(Tables!$E$17:$E$38)-1))+1)-INDEX(Tables!$F$17:$F$38,MAX(1,MIN(IFERROR(MATCH(AF42,Tables!$E$17:$E$38,1),1),ROWS(Tables!$E$17:$E$38)-1))))/(INDEX(Tables!$E$17:$E$38,MAX(1,MIN(IFERROR(MATCH(AF42,Tables!$E$17:$E$38,1),1),ROWS(Tables!$E$17:$E$38)-1))+1)-INDEX(Tables!$E$17:$E$38,MAX(1,MIN(IFERROR(MATCH(AF42,Tables!$E$17:$E$38,1),1),ROWS(Tables!$E$17:$E$38)-1))))),(INDEX(Tables!$H$17:$H$38,MAX(1,MIN(IFERROR(MATCH(AF42,Tables!$G$17:$G$38,1),1),ROWS(Tables!$G$17:$G$38)-1)))+(AF42-INDEX(Tables!$G$17:$G$38,MAX(1,MIN(IFERROR(MATCH(AF42,Tables!$G$17:$G$38,1),1),ROWS(Tables!$G$17:$G$38)-1))))*(INDEX(Tables!$H$17:$H$38,MAX(1,MIN(IFERROR(MATCH(AF42,Tables!$G$17:$G$38,1),1),ROWS(Tables!$G$17:$G$38)-1))+1)-INDEX(Tables!$H$17:$H$38,MAX(1,MIN(IFERROR(MATCH(AF42,Tables!$G$17:$G$38,1),1),ROWS(Tables!$G$17:$G$38)-1))))/(INDEX(Tables!$G$17:$G$38,MAX(1,MIN(IFERROR(MATCH(AF42,Tables!$G$17:$G$38,1),1),ROWS(Tables!$G$17:$G$38)-1))+1)-INDEX(Tables!$G$17:$G$38,MAX(1,MIN(IFERROR(MATCH(AF42,Tables!$G$17:$G$38,1),1),ROWS(Tables!$G$17:$G$38)-1))))))))</f>
        <v>4780.1111111111113</v>
      </c>
      <c r="AL42" s="181">
        <f>IF(AC42&lt;1000,(INDEX(Tables!$B$43:$B$76,MAX(1,MIN(IFERROR(MATCH(AG42,Tables!$A$43:$A$76,1),1),ROWS(Tables!$A$43:$A$76)-1)))+(AG42-INDEX(Tables!$A$43:$A$76,MAX(1,MIN(IFERROR(MATCH(AG42,Tables!$A$43:$A$76,1),1),ROWS(Tables!$A$43:$A$76)-1))))*(INDEX(Tables!$B$43:$B$76,MAX(1,MIN(IFERROR(MATCH(AG42,Tables!$A$43:$A$76,1),1),ROWS(Tables!$A$43:$A$76)-1))+1)-INDEX(Tables!$B$43:$B$76,MAX(1,MIN(IFERROR(MATCH(AG42,Tables!$A$43:$A$76,1),1),ROWS(Tables!$A$43:$A$76)-1))))/(INDEX(Tables!$A$43:$A$76,MAX(1,MIN(IFERROR(MATCH(AG42,Tables!$A$43:$A$76,1),1),ROWS(Tables!$A$43:$A$76)-1))+1)-INDEX(Tables!$A$43:$A$76,MAX(1,MIN(IFERROR(MATCH(AG42,Tables!$A$43:$A$76,1),1),ROWS(Tables!$A$43:$A$76)-1))))),(INDEX(Tables!$D$43:$D$76,MAX(1,MIN(IFERROR(MATCH(AG42,Tables!$C$43:$C$76,1),1),ROWS(Tables!$C$43:$C$76)-1)))+(AG42-INDEX(Tables!$C$43:$C$76,MAX(1,MIN(IFERROR(MATCH(AG42,Tables!$C$43:$C$76,1),1),ROWS(Tables!$C$43:$C$76)-1))))*(INDEX(Tables!$D$43:$D$76,MAX(1,MIN(IFERROR(MATCH(AG42,Tables!$C$43:$C$76,1),1),ROWS(Tables!$C$43:$C$76)-1))+1)-INDEX(Tables!$D$43:$D$76,MAX(1,MIN(IFERROR(MATCH(AG42,Tables!$C$43:$C$76,1),1),ROWS(Tables!$C$43:$C$76)-1))))/(INDEX(Tables!$C$43:$C$76,MAX(1,MIN(IFERROR(MATCH(AG42,Tables!$C$43:$C$76,1),1),ROWS(Tables!$C$43:$C$76)-1))+1)-INDEX(Tables!$C$43:$C$76,MAX(1,MIN(IFERROR(MATCH(AG42,Tables!$C$43:$C$76,1),1),ROWS(Tables!$C$43:$C$76)-1))))))</f>
        <v>1.022578947368421</v>
      </c>
      <c r="AM42" s="181">
        <f>(INDEX(Tables!$B$80:$B$87,MAX(1,MIN(IFERROR(MATCH(AH42,Tables!$A$80:$A$87,1),1),ROWS(Tables!$A$80:$A$87)-1)))+(AH42-INDEX(Tables!$A$80:$A$87,MAX(1,MIN(IFERROR(MATCH(AH42,Tables!$A$80:$A$87,1),1),ROWS(Tables!$A$80:$A$87)-1))))*(INDEX(Tables!$B$80:$B$87,MAX(1,MIN(IFERROR(MATCH(AH42,Tables!$A$80:$A$87,1),1),ROWS(Tables!$A$80:$A$87)-1))+1)-INDEX(Tables!$B$80:$B$87,MAX(1,MIN(IFERROR(MATCH(AH42,Tables!$A$80:$A$87,1),1),ROWS(Tables!$A$80:$A$87)-1))))/(INDEX(Tables!$A$80:$A$87,MAX(1,MIN(IFERROR(MATCH(AH42,Tables!$A$80:$A$87,1),1),ROWS(Tables!$A$80:$A$87)-1))+1)-INDEX(Tables!$A$80:$A$87,MAX(1,MIN(IFERROR(MATCH(AH42,Tables!$A$80:$A$87,1),1),ROWS(Tables!$A$80:$A$87)-1)))))</f>
        <v>0.91873333333333329</v>
      </c>
      <c r="AN42" s="181">
        <f t="shared" si="39"/>
        <v>11227.015476636454</v>
      </c>
      <c r="AO42" s="181">
        <f>(INDEX(Tables!$B$91:$B$94,MAX(1,MIN(IFERROR(MATCH(P42,Tables!$A$91:$A$94,1),1),ROWS(Tables!$A$91:$A$94)-1)))+(P42-INDEX(Tables!$A$91:$A$94,MAX(1,MIN(IFERROR(MATCH(P42,Tables!$A$91:$A$94,1),1),ROWS(Tables!$A$91:$A$94)-1))))*(INDEX(Tables!$B$91:$B$94,MAX(1,MIN(IFERROR(MATCH(P42,Tables!$A$91:$A$94,1),1),ROWS(Tables!$A$91:$A$94)-1))+1)-INDEX(Tables!$B$91:$B$94,MAX(1,MIN(IFERROR(MATCH(P42,Tables!$A$91:$A$94,1),1),ROWS(Tables!$A$91:$A$94)-1))))/(INDEX(Tables!$A$91:$A$94,MAX(1,MIN(IFERROR(MATCH(P42,Tables!$A$91:$A$94,1),1),ROWS(Tables!$A$91:$A$94)-1))+1)-INDEX(Tables!$A$91:$A$94,MAX(1,MIN(IFERROR(MATCH(P42,Tables!$A$91:$A$94,1),1),ROWS(Tables!$A$91:$A$94)-1)))))</f>
        <v>1.2323170731707318</v>
      </c>
      <c r="AP42" s="181">
        <f>IF(AD42=5000,(INDEX(Tables!$B$99:$B$118,MAX(1,MIN(IFERROR(MATCH(AF42,Tables!$A$99:$A$118,1),1),ROWS(Tables!$A$99:$A$118)-1)))+(AF42-INDEX(Tables!$A$99:$A$118,MAX(1,MIN(IFERROR(MATCH(AF42,Tables!$A$99:$A$118,1),1),ROWS(Tables!$A$99:$A$118)-1))))*(INDEX(Tables!$B$99:$B$118,MAX(1,MIN(IFERROR(MATCH(AF42,Tables!$A$99:$A$118,1),1),ROWS(Tables!$A$99:$A$118)-1))+1)-INDEX(Tables!$B$99:$B$118,MAX(1,MIN(IFERROR(MATCH(AF42,Tables!$A$99:$A$118,1),1),ROWS(Tables!$A$99:$A$118)-1))))/(INDEX(Tables!$A$99:$A$118,MAX(1,MIN(IFERROR(MATCH(AF42,Tables!$A$99:$A$118,1),1),ROWS(Tables!$A$99:$A$118)-1))+1)-INDEX(Tables!$A$99:$A$118,MAX(1,MIN(IFERROR(MATCH(AF42,Tables!$A$99:$A$118,1),1),ROWS(Tables!$A$99:$A$118)-1))))),IF(AD42=10000,(INDEX(Tables!$D$99:$D$118,MAX(1,MIN(IFERROR(MATCH(AF42,Tables!$C$99:$C$118,1),1),ROWS(Tables!$C$99:$C$118)-1)))+(AF42-INDEX(Tables!$C$99:$C$118,MAX(1,MIN(IFERROR(MATCH(AF42,Tables!$C$99:$C$118,1),1),ROWS(Tables!$C$99:$C$118)-1))))*(INDEX(Tables!$D$99:$D$118,MAX(1,MIN(IFERROR(MATCH(AF42,Tables!$C$99:$C$118,1),1),ROWS(Tables!$C$99:$C$118)-1))+1)-INDEX(Tables!$D$99:$D$118,MAX(1,MIN(IFERROR(MATCH(AF42,Tables!$C$99:$C$118,1),1),ROWS(Tables!$C$99:$C$118)-1))))/(INDEX(Tables!$C$99:$C$118,MAX(1,MIN(IFERROR(MATCH(AF42,Tables!$C$99:$C$118,1),1),ROWS(Tables!$C$99:$C$118)-1))+1)-INDEX(Tables!$C$99:$C$118,MAX(1,MIN(IFERROR(MATCH(AF42,Tables!$C$99:$C$118,1),1),ROWS(Tables!$C$99:$C$118)-1))))),(INDEX(Tables!$F$99:$F$118,MAX(1,MIN(IFERROR(MATCH(AF42,Tables!$E$99:$E$118,1),1),ROWS(Tables!$E$99:$E$118)-1)))+(AF42-INDEX(Tables!$E$99:$E$118,MAX(1,MIN(IFERROR(MATCH(AF42,Tables!$E$99:$E$118,1),1),ROWS(Tables!$E$99:$E$118)-1))))*(INDEX(Tables!$F$99:$F$118,MAX(1,MIN(IFERROR(MATCH(AF42,Tables!$E$99:$E$118,1),1),ROWS(Tables!$E$99:$E$118)-1))+1)-INDEX(Tables!$F$99:$F$118,MAX(1,MIN(IFERROR(MATCH(AF42,Tables!$E$99:$E$118,1),1),ROWS(Tables!$E$99:$E$118)-1))))/(INDEX(Tables!$E$99:$E$118,MAX(1,MIN(IFERROR(MATCH(AF42,Tables!$E$99:$E$118,1),1),ROWS(Tables!$E$99:$E$118)-1))+1)-INDEX(Tables!$E$99:$E$118,MAX(1,MIN(IFERROR(MATCH(AF42,Tables!$E$99:$E$118,1),1),ROWS(Tables!$E$99:$E$118)-1)))))))</f>
        <v>14.587918032786884</v>
      </c>
      <c r="AQ42" s="181">
        <f>IF(P42&lt;6,(INDEX(Tables!$B$123:$B$138,MAX(1,MIN(IFERROR(MATCH(U42,Tables!$A$123:$A$138,1),1),ROWS(Tables!$A$123:$A$138)-1)))+(U42-INDEX(Tables!$A$123:$A$138,MAX(1,MIN(IFERROR(MATCH(U42,Tables!$A$123:$A$138,1),1),ROWS(Tables!$A$123:$A$138)-1))))*(INDEX(Tables!$B$123:$B$138,MAX(1,MIN(IFERROR(MATCH(U42,Tables!$A$123:$A$138,1),1),ROWS(Tables!$A$123:$A$138)-1))+1)-INDEX(Tables!$B$123:$B$138,MAX(1,MIN(IFERROR(MATCH(U42,Tables!$A$123:$A$138,1),1),ROWS(Tables!$A$123:$A$138)-1))))/(INDEX(Tables!$A$123:$A$138,MAX(1,MIN(IFERROR(MATCH(U42,Tables!$A$123:$A$138,1),1),ROWS(Tables!$A$123:$A$138)-1))+1)-INDEX(Tables!$A$123:$A$138,MAX(1,MIN(IFERROR(MATCH(U42,Tables!$A$123:$A$138,1),1),ROWS(Tables!$A$123:$A$138)-1))))),IF(P42&lt;8,(INDEX(Tables!$D$123:$D$138,MAX(1,MIN(IFERROR(MATCH(U42,Tables!$C$123:$C$138,1),1),ROWS(Tables!$C$123:$C$138)-1)))+(U42-INDEX(Tables!$C$123:$C$138,MAX(1,MIN(IFERROR(MATCH(U42,Tables!$C$123:$C$138,1),1),ROWS(Tables!$C$123:$C$138)-1))))*(INDEX(Tables!$D$123:$D$138,MAX(1,MIN(IFERROR(MATCH(U42,Tables!$C$123:$C$138,1),1),ROWS(Tables!$C$123:$C$138)-1))+1)-INDEX(Tables!$D$123:$D$138,MAX(1,MIN(IFERROR(MATCH(U42,Tables!$C$123:$C$138,1),1),ROWS(Tables!$C$123:$C$138)-1))))/(INDEX(Tables!$C$123:$C$138,MAX(1,MIN(IFERROR(MATCH(U42,Tables!$C$123:$C$138,1),1),ROWS(Tables!$C$123:$C$138)-1))+1)-INDEX(Tables!$C$123:$C$138,MAX(1,MIN(IFERROR(MATCH(U42,Tables!$C$123:$C$138,1),1),ROWS(Tables!$C$123:$C$138)-1))))),IF(P42&lt;10,(INDEX(Tables!$F$123:$F$138,MAX(1,MIN(IFERROR(MATCH(U42,Tables!$E$123:$E$138,1),1),ROWS(Tables!$E$123:$E$138)-1)))+(U42-INDEX(Tables!$E$123:$E$138,MAX(1,MIN(IFERROR(MATCH(U42,Tables!$E$123:$E$138,1),1),ROWS(Tables!$E$123:$E$138)-1))))*(INDEX(Tables!$F$123:$F$138,MAX(1,MIN(IFERROR(MATCH(U42,Tables!$E$123:$E$138,1),1),ROWS(Tables!$E$123:$E$138)-1))+1)-INDEX(Tables!$F$123:$F$138,MAX(1,MIN(IFERROR(MATCH(U42,Tables!$E$123:$E$138,1),1),ROWS(Tables!$E$123:$E$138)-1))))/(INDEX(Tables!$E$123:$E$138,MAX(1,MIN(IFERROR(MATCH(U42,Tables!$E$123:$E$138,1),1),ROWS(Tables!$E$123:$E$138)-1))+1)-INDEX(Tables!$E$123:$E$138,MAX(1,MIN(IFERROR(MATCH(U42,Tables!$E$123:$E$138,1),1),ROWS(Tables!$E$123:$E$138)-1))))),(INDEX(Tables!$H$123:$H$138,MAX(1,MIN(IFERROR(MATCH(U42,Tables!$G$123:$G$138,1),1),ROWS(Tables!$G$123:$G$138)-1)))+(U42-INDEX(Tables!$G$123:$G$138,MAX(1,MIN(IFERROR(MATCH(U42,Tables!$G$123:$G$138,1),1),ROWS(Tables!$G$123:$G$138)-1))))*(INDEX(Tables!$H$123:$H$138,MAX(1,MIN(IFERROR(MATCH(U42,Tables!$G$123:$G$138,1),1),ROWS(Tables!$G$123:$G$138)-1))+1)-INDEX(Tables!$H$123:$H$138,MAX(1,MIN(IFERROR(MATCH(U42,Tables!$G$123:$G$138,1),1),ROWS(Tables!$G$123:$G$138)-1))))/(INDEX(Tables!$G$123:$G$138,MAX(1,MIN(IFERROR(MATCH(U42,Tables!$G$123:$G$138,1),1),ROWS(Tables!$G$123:$G$138)-1))+1)-INDEX(Tables!$G$123:$G$138,MAX(1,MIN(IFERROR(MATCH(U42,Tables!$G$123:$G$138,1),1),ROWS(Tables!$G$123:$G$138)-1))))))))</f>
        <v>0.50060000000000004</v>
      </c>
      <c r="AR42" s="181">
        <f>IF(OR(P42&gt;=4,U42&gt;12),VLOOKUP(R42&amp;" "&amp;S42,Tables!$D$143:$F$148,2,FALSE),VLOOKUP(R42&amp;" "&amp;S42,Tables!$A$143:$C$148,2,FALSE))</f>
        <v>1.1000000000000001</v>
      </c>
      <c r="AS42" s="181">
        <f>IF(OR(P42&gt;=4,U42&gt;12),VLOOKUP(R42&amp;" "&amp;S42,Tables!$D$143:$F$148,3,FALSE),VLOOKUP(R42&amp;" "&amp;S42,Tables!$A$143:$C$148,3,FALSE))</f>
        <v>1</v>
      </c>
      <c r="AT42" s="181">
        <f t="shared" si="40"/>
        <v>687.44319654858896</v>
      </c>
      <c r="AU42" s="181">
        <f>IF(AD42=5000,(INDEX(Tables!$B$244:$B$263,MAX(1,MIN(IFERROR(MATCH(AF42,Tables!$A$244:$A$263,1),1),ROWS(Tables!$A$244:$A$263)-1)))+(AF42-INDEX(Tables!$A$244:$A$263,MAX(1,MIN(IFERROR(MATCH(AF42,Tables!$A$244:$A$263,1),1),ROWS(Tables!$A$244:$A$263)-1))))*(INDEX(Tables!$B$244:$B$263,MAX(1,MIN(IFERROR(MATCH(AF42,Tables!$A$244:$A$263,1),1),ROWS(Tables!$A$244:$A$263)-1))+1)-INDEX(Tables!$B$244:$B$263,MAX(1,MIN(IFERROR(MATCH(AF42,Tables!$A$244:$A$263,1),1),ROWS(Tables!$A$244:$A$263)-1))))/(INDEX(Tables!$A$244:$A$263,MAX(1,MIN(IFERROR(MATCH(AF42,Tables!$A$244:$A$263,1),1),ROWS(Tables!$A$244:$A$263)-1))+1)-INDEX(Tables!$A$244:$A$263,MAX(1,MIN(IFERROR(MATCH(AF42,Tables!$A$244:$A$263,1),1),ROWS(Tables!$A$244:$A$263)-1))))),IF(AD42=10000,(INDEX(Tables!$D$244:$D$263,MAX(1,MIN(IFERROR(MATCH(AF42,Tables!$C$244:$C$263,1),1),ROWS(Tables!$C$244:$C$263)-1)))+(AF42-INDEX(Tables!$C$244:$C$263,MAX(1,MIN(IFERROR(MATCH(AF42,Tables!$C$244:$C$263,1),1),ROWS(Tables!$C$244:$C$263)-1))))*(INDEX(Tables!$D$244:$D$263,MAX(1,MIN(IFERROR(MATCH(AF42,Tables!$C$244:$C$263,1),1),ROWS(Tables!$C$244:$C$263)-1))+1)-INDEX(Tables!$D$244:$D$263,MAX(1,MIN(IFERROR(MATCH(AF42,Tables!$C$244:$C$263,1),1),ROWS(Tables!$C$244:$C$263)-1))))/(INDEX(Tables!$C$244:$C$263,MAX(1,MIN(IFERROR(MATCH(AF42,Tables!$C$244:$C$263,1),1),ROWS(Tables!$C$244:$C$263)-1))+1)-INDEX(Tables!$C$244:$C$263,MAX(1,MIN(IFERROR(MATCH(AF42,Tables!$C$244:$C$263,1),1),ROWS(Tables!$C$244:$C$263)-1))))),(INDEX(Tables!$F$244:$F$263,MAX(1,MIN(IFERROR(MATCH(AF42,Tables!$E$244:$E$263,1),1),ROWS(Tables!$E$244:$E$263)-1)))+(AF42-INDEX(Tables!$E$244:$E$263,MAX(1,MIN(IFERROR(MATCH(AF42,Tables!$E$244:$E$263,1),1),ROWS(Tables!$E$244:$E$263)-1))))*(INDEX(Tables!$F$244:$F$263,MAX(1,MIN(IFERROR(MATCH(AF42,Tables!$E$244:$E$263,1),1),ROWS(Tables!$E$244:$E$263)-1))+1)-INDEX(Tables!$F$244:$F$263,MAX(1,MIN(IFERROR(MATCH(AF42,Tables!$E$244:$E$263,1),1),ROWS(Tables!$E$244:$E$263)-1))))/(INDEX(Tables!$E$244:$E$263,MAX(1,MIN(IFERROR(MATCH(AF42,Tables!$E$244:$E$263,1),1),ROWS(Tables!$E$244:$E$263)-1))+1)-INDEX(Tables!$E$244:$E$263,MAX(1,MIN(IFERROR(MATCH(AF42,Tables!$E$244:$E$263,1),1),ROWS(Tables!$E$244:$E$263)-1)))))))</f>
        <v>9.9424691358024688</v>
      </c>
      <c r="AV42" s="181">
        <f>IF(P42&lt;6,(INDEX(Tables!$B$260:$B$274,MAX(1,MIN(IFERROR(MATCH(U42,Tables!$A$260:$A$274,1),1),ROWS(Tables!$A$260:$A$274)-1)))+(U42-INDEX(Tables!$A$260:$A$274,MAX(1,MIN(IFERROR(MATCH(U42,Tables!$A$260:$A$274,1),1),ROWS(Tables!$A$260:$A$274)-1))))*(INDEX(Tables!$B$260:$B$274,MAX(1,MIN(IFERROR(MATCH(U42,Tables!$A$260:$A$274,1),1),ROWS(Tables!$A$260:$A$274)-1))+1)-INDEX(Tables!$B$260:$B$274,MAX(1,MIN(IFERROR(MATCH(U42,Tables!$A$260:$A$274,1),1),ROWS(Tables!$A$260:$A$274)-1))))/(INDEX(Tables!$A$260:$A$274,MAX(1,MIN(IFERROR(MATCH(U42,Tables!$A$260:$A$274,1),1),ROWS(Tables!$A$260:$A$274)-1))+1)-INDEX(Tables!$A$260:$A$274,MAX(1,MIN(IFERROR(MATCH(U42,Tables!$A$260:$A$274,1),1),ROWS(Tables!$A$260:$A$274)-1))))),IF(P42&lt;8,(INDEX(Tables!$D$260:$D$274,MAX(1,MIN(IFERROR(MATCH(U42,Tables!$C$260:$C$274,1),1),ROWS(Tables!$C$260:$C$274)-1)))+(U42-INDEX(Tables!$C$260:$C$274,MAX(1,MIN(IFERROR(MATCH(U42,Tables!$C$260:$C$274,1),1),ROWS(Tables!$C$260:$C$274)-1))))*(INDEX(Tables!$D$260:$D$274,MAX(1,MIN(IFERROR(MATCH(U42,Tables!$C$260:$C$274,1),1),ROWS(Tables!$C$260:$C$274)-1))+1)-INDEX(Tables!$D$260:$D$274,MAX(1,MIN(IFERROR(MATCH(U42,Tables!$C$260:$C$274,1),1),ROWS(Tables!$C$260:$C$274)-1))))/(INDEX(Tables!$C$260:$C$274,MAX(1,MIN(IFERROR(MATCH(U42,Tables!$C$260:$C$274,1),1),ROWS(Tables!$C$260:$C$274)-1))+1)-INDEX(Tables!$C$260:$C$274,MAX(1,MIN(IFERROR(MATCH(U42,Tables!$C$260:$C$274,1),1),ROWS(Tables!$C$260:$C$274)-1))))),IF(P42&lt;10,(INDEX(Tables!$F$260:$F$274,MAX(1,MIN(IFERROR(MATCH(U42,Tables!$E$260:$E$274,1),1),ROWS(Tables!$E$260:$E$274)-1)))+(U42-INDEX(Tables!$E$260:$E$274,MAX(1,MIN(IFERROR(MATCH(U42,Tables!$E$260:$E$274,1),1),ROWS(Tables!$E$260:$E$274)-1))))*(INDEX(Tables!$F$260:$F$274,MAX(1,MIN(IFERROR(MATCH(U42,Tables!$E$260:$E$274,1),1),ROWS(Tables!$E$260:$E$274)-1))+1)-INDEX(Tables!$F$260:$F$274,MAX(1,MIN(IFERROR(MATCH(U42,Tables!$E$260:$E$274,1),1),ROWS(Tables!$E$260:$E$274)-1))))/(INDEX(Tables!$E$260:$E$274,MAX(1,MIN(IFERROR(MATCH(U42,Tables!$E$260:$E$274,1),1),ROWS(Tables!$E$260:$E$274)-1))+1)-INDEX(Tables!$E$260:$E$274,MAX(1,MIN(IFERROR(MATCH(U42,Tables!$E$260:$E$274,1),1),ROWS(Tables!$E$260:$E$274)-1))))),(INDEX(Tables!$H$260:$H$274,MAX(1,MIN(IFERROR(MATCH(U42,Tables!$G$260:$G$274,1),1),ROWS(Tables!$G$260:$G$274)-1)))+(U42-INDEX(Tables!$G$260:$G$274,MAX(1,MIN(IFERROR(MATCH(U42,Tables!$G$260:$G$274,1),1),ROWS(Tables!$G$260:$G$274)-1))))*(INDEX(Tables!$H$260:$H$274,MAX(1,MIN(IFERROR(MATCH(U42,Tables!$G$260:$G$274,1),1),ROWS(Tables!$G$260:$G$274)-1))+1)-INDEX(Tables!$H$260:$H$274,MAX(1,MIN(IFERROR(MATCH(U42,Tables!$G$260:$G$274,1),1),ROWS(Tables!$G$260:$G$274)-1))))/(INDEX(Tables!$G$260:$G$274,MAX(1,MIN(IFERROR(MATCH(U42,Tables!$G$260:$G$274,1),1),ROWS(Tables!$G$260:$G$274)-1))+1)-INDEX(Tables!$G$260:$G$274,MAX(1,MIN(IFERROR(MATCH(U42,Tables!$G$260:$G$274,1),1),ROWS(Tables!$G$260:$G$274)-1))))))))</f>
        <v>0.51828571428571424</v>
      </c>
      <c r="AW42" s="181">
        <f t="shared" si="41"/>
        <v>485.08310453379886</v>
      </c>
      <c r="AX42" s="181">
        <f t="shared" si="42"/>
        <v>51120</v>
      </c>
      <c r="AY42" s="181">
        <f t="shared" si="43"/>
        <v>63034.458673185043</v>
      </c>
      <c r="AZ42" s="181">
        <f t="shared" si="44"/>
        <v>19189.187747524735</v>
      </c>
      <c r="BA42" s="181">
        <f t="shared" si="45"/>
        <v>-1440</v>
      </c>
      <c r="BB42" s="181">
        <f t="shared" si="46"/>
        <v>57030.373446381287</v>
      </c>
      <c r="BC42" s="181">
        <f t="shared" si="47"/>
        <v>46800</v>
      </c>
      <c r="BD42" s="181">
        <f>VLOOKUP(V42&amp;" "&amp;J42,Tables!$A$152:$E$239,4,FALSE)</f>
        <v>12000</v>
      </c>
      <c r="BE42" s="181">
        <f>VLOOKUP(V42&amp;" "&amp;J42,Tables!$A$152:$E$239,5,FALSE)</f>
        <v>23000</v>
      </c>
      <c r="BF42" s="181">
        <f t="shared" si="48"/>
        <v>8640</v>
      </c>
      <c r="BG42" s="181">
        <f t="shared" si="49"/>
        <v>16560</v>
      </c>
      <c r="BH42" s="181">
        <f t="shared" si="50"/>
        <v>51840</v>
      </c>
      <c r="BI42" s="181">
        <f t="shared" si="51"/>
        <v>46800</v>
      </c>
      <c r="BJ42" s="181">
        <f t="shared" si="52"/>
        <v>57030.373446381287</v>
      </c>
      <c r="BK42" s="181">
        <f t="shared" si="53"/>
        <v>46800</v>
      </c>
      <c r="BL42" s="181">
        <f t="shared" si="54"/>
        <v>485.08310453379886</v>
      </c>
      <c r="BM42" s="181">
        <f t="shared" si="55"/>
        <v>8640</v>
      </c>
      <c r="BN42" s="181">
        <f t="shared" si="56"/>
        <v>687.44319654858896</v>
      </c>
      <c r="BO42" s="181">
        <f t="shared" si="57"/>
        <v>16560</v>
      </c>
      <c r="BP42" t="str">
        <f t="shared" si="58"/>
        <v>Fail</v>
      </c>
      <c r="BQ42" t="str">
        <f t="shared" si="59"/>
        <v>Fail</v>
      </c>
      <c r="BR42" t="str">
        <f t="shared" si="60"/>
        <v>Pass</v>
      </c>
      <c r="BS42" t="str">
        <f t="shared" si="61"/>
        <v>Pass</v>
      </c>
      <c r="BT42" t="str">
        <f t="shared" si="62"/>
        <v>Fail</v>
      </c>
      <c r="BU42" t="str">
        <f t="shared" si="63"/>
        <v>Effective Stress</v>
      </c>
    </row>
    <row r="43" spans="1:73">
      <c r="A43" t="s">
        <v>635</v>
      </c>
      <c r="B43" s="181">
        <v>41</v>
      </c>
      <c r="C43" t="s">
        <v>594</v>
      </c>
      <c r="D43" s="181">
        <v>48</v>
      </c>
      <c r="E43" s="181">
        <v>0.5</v>
      </c>
      <c r="F43" t="s">
        <v>117</v>
      </c>
      <c r="G43" t="s">
        <v>119</v>
      </c>
      <c r="H43" t="s">
        <v>122</v>
      </c>
      <c r="I43" s="181">
        <v>1</v>
      </c>
      <c r="J43" t="s">
        <v>126</v>
      </c>
      <c r="K43" t="s">
        <v>129</v>
      </c>
      <c r="L43" s="181">
        <v>70</v>
      </c>
      <c r="M43" s="181">
        <v>1440</v>
      </c>
      <c r="N43" t="s">
        <v>141</v>
      </c>
      <c r="O43" s="181">
        <v>120</v>
      </c>
      <c r="P43" s="181">
        <v>30</v>
      </c>
      <c r="Q43" s="181">
        <v>50</v>
      </c>
      <c r="R43" t="s">
        <v>417</v>
      </c>
      <c r="S43" t="s">
        <v>156</v>
      </c>
      <c r="T43" s="181">
        <v>70</v>
      </c>
      <c r="U43" s="181">
        <f>HLOOKUP(D43,'Highway Loading'!$C$155:$AD$156,2,FALSE)</f>
        <v>48</v>
      </c>
      <c r="V43" s="181">
        <f>IF(ISBLANK(G43),"",INDEX('Highway Loading'!$C$216:$AG$216,1,MATCH(G43,'Highway Loading'!$C$215:$AG$215,0)))</f>
        <v>65000</v>
      </c>
      <c r="W43" s="181">
        <f>INDEX('Highway Loading'!$I$245:$L$253,MATCH(H43,'Highway Loading'!$H$245:$H$253,0),MATCH(I43,'Highway Loading'!$I$244:$L$244,0))</f>
        <v>0.72</v>
      </c>
      <c r="X43" s="181">
        <f t="shared" si="32"/>
        <v>1</v>
      </c>
      <c r="Y43" s="181">
        <f>VLOOKUP(K43,'Highway Loading'!$B$283:$E$292,2,FALSE)</f>
        <v>29000000</v>
      </c>
      <c r="Z43" s="181">
        <f>VLOOKUP(K43,'Highway Loading'!$B$283:$E$292,3,FALSE)</f>
        <v>0.3</v>
      </c>
      <c r="AA43" s="181">
        <f>VLOOKUP(K43,'Highway Loading'!$B$283:$E$292,4,FALSE)</f>
        <v>6.4999999999999996E-6</v>
      </c>
      <c r="AB43" s="181">
        <f t="shared" si="33"/>
        <v>1</v>
      </c>
      <c r="AC43" s="181">
        <f>VLOOKUP(N43,'Highway Loading'!$B$256:$D$261,2,FALSE)</f>
        <v>500</v>
      </c>
      <c r="AD43" s="181">
        <f>VLOOKUP(N43,'Highway Loading'!$B$256:$D$261,3,FALSE)</f>
        <v>10000</v>
      </c>
      <c r="AE43" s="181">
        <f>VLOOKUP(S43,'Highway Loading'!$B$340:$C$341,2,FALSE)</f>
        <v>10000</v>
      </c>
      <c r="AF43" s="181">
        <f t="shared" si="34"/>
        <v>1.0416666666666666E-2</v>
      </c>
      <c r="AG43" s="181">
        <f t="shared" si="35"/>
        <v>7.2</v>
      </c>
      <c r="AH43" s="181">
        <f t="shared" si="36"/>
        <v>1.0416666666666667</v>
      </c>
      <c r="AI43" s="181">
        <f t="shared" si="37"/>
        <v>69120</v>
      </c>
      <c r="AJ43" s="181">
        <f t="shared" si="38"/>
        <v>46800</v>
      </c>
      <c r="AK43" s="181">
        <f>IF(AC43=200,(INDEX(Tables!$B$17:$B$38,MAX(1,MIN(IFERROR(MATCH(AF43,Tables!$A$17:$A$38,1),1),ROWS(Tables!$A$17:$A$38)-1)))+(AF43-INDEX(Tables!$A$17:$A$38,MAX(1,MIN(IFERROR(MATCH(AF43,Tables!$A$17:$A$38,1),1),ROWS(Tables!$A$17:$A$38)-1))))*(INDEX(Tables!$B$17:$B$38,MAX(1,MIN(IFERROR(MATCH(AF43,Tables!$A$17:$A$38,1),1),ROWS(Tables!$A$17:$A$38)-1))+1)-INDEX(Tables!$B$17:$B$38,MAX(1,MIN(IFERROR(MATCH(AF43,Tables!$A$17:$A$38,1),1),ROWS(Tables!$A$17:$A$38)-1))))/(INDEX(Tables!$A$17:$A$38,MAX(1,MIN(IFERROR(MATCH(AF43,Tables!$A$17:$A$38,1),1),ROWS(Tables!$A$17:$A$38)-1))+1)-INDEX(Tables!$A$17:$A$38,MAX(1,MIN(IFERROR(MATCH(AF43,Tables!$A$17:$A$38,1),1),ROWS(Tables!$A$17:$A$38)-1))))),IF(AC43=500,(INDEX(Tables!$D$17:$D$38,MAX(1,MIN(IFERROR(MATCH(AF43,Tables!$C$17:$C$38,1),1),ROWS(Tables!$C$17:$C$38)-1)))+(AF43-INDEX(Tables!$C$17:$C$38,MAX(1,MIN(IFERROR(MATCH(AF43,Tables!$C$17:$C$38,1),1),ROWS(Tables!$C$17:$C$38)-1))))*(INDEX(Tables!$D$17:$D$38,MAX(1,MIN(IFERROR(MATCH(AF43,Tables!$C$17:$C$38,1),1),ROWS(Tables!$C$17:$C$38)-1))+1)-INDEX(Tables!$D$17:$D$38,MAX(1,MIN(IFERROR(MATCH(AF43,Tables!$C$17:$C$38,1),1),ROWS(Tables!$C$17:$C$38)-1))))/(INDEX(Tables!$C$17:$C$38,MAX(1,MIN(IFERROR(MATCH(AF43,Tables!$C$17:$C$38,1),1),ROWS(Tables!$C$17:$C$38)-1))+1)-INDEX(Tables!$C$17:$C$38,MAX(1,MIN(IFERROR(MATCH(AF43,Tables!$C$17:$C$38,1),1),ROWS(Tables!$C$17:$C$38)-1))))),IF(AC43=1000,(INDEX(Tables!$F$17:$F$38,MAX(1,MIN(IFERROR(MATCH(AF43,Tables!$E$17:$E$38,1),1),ROWS(Tables!$E$17:$E$38)-1)))+(AF43-INDEX(Tables!$E$17:$E$38,MAX(1,MIN(IFERROR(MATCH(AF43,Tables!$E$17:$E$38,1),1),ROWS(Tables!$E$17:$E$38)-1))))*(INDEX(Tables!$F$17:$F$38,MAX(1,MIN(IFERROR(MATCH(AF43,Tables!$E$17:$E$38,1),1),ROWS(Tables!$E$17:$E$38)-1))+1)-INDEX(Tables!$F$17:$F$38,MAX(1,MIN(IFERROR(MATCH(AF43,Tables!$E$17:$E$38,1),1),ROWS(Tables!$E$17:$E$38)-1))))/(INDEX(Tables!$E$17:$E$38,MAX(1,MIN(IFERROR(MATCH(AF43,Tables!$E$17:$E$38,1),1),ROWS(Tables!$E$17:$E$38)-1))+1)-INDEX(Tables!$E$17:$E$38,MAX(1,MIN(IFERROR(MATCH(AF43,Tables!$E$17:$E$38,1),1),ROWS(Tables!$E$17:$E$38)-1))))),(INDEX(Tables!$H$17:$H$38,MAX(1,MIN(IFERROR(MATCH(AF43,Tables!$G$17:$G$38,1),1),ROWS(Tables!$G$17:$G$38)-1)))+(AF43-INDEX(Tables!$G$17:$G$38,MAX(1,MIN(IFERROR(MATCH(AF43,Tables!$G$17:$G$38,1),1),ROWS(Tables!$G$17:$G$38)-1))))*(INDEX(Tables!$H$17:$H$38,MAX(1,MIN(IFERROR(MATCH(AF43,Tables!$G$17:$G$38,1),1),ROWS(Tables!$G$17:$G$38)-1))+1)-INDEX(Tables!$H$17:$H$38,MAX(1,MIN(IFERROR(MATCH(AF43,Tables!$G$17:$G$38,1),1),ROWS(Tables!$G$17:$G$38)-1))))/(INDEX(Tables!$G$17:$G$38,MAX(1,MIN(IFERROR(MATCH(AF43,Tables!$G$17:$G$38,1),1),ROWS(Tables!$G$17:$G$38)-1))+1)-INDEX(Tables!$G$17:$G$38,MAX(1,MIN(IFERROR(MATCH(AF43,Tables!$G$17:$G$38,1),1),ROWS(Tables!$G$17:$G$38)-1))))))))</f>
        <v>6129</v>
      </c>
      <c r="AL43" s="181">
        <f>IF(AC43&lt;1000,(INDEX(Tables!$B$43:$B$76,MAX(1,MIN(IFERROR(MATCH(AG43,Tables!$A$43:$A$76,1),1),ROWS(Tables!$A$43:$A$76)-1)))+(AG43-INDEX(Tables!$A$43:$A$76,MAX(1,MIN(IFERROR(MATCH(AG43,Tables!$A$43:$A$76,1),1),ROWS(Tables!$A$43:$A$76)-1))))*(INDEX(Tables!$B$43:$B$76,MAX(1,MIN(IFERROR(MATCH(AG43,Tables!$A$43:$A$76,1),1),ROWS(Tables!$A$43:$A$76)-1))+1)-INDEX(Tables!$B$43:$B$76,MAX(1,MIN(IFERROR(MATCH(AG43,Tables!$A$43:$A$76,1),1),ROWS(Tables!$A$43:$A$76)-1))))/(INDEX(Tables!$A$43:$A$76,MAX(1,MIN(IFERROR(MATCH(AG43,Tables!$A$43:$A$76,1),1),ROWS(Tables!$A$43:$A$76)-1))+1)-INDEX(Tables!$A$43:$A$76,MAX(1,MIN(IFERROR(MATCH(AG43,Tables!$A$43:$A$76,1),1),ROWS(Tables!$A$43:$A$76)-1))))),(INDEX(Tables!$D$43:$D$76,MAX(1,MIN(IFERROR(MATCH(AG43,Tables!$C$43:$C$76,1),1),ROWS(Tables!$C$43:$C$76)-1)))+(AG43-INDEX(Tables!$C$43:$C$76,MAX(1,MIN(IFERROR(MATCH(AG43,Tables!$C$43:$C$76,1),1),ROWS(Tables!$C$43:$C$76)-1))))*(INDEX(Tables!$D$43:$D$76,MAX(1,MIN(IFERROR(MATCH(AG43,Tables!$C$43:$C$76,1),1),ROWS(Tables!$C$43:$C$76)-1))+1)-INDEX(Tables!$D$43:$D$76,MAX(1,MIN(IFERROR(MATCH(AG43,Tables!$C$43:$C$76,1),1),ROWS(Tables!$C$43:$C$76)-1))))/(INDEX(Tables!$C$43:$C$76,MAX(1,MIN(IFERROR(MATCH(AG43,Tables!$C$43:$C$76,1),1),ROWS(Tables!$C$43:$C$76)-1))+1)-INDEX(Tables!$C$43:$C$76,MAX(1,MIN(IFERROR(MATCH(AG43,Tables!$C$43:$C$76,1),1),ROWS(Tables!$C$43:$C$76)-1))))))</f>
        <v>1.224</v>
      </c>
      <c r="AM43" s="181">
        <f>(INDEX(Tables!$B$80:$B$87,MAX(1,MIN(IFERROR(MATCH(AH43,Tables!$A$80:$A$87,1),1),ROWS(Tables!$A$80:$A$87)-1)))+(AH43-INDEX(Tables!$A$80:$A$87,MAX(1,MIN(IFERROR(MATCH(AH43,Tables!$A$80:$A$87,1),1),ROWS(Tables!$A$80:$A$87)-1))))*(INDEX(Tables!$B$80:$B$87,MAX(1,MIN(IFERROR(MATCH(AH43,Tables!$A$80:$A$87,1),1),ROWS(Tables!$A$80:$A$87)-1))+1)-INDEX(Tables!$B$80:$B$87,MAX(1,MIN(IFERROR(MATCH(AH43,Tables!$A$80:$A$87,1),1),ROWS(Tables!$A$80:$A$87)-1))))/(INDEX(Tables!$A$80:$A$87,MAX(1,MIN(IFERROR(MATCH(AH43,Tables!$A$80:$A$87,1),1),ROWS(Tables!$A$80:$A$87)-1))+1)-INDEX(Tables!$A$80:$A$87,MAX(1,MIN(IFERROR(MATCH(AH43,Tables!$A$80:$A$87,1),1),ROWS(Tables!$A$80:$A$87)-1)))))</f>
        <v>0.89595000000000002</v>
      </c>
      <c r="AN43" s="181">
        <f t="shared" si="39"/>
        <v>22404.412404000002</v>
      </c>
      <c r="AO43" s="181">
        <f>(INDEX(Tables!$B$91:$B$94,MAX(1,MIN(IFERROR(MATCH(P43,Tables!$A$91:$A$94,1),1),ROWS(Tables!$A$91:$A$94)-1)))+(P43-INDEX(Tables!$A$91:$A$94,MAX(1,MIN(IFERROR(MATCH(P43,Tables!$A$91:$A$94,1),1),ROWS(Tables!$A$91:$A$94)-1))))*(INDEX(Tables!$B$91:$B$94,MAX(1,MIN(IFERROR(MATCH(P43,Tables!$A$91:$A$94,1),1),ROWS(Tables!$A$91:$A$94)-1))+1)-INDEX(Tables!$B$91:$B$94,MAX(1,MIN(IFERROR(MATCH(P43,Tables!$A$91:$A$94,1),1),ROWS(Tables!$A$91:$A$94)-1))))/(INDEX(Tables!$A$91:$A$94,MAX(1,MIN(IFERROR(MATCH(P43,Tables!$A$91:$A$94,1),1),ROWS(Tables!$A$91:$A$94)-1))+1)-INDEX(Tables!$A$91:$A$94,MAX(1,MIN(IFERROR(MATCH(P43,Tables!$A$91:$A$94,1),1),ROWS(Tables!$A$91:$A$94)-1)))))</f>
        <v>1</v>
      </c>
      <c r="AP43" s="181">
        <f>IF(AD43=5000,(INDEX(Tables!$B$99:$B$118,MAX(1,MIN(IFERROR(MATCH(AF43,Tables!$A$99:$A$118,1),1),ROWS(Tables!$A$99:$A$118)-1)))+(AF43-INDEX(Tables!$A$99:$A$118,MAX(1,MIN(IFERROR(MATCH(AF43,Tables!$A$99:$A$118,1),1),ROWS(Tables!$A$99:$A$118)-1))))*(INDEX(Tables!$B$99:$B$118,MAX(1,MIN(IFERROR(MATCH(AF43,Tables!$A$99:$A$118,1),1),ROWS(Tables!$A$99:$A$118)-1))+1)-INDEX(Tables!$B$99:$B$118,MAX(1,MIN(IFERROR(MATCH(AF43,Tables!$A$99:$A$118,1),1),ROWS(Tables!$A$99:$A$118)-1))))/(INDEX(Tables!$A$99:$A$118,MAX(1,MIN(IFERROR(MATCH(AF43,Tables!$A$99:$A$118,1),1),ROWS(Tables!$A$99:$A$118)-1))+1)-INDEX(Tables!$A$99:$A$118,MAX(1,MIN(IFERROR(MATCH(AF43,Tables!$A$99:$A$118,1),1),ROWS(Tables!$A$99:$A$118)-1))))),IF(AD43=10000,(INDEX(Tables!$D$99:$D$118,MAX(1,MIN(IFERROR(MATCH(AF43,Tables!$C$99:$C$118,1),1),ROWS(Tables!$C$99:$C$118)-1)))+(AF43-INDEX(Tables!$C$99:$C$118,MAX(1,MIN(IFERROR(MATCH(AF43,Tables!$C$99:$C$118,1),1),ROWS(Tables!$C$99:$C$118)-1))))*(INDEX(Tables!$D$99:$D$118,MAX(1,MIN(IFERROR(MATCH(AF43,Tables!$C$99:$C$118,1),1),ROWS(Tables!$C$99:$C$118)-1))+1)-INDEX(Tables!$D$99:$D$118,MAX(1,MIN(IFERROR(MATCH(AF43,Tables!$C$99:$C$118,1),1),ROWS(Tables!$C$99:$C$118)-1))))/(INDEX(Tables!$C$99:$C$118,MAX(1,MIN(IFERROR(MATCH(AF43,Tables!$C$99:$C$118,1),1),ROWS(Tables!$C$99:$C$118)-1))+1)-INDEX(Tables!$C$99:$C$118,MAX(1,MIN(IFERROR(MATCH(AF43,Tables!$C$99:$C$118,1),1),ROWS(Tables!$C$99:$C$118)-1))))),(INDEX(Tables!$F$99:$F$118,MAX(1,MIN(IFERROR(MATCH(AF43,Tables!$E$99:$E$118,1),1),ROWS(Tables!$E$99:$E$118)-1)))+(AF43-INDEX(Tables!$E$99:$E$118,MAX(1,MIN(IFERROR(MATCH(AF43,Tables!$E$99:$E$118,1),1),ROWS(Tables!$E$99:$E$118)-1))))*(INDEX(Tables!$F$99:$F$118,MAX(1,MIN(IFERROR(MATCH(AF43,Tables!$E$99:$E$118,1),1),ROWS(Tables!$E$99:$E$118)-1))+1)-INDEX(Tables!$F$99:$F$118,MAX(1,MIN(IFERROR(MATCH(AF43,Tables!$E$99:$E$118,1),1),ROWS(Tables!$E$99:$E$118)-1))))/(INDEX(Tables!$E$99:$E$118,MAX(1,MIN(IFERROR(MATCH(AF43,Tables!$E$99:$E$118,1),1),ROWS(Tables!$E$99:$E$118)-1))+1)-INDEX(Tables!$E$99:$E$118,MAX(1,MIN(IFERROR(MATCH(AF43,Tables!$E$99:$E$118,1),1),ROWS(Tables!$E$99:$E$118)-1)))))))</f>
        <v>12.907736434108527</v>
      </c>
      <c r="AQ43" s="181">
        <f>IF(P43&lt;6,(INDEX(Tables!$B$123:$B$138,MAX(1,MIN(IFERROR(MATCH(U43,Tables!$A$123:$A$138,1),1),ROWS(Tables!$A$123:$A$138)-1)))+(U43-INDEX(Tables!$A$123:$A$138,MAX(1,MIN(IFERROR(MATCH(U43,Tables!$A$123:$A$138,1),1),ROWS(Tables!$A$123:$A$138)-1))))*(INDEX(Tables!$B$123:$B$138,MAX(1,MIN(IFERROR(MATCH(U43,Tables!$A$123:$A$138,1),1),ROWS(Tables!$A$123:$A$138)-1))+1)-INDEX(Tables!$B$123:$B$138,MAX(1,MIN(IFERROR(MATCH(U43,Tables!$A$123:$A$138,1),1),ROWS(Tables!$A$123:$A$138)-1))))/(INDEX(Tables!$A$123:$A$138,MAX(1,MIN(IFERROR(MATCH(U43,Tables!$A$123:$A$138,1),1),ROWS(Tables!$A$123:$A$138)-1))+1)-INDEX(Tables!$A$123:$A$138,MAX(1,MIN(IFERROR(MATCH(U43,Tables!$A$123:$A$138,1),1),ROWS(Tables!$A$123:$A$138)-1))))),IF(P43&lt;8,(INDEX(Tables!$D$123:$D$138,MAX(1,MIN(IFERROR(MATCH(U43,Tables!$C$123:$C$138,1),1),ROWS(Tables!$C$123:$C$138)-1)))+(U43-INDEX(Tables!$C$123:$C$138,MAX(1,MIN(IFERROR(MATCH(U43,Tables!$C$123:$C$138,1),1),ROWS(Tables!$C$123:$C$138)-1))))*(INDEX(Tables!$D$123:$D$138,MAX(1,MIN(IFERROR(MATCH(U43,Tables!$C$123:$C$138,1),1),ROWS(Tables!$C$123:$C$138)-1))+1)-INDEX(Tables!$D$123:$D$138,MAX(1,MIN(IFERROR(MATCH(U43,Tables!$C$123:$C$138,1),1),ROWS(Tables!$C$123:$C$138)-1))))/(INDEX(Tables!$C$123:$C$138,MAX(1,MIN(IFERROR(MATCH(U43,Tables!$C$123:$C$138,1),1),ROWS(Tables!$C$123:$C$138)-1))+1)-INDEX(Tables!$C$123:$C$138,MAX(1,MIN(IFERROR(MATCH(U43,Tables!$C$123:$C$138,1),1),ROWS(Tables!$C$123:$C$138)-1))))),IF(P43&lt;10,(INDEX(Tables!$F$123:$F$138,MAX(1,MIN(IFERROR(MATCH(U43,Tables!$E$123:$E$138,1),1),ROWS(Tables!$E$123:$E$138)-1)))+(U43-INDEX(Tables!$E$123:$E$138,MAX(1,MIN(IFERROR(MATCH(U43,Tables!$E$123:$E$138,1),1),ROWS(Tables!$E$123:$E$138)-1))))*(INDEX(Tables!$F$123:$F$138,MAX(1,MIN(IFERROR(MATCH(U43,Tables!$E$123:$E$138,1),1),ROWS(Tables!$E$123:$E$138)-1))+1)-INDEX(Tables!$F$123:$F$138,MAX(1,MIN(IFERROR(MATCH(U43,Tables!$E$123:$E$138,1),1),ROWS(Tables!$E$123:$E$138)-1))))/(INDEX(Tables!$E$123:$E$138,MAX(1,MIN(IFERROR(MATCH(U43,Tables!$E$123:$E$138,1),1),ROWS(Tables!$E$123:$E$138)-1))+1)-INDEX(Tables!$E$123:$E$138,MAX(1,MIN(IFERROR(MATCH(U43,Tables!$E$123:$E$138,1),1),ROWS(Tables!$E$123:$E$138)-1))))),(INDEX(Tables!$H$123:$H$138,MAX(1,MIN(IFERROR(MATCH(U43,Tables!$G$123:$G$138,1),1),ROWS(Tables!$G$123:$G$138)-1)))+(U43-INDEX(Tables!$G$123:$G$138,MAX(1,MIN(IFERROR(MATCH(U43,Tables!$G$123:$G$138,1),1),ROWS(Tables!$G$123:$G$138)-1))))*(INDEX(Tables!$H$123:$H$138,MAX(1,MIN(IFERROR(MATCH(U43,Tables!$G$123:$G$138,1),1),ROWS(Tables!$G$123:$G$138)-1))+1)-INDEX(Tables!$H$123:$H$138,MAX(1,MIN(IFERROR(MATCH(U43,Tables!$G$123:$G$138,1),1),ROWS(Tables!$G$123:$G$138)-1))))/(INDEX(Tables!$G$123:$G$138,MAX(1,MIN(IFERROR(MATCH(U43,Tables!$G$123:$G$138,1),1),ROWS(Tables!$G$123:$G$138)-1))+1)-INDEX(Tables!$G$123:$G$138,MAX(1,MIN(IFERROR(MATCH(U43,Tables!$G$123:$G$138,1),1),ROWS(Tables!$G$123:$G$138)-1))))))))</f>
        <v>0.46899999999999997</v>
      </c>
      <c r="AR43" s="181">
        <f>IF(OR(P43&gt;=4,U43&gt;12),VLOOKUP(R43&amp;" "&amp;S43,Tables!$D$143:$F$148,2,FALSE),VLOOKUP(R43&amp;" "&amp;S43,Tables!$A$143:$C$148,2,FALSE))</f>
        <v>1.1000000000000001</v>
      </c>
      <c r="AS43" s="181">
        <f>IF(OR(P43&gt;=4,U43&gt;12),VLOOKUP(R43&amp;" "&amp;S43,Tables!$D$143:$F$148,3,FALSE),VLOOKUP(R43&amp;" "&amp;S43,Tables!$A$143:$C$148,3,FALSE))</f>
        <v>1</v>
      </c>
      <c r="AT43" s="181">
        <f t="shared" si="40"/>
        <v>462.43758516365205</v>
      </c>
      <c r="AU43" s="181">
        <f>IF(AD43=5000,(INDEX(Tables!$B$244:$B$263,MAX(1,MIN(IFERROR(MATCH(AF43,Tables!$A$244:$A$263,1),1),ROWS(Tables!$A$244:$A$263)-1)))+(AF43-INDEX(Tables!$A$244:$A$263,MAX(1,MIN(IFERROR(MATCH(AF43,Tables!$A$244:$A$263,1),1),ROWS(Tables!$A$244:$A$263)-1))))*(INDEX(Tables!$B$244:$B$263,MAX(1,MIN(IFERROR(MATCH(AF43,Tables!$A$244:$A$263,1),1),ROWS(Tables!$A$244:$A$263)-1))+1)-INDEX(Tables!$B$244:$B$263,MAX(1,MIN(IFERROR(MATCH(AF43,Tables!$A$244:$A$263,1),1),ROWS(Tables!$A$244:$A$263)-1))))/(INDEX(Tables!$A$244:$A$263,MAX(1,MIN(IFERROR(MATCH(AF43,Tables!$A$244:$A$263,1),1),ROWS(Tables!$A$244:$A$263)-1))+1)-INDEX(Tables!$A$244:$A$263,MAX(1,MIN(IFERROR(MATCH(AF43,Tables!$A$244:$A$263,1),1),ROWS(Tables!$A$244:$A$263)-1))))),IF(AD43=10000,(INDEX(Tables!$D$244:$D$263,MAX(1,MIN(IFERROR(MATCH(AF43,Tables!$C$244:$C$263,1),1),ROWS(Tables!$C$244:$C$263)-1)))+(AF43-INDEX(Tables!$C$244:$C$263,MAX(1,MIN(IFERROR(MATCH(AF43,Tables!$C$244:$C$263,1),1),ROWS(Tables!$C$244:$C$263)-1))))*(INDEX(Tables!$D$244:$D$263,MAX(1,MIN(IFERROR(MATCH(AF43,Tables!$C$244:$C$263,1),1),ROWS(Tables!$C$244:$C$263)-1))+1)-INDEX(Tables!$D$244:$D$263,MAX(1,MIN(IFERROR(MATCH(AF43,Tables!$C$244:$C$263,1),1),ROWS(Tables!$C$244:$C$263)-1))))/(INDEX(Tables!$C$244:$C$263,MAX(1,MIN(IFERROR(MATCH(AF43,Tables!$C$244:$C$263,1),1),ROWS(Tables!$C$244:$C$263)-1))+1)-INDEX(Tables!$C$244:$C$263,MAX(1,MIN(IFERROR(MATCH(AF43,Tables!$C$244:$C$263,1),1),ROWS(Tables!$C$244:$C$263)-1))))),(INDEX(Tables!$F$244:$F$263,MAX(1,MIN(IFERROR(MATCH(AF43,Tables!$E$244:$E$263,1),1),ROWS(Tables!$E$244:$E$263)-1)))+(AF43-INDEX(Tables!$E$244:$E$263,MAX(1,MIN(IFERROR(MATCH(AF43,Tables!$E$244:$E$263,1),1),ROWS(Tables!$E$244:$E$263)-1))))*(INDEX(Tables!$F$244:$F$263,MAX(1,MIN(IFERROR(MATCH(AF43,Tables!$E$244:$E$263,1),1),ROWS(Tables!$E$244:$E$263)-1))+1)-INDEX(Tables!$F$244:$F$263,MAX(1,MIN(IFERROR(MATCH(AF43,Tables!$E$244:$E$263,1),1),ROWS(Tables!$E$244:$E$263)-1))))/(INDEX(Tables!$E$244:$E$263,MAX(1,MIN(IFERROR(MATCH(AF43,Tables!$E$244:$E$263,1),1),ROWS(Tables!$E$244:$E$263)-1))+1)-INDEX(Tables!$E$244:$E$263,MAX(1,MIN(IFERROR(MATCH(AF43,Tables!$E$244:$E$263,1),1),ROWS(Tables!$E$244:$E$263)-1)))))))</f>
        <v>9.7669999999999995</v>
      </c>
      <c r="AV43" s="181">
        <f>IF(P43&lt;6,(INDEX(Tables!$B$260:$B$274,MAX(1,MIN(IFERROR(MATCH(U43,Tables!$A$260:$A$274,1),1),ROWS(Tables!$A$260:$A$274)-1)))+(U43-INDEX(Tables!$A$260:$A$274,MAX(1,MIN(IFERROR(MATCH(U43,Tables!$A$260:$A$274,1),1),ROWS(Tables!$A$260:$A$274)-1))))*(INDEX(Tables!$B$260:$B$274,MAX(1,MIN(IFERROR(MATCH(U43,Tables!$A$260:$A$274,1),1),ROWS(Tables!$A$260:$A$274)-1))+1)-INDEX(Tables!$B$260:$B$274,MAX(1,MIN(IFERROR(MATCH(U43,Tables!$A$260:$A$274,1),1),ROWS(Tables!$A$260:$A$274)-1))))/(INDEX(Tables!$A$260:$A$274,MAX(1,MIN(IFERROR(MATCH(U43,Tables!$A$260:$A$274,1),1),ROWS(Tables!$A$260:$A$274)-1))+1)-INDEX(Tables!$A$260:$A$274,MAX(1,MIN(IFERROR(MATCH(U43,Tables!$A$260:$A$274,1),1),ROWS(Tables!$A$260:$A$274)-1))))),IF(P43&lt;8,(INDEX(Tables!$D$260:$D$274,MAX(1,MIN(IFERROR(MATCH(U43,Tables!$C$260:$C$274,1),1),ROWS(Tables!$C$260:$C$274)-1)))+(U43-INDEX(Tables!$C$260:$C$274,MAX(1,MIN(IFERROR(MATCH(U43,Tables!$C$260:$C$274,1),1),ROWS(Tables!$C$260:$C$274)-1))))*(INDEX(Tables!$D$260:$D$274,MAX(1,MIN(IFERROR(MATCH(U43,Tables!$C$260:$C$274,1),1),ROWS(Tables!$C$260:$C$274)-1))+1)-INDEX(Tables!$D$260:$D$274,MAX(1,MIN(IFERROR(MATCH(U43,Tables!$C$260:$C$274,1),1),ROWS(Tables!$C$260:$C$274)-1))))/(INDEX(Tables!$C$260:$C$274,MAX(1,MIN(IFERROR(MATCH(U43,Tables!$C$260:$C$274,1),1),ROWS(Tables!$C$260:$C$274)-1))+1)-INDEX(Tables!$C$260:$C$274,MAX(1,MIN(IFERROR(MATCH(U43,Tables!$C$260:$C$274,1),1),ROWS(Tables!$C$260:$C$274)-1))))),IF(P43&lt;10,(INDEX(Tables!$F$260:$F$274,MAX(1,MIN(IFERROR(MATCH(U43,Tables!$E$260:$E$274,1),1),ROWS(Tables!$E$260:$E$274)-1)))+(U43-INDEX(Tables!$E$260:$E$274,MAX(1,MIN(IFERROR(MATCH(U43,Tables!$E$260:$E$274,1),1),ROWS(Tables!$E$260:$E$274)-1))))*(INDEX(Tables!$F$260:$F$274,MAX(1,MIN(IFERROR(MATCH(U43,Tables!$E$260:$E$274,1),1),ROWS(Tables!$E$260:$E$274)-1))+1)-INDEX(Tables!$F$260:$F$274,MAX(1,MIN(IFERROR(MATCH(U43,Tables!$E$260:$E$274,1),1),ROWS(Tables!$E$260:$E$274)-1))))/(INDEX(Tables!$E$260:$E$274,MAX(1,MIN(IFERROR(MATCH(U43,Tables!$E$260:$E$274,1),1),ROWS(Tables!$E$260:$E$274)-1))+1)-INDEX(Tables!$E$260:$E$274,MAX(1,MIN(IFERROR(MATCH(U43,Tables!$E$260:$E$274,1),1),ROWS(Tables!$E$260:$E$274)-1))))),(INDEX(Tables!$H$260:$H$274,MAX(1,MIN(IFERROR(MATCH(U43,Tables!$G$260:$G$274,1),1),ROWS(Tables!$G$260:$G$274)-1)))+(U43-INDEX(Tables!$G$260:$G$274,MAX(1,MIN(IFERROR(MATCH(U43,Tables!$G$260:$G$274,1),1),ROWS(Tables!$G$260:$G$274)-1))))*(INDEX(Tables!$H$260:$H$274,MAX(1,MIN(IFERROR(MATCH(U43,Tables!$G$260:$G$274,1),1),ROWS(Tables!$G$260:$G$274)-1))+1)-INDEX(Tables!$H$260:$H$274,MAX(1,MIN(IFERROR(MATCH(U43,Tables!$G$260:$G$274,1),1),ROWS(Tables!$G$260:$G$274)-1))))/(INDEX(Tables!$G$260:$G$274,MAX(1,MIN(IFERROR(MATCH(U43,Tables!$G$260:$G$274,1),1),ROWS(Tables!$G$260:$G$274)-1))+1)-INDEX(Tables!$G$260:$G$274,MAX(1,MIN(IFERROR(MATCH(U43,Tables!$G$260:$G$274,1),1),ROWS(Tables!$G$260:$G$274)-1))))))))</f>
        <v>0.45700000000000002</v>
      </c>
      <c r="AW43" s="181">
        <f t="shared" si="41"/>
        <v>340.96325694444448</v>
      </c>
      <c r="AX43" s="181">
        <f t="shared" si="42"/>
        <v>68400</v>
      </c>
      <c r="AY43" s="181">
        <f t="shared" si="43"/>
        <v>91266.84998916366</v>
      </c>
      <c r="AZ43" s="181">
        <f t="shared" si="44"/>
        <v>27582.286978144442</v>
      </c>
      <c r="BA43" s="181">
        <f t="shared" si="45"/>
        <v>-1440</v>
      </c>
      <c r="BB43" s="181">
        <f t="shared" si="46"/>
        <v>82135.792265794647</v>
      </c>
      <c r="BC43" s="181">
        <f t="shared" si="47"/>
        <v>46800</v>
      </c>
      <c r="BD43" s="181">
        <f>VLOOKUP(V43&amp;" "&amp;J43,Tables!$A$152:$E$239,4,FALSE)</f>
        <v>12000</v>
      </c>
      <c r="BE43" s="181">
        <f>VLOOKUP(V43&amp;" "&amp;J43,Tables!$A$152:$E$239,5,FALSE)</f>
        <v>23000</v>
      </c>
      <c r="BF43" s="181">
        <f t="shared" si="48"/>
        <v>8640</v>
      </c>
      <c r="BG43" s="181">
        <f t="shared" si="49"/>
        <v>16560</v>
      </c>
      <c r="BH43" s="181">
        <f t="shared" si="50"/>
        <v>69120</v>
      </c>
      <c r="BI43" s="181">
        <f t="shared" si="51"/>
        <v>46800</v>
      </c>
      <c r="BJ43" s="181">
        <f t="shared" si="52"/>
        <v>82135.792265794647</v>
      </c>
      <c r="BK43" s="181">
        <f t="shared" si="53"/>
        <v>46800</v>
      </c>
      <c r="BL43" s="181">
        <f t="shared" si="54"/>
        <v>340.96325694444448</v>
      </c>
      <c r="BM43" s="181">
        <f t="shared" si="55"/>
        <v>8640</v>
      </c>
      <c r="BN43" s="181">
        <f t="shared" si="56"/>
        <v>462.43758516365205</v>
      </c>
      <c r="BO43" s="181">
        <f t="shared" si="57"/>
        <v>16560</v>
      </c>
      <c r="BP43" t="str">
        <f t="shared" si="58"/>
        <v>Fail</v>
      </c>
      <c r="BQ43" t="str">
        <f t="shared" si="59"/>
        <v>Fail</v>
      </c>
      <c r="BR43" t="str">
        <f t="shared" si="60"/>
        <v>Pass</v>
      </c>
      <c r="BS43" t="str">
        <f t="shared" si="61"/>
        <v>Pass</v>
      </c>
      <c r="BT43" t="str">
        <f t="shared" si="62"/>
        <v>Fail</v>
      </c>
      <c r="BU43" t="str">
        <f t="shared" si="63"/>
        <v>Effective Stress</v>
      </c>
    </row>
    <row r="44" spans="1:73">
      <c r="A44" t="s">
        <v>636</v>
      </c>
      <c r="B44" s="181">
        <v>42</v>
      </c>
      <c r="C44" t="s">
        <v>594</v>
      </c>
      <c r="D44" s="181">
        <v>6</v>
      </c>
      <c r="E44" s="181">
        <v>0.86399999999999999</v>
      </c>
      <c r="F44" t="s">
        <v>117</v>
      </c>
      <c r="G44" t="s">
        <v>119</v>
      </c>
      <c r="H44" t="s">
        <v>122</v>
      </c>
      <c r="I44" s="181">
        <v>1</v>
      </c>
      <c r="J44" t="s">
        <v>126</v>
      </c>
      <c r="K44" t="s">
        <v>129</v>
      </c>
      <c r="L44" s="181">
        <v>70</v>
      </c>
      <c r="M44" s="181">
        <v>3000</v>
      </c>
      <c r="N44" t="s">
        <v>141</v>
      </c>
      <c r="O44" s="181">
        <v>120</v>
      </c>
      <c r="P44" s="181">
        <v>1</v>
      </c>
      <c r="Q44" s="181">
        <v>8.625</v>
      </c>
      <c r="R44" t="s">
        <v>154</v>
      </c>
      <c r="S44" t="s">
        <v>156</v>
      </c>
      <c r="T44" s="181">
        <v>70</v>
      </c>
      <c r="U44" s="181">
        <f>HLOOKUP(D44,'Highway Loading'!$C$155:$AD$156,2,FALSE)</f>
        <v>6.625</v>
      </c>
      <c r="V44" s="181">
        <f>IF(ISBLANK(G44),"",INDEX('Highway Loading'!$C$216:$AG$216,1,MATCH(G44,'Highway Loading'!$C$215:$AG$215,0)))</f>
        <v>65000</v>
      </c>
      <c r="W44" s="181">
        <f>INDEX('Highway Loading'!$I$245:$L$253,MATCH(H44,'Highway Loading'!$H$245:$H$253,0),MATCH(I44,'Highway Loading'!$I$244:$L$244,0))</f>
        <v>0.72</v>
      </c>
      <c r="X44" s="181">
        <f t="shared" si="32"/>
        <v>1</v>
      </c>
      <c r="Y44" s="181">
        <f>VLOOKUP(K44,'Highway Loading'!$B$283:$E$292,2,FALSE)</f>
        <v>29000000</v>
      </c>
      <c r="Z44" s="181">
        <f>VLOOKUP(K44,'Highway Loading'!$B$283:$E$292,3,FALSE)</f>
        <v>0.3</v>
      </c>
      <c r="AA44" s="181">
        <f>VLOOKUP(K44,'Highway Loading'!$B$283:$E$292,4,FALSE)</f>
        <v>6.4999999999999996E-6</v>
      </c>
      <c r="AB44" s="181">
        <f t="shared" si="33"/>
        <v>1</v>
      </c>
      <c r="AC44" s="181">
        <f>VLOOKUP(N44,'Highway Loading'!$B$256:$D$261,2,FALSE)</f>
        <v>500</v>
      </c>
      <c r="AD44" s="181">
        <f>VLOOKUP(N44,'Highway Loading'!$B$256:$D$261,3,FALSE)</f>
        <v>10000</v>
      </c>
      <c r="AE44" s="181">
        <f>VLOOKUP(S44,'Highway Loading'!$B$340:$C$341,2,FALSE)</f>
        <v>10000</v>
      </c>
      <c r="AF44" s="181">
        <f t="shared" si="34"/>
        <v>0.13041509433962264</v>
      </c>
      <c r="AG44" s="181">
        <f t="shared" si="35"/>
        <v>1.3913043478260869</v>
      </c>
      <c r="AH44" s="181">
        <f t="shared" si="36"/>
        <v>1.3018867924528301</v>
      </c>
      <c r="AI44" s="181">
        <f t="shared" si="37"/>
        <v>11501.736111111111</v>
      </c>
      <c r="AJ44" s="181">
        <f t="shared" si="38"/>
        <v>46800</v>
      </c>
      <c r="AK44" s="181">
        <f>IF(AC44=200,(INDEX(Tables!$B$17:$B$38,MAX(1,MIN(IFERROR(MATCH(AF44,Tables!$A$17:$A$38,1),1),ROWS(Tables!$A$17:$A$38)-1)))+(AF44-INDEX(Tables!$A$17:$A$38,MAX(1,MIN(IFERROR(MATCH(AF44,Tables!$A$17:$A$38,1),1),ROWS(Tables!$A$17:$A$38)-1))))*(INDEX(Tables!$B$17:$B$38,MAX(1,MIN(IFERROR(MATCH(AF44,Tables!$A$17:$A$38,1),1),ROWS(Tables!$A$17:$A$38)-1))+1)-INDEX(Tables!$B$17:$B$38,MAX(1,MIN(IFERROR(MATCH(AF44,Tables!$A$17:$A$38,1),1),ROWS(Tables!$A$17:$A$38)-1))))/(INDEX(Tables!$A$17:$A$38,MAX(1,MIN(IFERROR(MATCH(AF44,Tables!$A$17:$A$38,1),1),ROWS(Tables!$A$17:$A$38)-1))+1)-INDEX(Tables!$A$17:$A$38,MAX(1,MIN(IFERROR(MATCH(AF44,Tables!$A$17:$A$38,1),1),ROWS(Tables!$A$17:$A$38)-1))))),IF(AC44=500,(INDEX(Tables!$D$17:$D$38,MAX(1,MIN(IFERROR(MATCH(AF44,Tables!$C$17:$C$38,1),1),ROWS(Tables!$C$17:$C$38)-1)))+(AF44-INDEX(Tables!$C$17:$C$38,MAX(1,MIN(IFERROR(MATCH(AF44,Tables!$C$17:$C$38,1),1),ROWS(Tables!$C$17:$C$38)-1))))*(INDEX(Tables!$D$17:$D$38,MAX(1,MIN(IFERROR(MATCH(AF44,Tables!$C$17:$C$38,1),1),ROWS(Tables!$C$17:$C$38)-1))+1)-INDEX(Tables!$D$17:$D$38,MAX(1,MIN(IFERROR(MATCH(AF44,Tables!$C$17:$C$38,1),1),ROWS(Tables!$C$17:$C$38)-1))))/(INDEX(Tables!$C$17:$C$38,MAX(1,MIN(IFERROR(MATCH(AF44,Tables!$C$17:$C$38,1),1),ROWS(Tables!$C$17:$C$38)-1))+1)-INDEX(Tables!$C$17:$C$38,MAX(1,MIN(IFERROR(MATCH(AF44,Tables!$C$17:$C$38,1),1),ROWS(Tables!$C$17:$C$38)-1))))),IF(AC44=1000,(INDEX(Tables!$F$17:$F$38,MAX(1,MIN(IFERROR(MATCH(AF44,Tables!$E$17:$E$38,1),1),ROWS(Tables!$E$17:$E$38)-1)))+(AF44-INDEX(Tables!$E$17:$E$38,MAX(1,MIN(IFERROR(MATCH(AF44,Tables!$E$17:$E$38,1),1),ROWS(Tables!$E$17:$E$38)-1))))*(INDEX(Tables!$F$17:$F$38,MAX(1,MIN(IFERROR(MATCH(AF44,Tables!$E$17:$E$38,1),1),ROWS(Tables!$E$17:$E$38)-1))+1)-INDEX(Tables!$F$17:$F$38,MAX(1,MIN(IFERROR(MATCH(AF44,Tables!$E$17:$E$38,1),1),ROWS(Tables!$E$17:$E$38)-1))))/(INDEX(Tables!$E$17:$E$38,MAX(1,MIN(IFERROR(MATCH(AF44,Tables!$E$17:$E$38,1),1),ROWS(Tables!$E$17:$E$38)-1))+1)-INDEX(Tables!$E$17:$E$38,MAX(1,MIN(IFERROR(MATCH(AF44,Tables!$E$17:$E$38,1),1),ROWS(Tables!$E$17:$E$38)-1))))),(INDEX(Tables!$H$17:$H$38,MAX(1,MIN(IFERROR(MATCH(AF44,Tables!$G$17:$G$38,1),1),ROWS(Tables!$G$17:$G$38)-1)))+(AF44-INDEX(Tables!$G$17:$G$38,MAX(1,MIN(IFERROR(MATCH(AF44,Tables!$G$17:$G$38,1),1),ROWS(Tables!$G$17:$G$38)-1))))*(INDEX(Tables!$H$17:$H$38,MAX(1,MIN(IFERROR(MATCH(AF44,Tables!$G$17:$G$38,1),1),ROWS(Tables!$G$17:$G$38)-1))+1)-INDEX(Tables!$H$17:$H$38,MAX(1,MIN(IFERROR(MATCH(AF44,Tables!$G$17:$G$38,1),1),ROWS(Tables!$G$17:$G$38)-1))))/(INDEX(Tables!$G$17:$G$38,MAX(1,MIN(IFERROR(MATCH(AF44,Tables!$G$17:$G$38,1),1),ROWS(Tables!$G$17:$G$38)-1))+1)-INDEX(Tables!$G$17:$G$38,MAX(1,MIN(IFERROR(MATCH(AF44,Tables!$G$17:$G$38,1),1),ROWS(Tables!$G$17:$G$38)-1))))))))</f>
        <v>88</v>
      </c>
      <c r="AL44" s="181">
        <f>IF(AC44&lt;1000,(INDEX(Tables!$B$43:$B$76,MAX(1,MIN(IFERROR(MATCH(AG44,Tables!$A$43:$A$76,1),1),ROWS(Tables!$A$43:$A$76)-1)))+(AG44-INDEX(Tables!$A$43:$A$76,MAX(1,MIN(IFERROR(MATCH(AG44,Tables!$A$43:$A$76,1),1),ROWS(Tables!$A$43:$A$76)-1))))*(INDEX(Tables!$B$43:$B$76,MAX(1,MIN(IFERROR(MATCH(AG44,Tables!$A$43:$A$76,1),1),ROWS(Tables!$A$43:$A$76)-1))+1)-INDEX(Tables!$B$43:$B$76,MAX(1,MIN(IFERROR(MATCH(AG44,Tables!$A$43:$A$76,1),1),ROWS(Tables!$A$43:$A$76)-1))))/(INDEX(Tables!$A$43:$A$76,MAX(1,MIN(IFERROR(MATCH(AG44,Tables!$A$43:$A$76,1),1),ROWS(Tables!$A$43:$A$76)-1))+1)-INDEX(Tables!$A$43:$A$76,MAX(1,MIN(IFERROR(MATCH(AG44,Tables!$A$43:$A$76,1),1),ROWS(Tables!$A$43:$A$76)-1))))),(INDEX(Tables!$D$43:$D$76,MAX(1,MIN(IFERROR(MATCH(AG44,Tables!$C$43:$C$76,1),1),ROWS(Tables!$C$43:$C$76)-1)))+(AG44-INDEX(Tables!$C$43:$C$76,MAX(1,MIN(IFERROR(MATCH(AG44,Tables!$C$43:$C$76,1),1),ROWS(Tables!$C$43:$C$76)-1))))*(INDEX(Tables!$D$43:$D$76,MAX(1,MIN(IFERROR(MATCH(AG44,Tables!$C$43:$C$76,1),1),ROWS(Tables!$C$43:$C$76)-1))+1)-INDEX(Tables!$D$43:$D$76,MAX(1,MIN(IFERROR(MATCH(AG44,Tables!$C$43:$C$76,1),1),ROWS(Tables!$C$43:$C$76)-1))))/(INDEX(Tables!$C$43:$C$76,MAX(1,MIN(IFERROR(MATCH(AG44,Tables!$C$43:$C$76,1),1),ROWS(Tables!$C$43:$C$76)-1))+1)-INDEX(Tables!$C$43:$C$76,MAX(1,MIN(IFERROR(MATCH(AG44,Tables!$C$43:$C$76,1),1),ROWS(Tables!$C$43:$C$76)-1))))))</f>
        <v>0.44739130434782609</v>
      </c>
      <c r="AM44" s="181">
        <f>(INDEX(Tables!$B$80:$B$87,MAX(1,MIN(IFERROR(MATCH(AH44,Tables!$A$80:$A$87,1),1),ROWS(Tables!$A$80:$A$87)-1)))+(AH44-INDEX(Tables!$A$80:$A$87,MAX(1,MIN(IFERROR(MATCH(AH44,Tables!$A$80:$A$87,1),1),ROWS(Tables!$A$80:$A$87)-1))))*(INDEX(Tables!$B$80:$B$87,MAX(1,MIN(IFERROR(MATCH(AH44,Tables!$A$80:$A$87,1),1),ROWS(Tables!$A$80:$A$87)-1))+1)-INDEX(Tables!$B$80:$B$87,MAX(1,MIN(IFERROR(MATCH(AH44,Tables!$A$80:$A$87,1),1),ROWS(Tables!$A$80:$A$87)-1))))/(INDEX(Tables!$A$80:$A$87,MAX(1,MIN(IFERROR(MATCH(AH44,Tables!$A$80:$A$87,1),1),ROWS(Tables!$A$80:$A$87)-1))+1)-INDEX(Tables!$A$80:$A$87,MAX(1,MIN(IFERROR(MATCH(AH44,Tables!$A$80:$A$87,1),1),ROWS(Tables!$A$80:$A$87)-1)))))</f>
        <v>1.403996226415094</v>
      </c>
      <c r="AN44" s="181">
        <f t="shared" si="39"/>
        <v>25.430771865942024</v>
      </c>
      <c r="AO44" s="181">
        <f>(INDEX(Tables!$B$91:$B$94,MAX(1,MIN(IFERROR(MATCH(P44,Tables!$A$91:$A$94,1),1),ROWS(Tables!$A$91:$A$94)-1)))+(P44-INDEX(Tables!$A$91:$A$94,MAX(1,MIN(IFERROR(MATCH(P44,Tables!$A$91:$A$94,1),1),ROWS(Tables!$A$91:$A$94)-1))))*(INDEX(Tables!$B$91:$B$94,MAX(1,MIN(IFERROR(MATCH(P44,Tables!$A$91:$A$94,1),1),ROWS(Tables!$A$91:$A$94)-1))+1)-INDEX(Tables!$B$91:$B$94,MAX(1,MIN(IFERROR(MATCH(P44,Tables!$A$91:$A$94,1),1),ROWS(Tables!$A$91:$A$94)-1))))/(INDEX(Tables!$A$91:$A$94,MAX(1,MIN(IFERROR(MATCH(P44,Tables!$A$91:$A$94,1),1),ROWS(Tables!$A$91:$A$94)-1))+1)-INDEX(Tables!$A$91:$A$94,MAX(1,MIN(IFERROR(MATCH(P44,Tables!$A$91:$A$94,1),1),ROWS(Tables!$A$91:$A$94)-1)))))</f>
        <v>1.5</v>
      </c>
      <c r="AP44" s="181">
        <f>IF(AD44=5000,(INDEX(Tables!$B$99:$B$118,MAX(1,MIN(IFERROR(MATCH(AF44,Tables!$A$99:$A$118,1),1),ROWS(Tables!$A$99:$A$118)-1)))+(AF44-INDEX(Tables!$A$99:$A$118,MAX(1,MIN(IFERROR(MATCH(AF44,Tables!$A$99:$A$118,1),1),ROWS(Tables!$A$99:$A$118)-1))))*(INDEX(Tables!$B$99:$B$118,MAX(1,MIN(IFERROR(MATCH(AF44,Tables!$A$99:$A$118,1),1),ROWS(Tables!$A$99:$A$118)-1))+1)-INDEX(Tables!$B$99:$B$118,MAX(1,MIN(IFERROR(MATCH(AF44,Tables!$A$99:$A$118,1),1),ROWS(Tables!$A$99:$A$118)-1))))/(INDEX(Tables!$A$99:$A$118,MAX(1,MIN(IFERROR(MATCH(AF44,Tables!$A$99:$A$118,1),1),ROWS(Tables!$A$99:$A$118)-1))+1)-INDEX(Tables!$A$99:$A$118,MAX(1,MIN(IFERROR(MATCH(AF44,Tables!$A$99:$A$118,1),1),ROWS(Tables!$A$99:$A$118)-1))))),IF(AD44=10000,(INDEX(Tables!$D$99:$D$118,MAX(1,MIN(IFERROR(MATCH(AF44,Tables!$C$99:$C$118,1),1),ROWS(Tables!$C$99:$C$118)-1)))+(AF44-INDEX(Tables!$C$99:$C$118,MAX(1,MIN(IFERROR(MATCH(AF44,Tables!$C$99:$C$118,1),1),ROWS(Tables!$C$99:$C$118)-1))))*(INDEX(Tables!$D$99:$D$118,MAX(1,MIN(IFERROR(MATCH(AF44,Tables!$C$99:$C$118,1),1),ROWS(Tables!$C$99:$C$118)-1))+1)-INDEX(Tables!$D$99:$D$118,MAX(1,MIN(IFERROR(MATCH(AF44,Tables!$C$99:$C$118,1),1),ROWS(Tables!$C$99:$C$118)-1))))/(INDEX(Tables!$C$99:$C$118,MAX(1,MIN(IFERROR(MATCH(AF44,Tables!$C$99:$C$118,1),1),ROWS(Tables!$C$99:$C$118)-1))+1)-INDEX(Tables!$C$99:$C$118,MAX(1,MIN(IFERROR(MATCH(AF44,Tables!$C$99:$C$118,1),1),ROWS(Tables!$C$99:$C$118)-1))))),(INDEX(Tables!$F$99:$F$118,MAX(1,MIN(IFERROR(MATCH(AF44,Tables!$E$99:$E$118,1),1),ROWS(Tables!$E$99:$E$118)-1)))+(AF44-INDEX(Tables!$E$99:$E$118,MAX(1,MIN(IFERROR(MATCH(AF44,Tables!$E$99:$E$118,1),1),ROWS(Tables!$E$99:$E$118)-1))))*(INDEX(Tables!$F$99:$F$118,MAX(1,MIN(IFERROR(MATCH(AF44,Tables!$E$99:$E$118,1),1),ROWS(Tables!$E$99:$E$118)-1))+1)-INDEX(Tables!$F$99:$F$118,MAX(1,MIN(IFERROR(MATCH(AF44,Tables!$E$99:$E$118,1),1),ROWS(Tables!$E$99:$E$118)-1))))/(INDEX(Tables!$E$99:$E$118,MAX(1,MIN(IFERROR(MATCH(AF44,Tables!$E$99:$E$118,1),1),ROWS(Tables!$E$99:$E$118)-1))+1)-INDEX(Tables!$E$99:$E$118,MAX(1,MIN(IFERROR(MATCH(AF44,Tables!$E$99:$E$118,1),1),ROWS(Tables!$E$99:$E$118)-1)))))))</f>
        <v>1.605</v>
      </c>
      <c r="AQ44" s="181">
        <f>IF(P44&lt;6,(INDEX(Tables!$B$123:$B$138,MAX(1,MIN(IFERROR(MATCH(U44,Tables!$A$123:$A$138,1),1),ROWS(Tables!$A$123:$A$138)-1)))+(U44-INDEX(Tables!$A$123:$A$138,MAX(1,MIN(IFERROR(MATCH(U44,Tables!$A$123:$A$138,1),1),ROWS(Tables!$A$123:$A$138)-1))))*(INDEX(Tables!$B$123:$B$138,MAX(1,MIN(IFERROR(MATCH(U44,Tables!$A$123:$A$138,1),1),ROWS(Tables!$A$123:$A$138)-1))+1)-INDEX(Tables!$B$123:$B$138,MAX(1,MIN(IFERROR(MATCH(U44,Tables!$A$123:$A$138,1),1),ROWS(Tables!$A$123:$A$138)-1))))/(INDEX(Tables!$A$123:$A$138,MAX(1,MIN(IFERROR(MATCH(U44,Tables!$A$123:$A$138,1),1),ROWS(Tables!$A$123:$A$138)-1))+1)-INDEX(Tables!$A$123:$A$138,MAX(1,MIN(IFERROR(MATCH(U44,Tables!$A$123:$A$138,1),1),ROWS(Tables!$A$123:$A$138)-1))))),IF(P44&lt;8,(INDEX(Tables!$D$123:$D$138,MAX(1,MIN(IFERROR(MATCH(U44,Tables!$C$123:$C$138,1),1),ROWS(Tables!$C$123:$C$138)-1)))+(U44-INDEX(Tables!$C$123:$C$138,MAX(1,MIN(IFERROR(MATCH(U44,Tables!$C$123:$C$138,1),1),ROWS(Tables!$C$123:$C$138)-1))))*(INDEX(Tables!$D$123:$D$138,MAX(1,MIN(IFERROR(MATCH(U44,Tables!$C$123:$C$138,1),1),ROWS(Tables!$C$123:$C$138)-1))+1)-INDEX(Tables!$D$123:$D$138,MAX(1,MIN(IFERROR(MATCH(U44,Tables!$C$123:$C$138,1),1),ROWS(Tables!$C$123:$C$138)-1))))/(INDEX(Tables!$C$123:$C$138,MAX(1,MIN(IFERROR(MATCH(U44,Tables!$C$123:$C$138,1),1),ROWS(Tables!$C$123:$C$138)-1))+1)-INDEX(Tables!$C$123:$C$138,MAX(1,MIN(IFERROR(MATCH(U44,Tables!$C$123:$C$138,1),1),ROWS(Tables!$C$123:$C$138)-1))))),IF(P44&lt;10,(INDEX(Tables!$F$123:$F$138,MAX(1,MIN(IFERROR(MATCH(U44,Tables!$E$123:$E$138,1),1),ROWS(Tables!$E$123:$E$138)-1)))+(U44-INDEX(Tables!$E$123:$E$138,MAX(1,MIN(IFERROR(MATCH(U44,Tables!$E$123:$E$138,1),1),ROWS(Tables!$E$123:$E$138)-1))))*(INDEX(Tables!$F$123:$F$138,MAX(1,MIN(IFERROR(MATCH(U44,Tables!$E$123:$E$138,1),1),ROWS(Tables!$E$123:$E$138)-1))+1)-INDEX(Tables!$F$123:$F$138,MAX(1,MIN(IFERROR(MATCH(U44,Tables!$E$123:$E$138,1),1),ROWS(Tables!$E$123:$E$138)-1))))/(INDEX(Tables!$E$123:$E$138,MAX(1,MIN(IFERROR(MATCH(U44,Tables!$E$123:$E$138,1),1),ROWS(Tables!$E$123:$E$138)-1))+1)-INDEX(Tables!$E$123:$E$138,MAX(1,MIN(IFERROR(MATCH(U44,Tables!$E$123:$E$138,1),1),ROWS(Tables!$E$123:$E$138)-1))))),(INDEX(Tables!$H$123:$H$138,MAX(1,MIN(IFERROR(MATCH(U44,Tables!$G$123:$G$138,1),1),ROWS(Tables!$G$123:$G$138)-1)))+(U44-INDEX(Tables!$G$123:$G$138,MAX(1,MIN(IFERROR(MATCH(U44,Tables!$G$123:$G$138,1),1),ROWS(Tables!$G$123:$G$138)-1))))*(INDEX(Tables!$H$123:$H$138,MAX(1,MIN(IFERROR(MATCH(U44,Tables!$G$123:$G$138,1),1),ROWS(Tables!$G$123:$G$138)-1))+1)-INDEX(Tables!$H$123:$H$138,MAX(1,MIN(IFERROR(MATCH(U44,Tables!$G$123:$G$138,1),1),ROWS(Tables!$G$123:$G$138)-1))))/(INDEX(Tables!$G$123:$G$138,MAX(1,MIN(IFERROR(MATCH(U44,Tables!$G$123:$G$138,1),1),ROWS(Tables!$G$123:$G$138)-1))+1)-INDEX(Tables!$G$123:$G$138,MAX(1,MIN(IFERROR(MATCH(U44,Tables!$G$123:$G$138,1),1),ROWS(Tables!$G$123:$G$138)-1))))))))</f>
        <v>1.4501250000000001</v>
      </c>
      <c r="AR44" s="181">
        <f>IF(OR(P44&gt;=4,U44&gt;12),VLOOKUP(R44&amp;" "&amp;S44,Tables!$D$143:$F$148,2,FALSE),VLOOKUP(R44&amp;" "&amp;S44,Tables!$A$143:$C$148,2,FALSE))</f>
        <v>1</v>
      </c>
      <c r="AS44" s="181">
        <f>IF(OR(P44&gt;=4,U44&gt;12),VLOOKUP(R44&amp;" "&amp;S44,Tables!$D$143:$F$148,3,FALSE),VLOOKUP(R44&amp;" "&amp;S44,Tables!$A$143:$C$148,3,FALSE))</f>
        <v>1</v>
      </c>
      <c r="AT44" s="181">
        <f t="shared" si="40"/>
        <v>242.44277343750002</v>
      </c>
      <c r="AU44" s="181">
        <f>IF(AD44=5000,(INDEX(Tables!$B$244:$B$263,MAX(1,MIN(IFERROR(MATCH(AF44,Tables!$A$244:$A$263,1),1),ROWS(Tables!$A$244:$A$263)-1)))+(AF44-INDEX(Tables!$A$244:$A$263,MAX(1,MIN(IFERROR(MATCH(AF44,Tables!$A$244:$A$263,1),1),ROWS(Tables!$A$244:$A$263)-1))))*(INDEX(Tables!$B$244:$B$263,MAX(1,MIN(IFERROR(MATCH(AF44,Tables!$A$244:$A$263,1),1),ROWS(Tables!$A$244:$A$263)-1))+1)-INDEX(Tables!$B$244:$B$263,MAX(1,MIN(IFERROR(MATCH(AF44,Tables!$A$244:$A$263,1),1),ROWS(Tables!$A$244:$A$263)-1))))/(INDEX(Tables!$A$244:$A$263,MAX(1,MIN(IFERROR(MATCH(AF44,Tables!$A$244:$A$263,1),1),ROWS(Tables!$A$244:$A$263)-1))+1)-INDEX(Tables!$A$244:$A$263,MAX(1,MIN(IFERROR(MATCH(AF44,Tables!$A$244:$A$263,1),1),ROWS(Tables!$A$244:$A$263)-1))))),IF(AD44=10000,(INDEX(Tables!$D$244:$D$263,MAX(1,MIN(IFERROR(MATCH(AF44,Tables!$C$244:$C$263,1),1),ROWS(Tables!$C$244:$C$263)-1)))+(AF44-INDEX(Tables!$C$244:$C$263,MAX(1,MIN(IFERROR(MATCH(AF44,Tables!$C$244:$C$263,1),1),ROWS(Tables!$C$244:$C$263)-1))))*(INDEX(Tables!$D$244:$D$263,MAX(1,MIN(IFERROR(MATCH(AF44,Tables!$C$244:$C$263,1),1),ROWS(Tables!$C$244:$C$263)-1))+1)-INDEX(Tables!$D$244:$D$263,MAX(1,MIN(IFERROR(MATCH(AF44,Tables!$C$244:$C$263,1),1),ROWS(Tables!$C$244:$C$263)-1))))/(INDEX(Tables!$C$244:$C$263,MAX(1,MIN(IFERROR(MATCH(AF44,Tables!$C$244:$C$263,1),1),ROWS(Tables!$C$244:$C$263)-1))+1)-INDEX(Tables!$C$244:$C$263,MAX(1,MIN(IFERROR(MATCH(AF44,Tables!$C$244:$C$263,1),1),ROWS(Tables!$C$244:$C$263)-1))))),(INDEX(Tables!$F$244:$F$263,MAX(1,MIN(IFERROR(MATCH(AF44,Tables!$E$244:$E$263,1),1),ROWS(Tables!$E$244:$E$263)-1)))+(AF44-INDEX(Tables!$E$244:$E$263,MAX(1,MIN(IFERROR(MATCH(AF44,Tables!$E$244:$E$263,1),1),ROWS(Tables!$E$244:$E$263)-1))))*(INDEX(Tables!$F$244:$F$263,MAX(1,MIN(IFERROR(MATCH(AF44,Tables!$E$244:$E$263,1),1),ROWS(Tables!$E$244:$E$263)-1))+1)-INDEX(Tables!$F$244:$F$263,MAX(1,MIN(IFERROR(MATCH(AF44,Tables!$E$244:$E$263,1),1),ROWS(Tables!$E$244:$E$263)-1))))/(INDEX(Tables!$E$244:$E$263,MAX(1,MIN(IFERROR(MATCH(AF44,Tables!$E$244:$E$263,1),1),ROWS(Tables!$E$244:$E$263)-1))+1)-INDEX(Tables!$E$244:$E$263,MAX(1,MIN(IFERROR(MATCH(AF44,Tables!$E$244:$E$263,1),1),ROWS(Tables!$E$244:$E$263)-1)))))))</f>
        <v>2.5920000000000001</v>
      </c>
      <c r="AV44" s="181">
        <f>IF(P44&lt;6,(INDEX(Tables!$B$260:$B$274,MAX(1,MIN(IFERROR(MATCH(U44,Tables!$A$260:$A$274,1),1),ROWS(Tables!$A$260:$A$274)-1)))+(U44-INDEX(Tables!$A$260:$A$274,MAX(1,MIN(IFERROR(MATCH(U44,Tables!$A$260:$A$274,1),1),ROWS(Tables!$A$260:$A$274)-1))))*(INDEX(Tables!$B$260:$B$274,MAX(1,MIN(IFERROR(MATCH(U44,Tables!$A$260:$A$274,1),1),ROWS(Tables!$A$260:$A$274)-1))+1)-INDEX(Tables!$B$260:$B$274,MAX(1,MIN(IFERROR(MATCH(U44,Tables!$A$260:$A$274,1),1),ROWS(Tables!$A$260:$A$274)-1))))/(INDEX(Tables!$A$260:$A$274,MAX(1,MIN(IFERROR(MATCH(U44,Tables!$A$260:$A$274,1),1),ROWS(Tables!$A$260:$A$274)-1))+1)-INDEX(Tables!$A$260:$A$274,MAX(1,MIN(IFERROR(MATCH(U44,Tables!$A$260:$A$274,1),1),ROWS(Tables!$A$260:$A$274)-1))))),IF(P44&lt;8,(INDEX(Tables!$D$260:$D$274,MAX(1,MIN(IFERROR(MATCH(U44,Tables!$C$260:$C$274,1),1),ROWS(Tables!$C$260:$C$274)-1)))+(U44-INDEX(Tables!$C$260:$C$274,MAX(1,MIN(IFERROR(MATCH(U44,Tables!$C$260:$C$274,1),1),ROWS(Tables!$C$260:$C$274)-1))))*(INDEX(Tables!$D$260:$D$274,MAX(1,MIN(IFERROR(MATCH(U44,Tables!$C$260:$C$274,1),1),ROWS(Tables!$C$260:$C$274)-1))+1)-INDEX(Tables!$D$260:$D$274,MAX(1,MIN(IFERROR(MATCH(U44,Tables!$C$260:$C$274,1),1),ROWS(Tables!$C$260:$C$274)-1))))/(INDEX(Tables!$C$260:$C$274,MAX(1,MIN(IFERROR(MATCH(U44,Tables!$C$260:$C$274,1),1),ROWS(Tables!$C$260:$C$274)-1))+1)-INDEX(Tables!$C$260:$C$274,MAX(1,MIN(IFERROR(MATCH(U44,Tables!$C$260:$C$274,1),1),ROWS(Tables!$C$260:$C$274)-1))))),IF(P44&lt;10,(INDEX(Tables!$F$260:$F$274,MAX(1,MIN(IFERROR(MATCH(U44,Tables!$E$260:$E$274,1),1),ROWS(Tables!$E$260:$E$274)-1)))+(U44-INDEX(Tables!$E$260:$E$274,MAX(1,MIN(IFERROR(MATCH(U44,Tables!$E$260:$E$274,1),1),ROWS(Tables!$E$260:$E$274)-1))))*(INDEX(Tables!$F$260:$F$274,MAX(1,MIN(IFERROR(MATCH(U44,Tables!$E$260:$E$274,1),1),ROWS(Tables!$E$260:$E$274)-1))+1)-INDEX(Tables!$F$260:$F$274,MAX(1,MIN(IFERROR(MATCH(U44,Tables!$E$260:$E$274,1),1),ROWS(Tables!$E$260:$E$274)-1))))/(INDEX(Tables!$E$260:$E$274,MAX(1,MIN(IFERROR(MATCH(U44,Tables!$E$260:$E$274,1),1),ROWS(Tables!$E$260:$E$274)-1))+1)-INDEX(Tables!$E$260:$E$274,MAX(1,MIN(IFERROR(MATCH(U44,Tables!$E$260:$E$274,1),1),ROWS(Tables!$E$260:$E$274)-1))))),(INDEX(Tables!$H$260:$H$274,MAX(1,MIN(IFERROR(MATCH(U44,Tables!$G$260:$G$274,1),1),ROWS(Tables!$G$260:$G$274)-1)))+(U44-INDEX(Tables!$G$260:$G$274,MAX(1,MIN(IFERROR(MATCH(U44,Tables!$G$260:$G$274,1),1),ROWS(Tables!$G$260:$G$274)-1))))*(INDEX(Tables!$H$260:$H$274,MAX(1,MIN(IFERROR(MATCH(U44,Tables!$G$260:$G$274,1),1),ROWS(Tables!$G$260:$G$274)-1))+1)-INDEX(Tables!$H$260:$H$274,MAX(1,MIN(IFERROR(MATCH(U44,Tables!$G$260:$G$274,1),1),ROWS(Tables!$G$260:$G$274)-1))))/(INDEX(Tables!$G$260:$G$274,MAX(1,MIN(IFERROR(MATCH(U44,Tables!$G$260:$G$274,1),1),ROWS(Tables!$G$260:$G$274)-1))+1)-INDEX(Tables!$G$260:$G$274,MAX(1,MIN(IFERROR(MATCH(U44,Tables!$G$260:$G$274,1),1),ROWS(Tables!$G$260:$G$274)-1))))))))</f>
        <v>1.4965000000000002</v>
      </c>
      <c r="AW44" s="181">
        <f t="shared" si="41"/>
        <v>404.05500000000006</v>
      </c>
      <c r="AX44" s="181">
        <f t="shared" si="42"/>
        <v>10001.736111111111</v>
      </c>
      <c r="AY44" s="181">
        <f t="shared" si="43"/>
        <v>10269.609656414554</v>
      </c>
      <c r="AZ44" s="181">
        <f t="shared" si="44"/>
        <v>3412.2050648931163</v>
      </c>
      <c r="BA44" s="181">
        <f t="shared" si="45"/>
        <v>-3000</v>
      </c>
      <c r="BB44" s="181">
        <f t="shared" si="46"/>
        <v>11493.974768540051</v>
      </c>
      <c r="BC44" s="181">
        <f t="shared" si="47"/>
        <v>46800</v>
      </c>
      <c r="BD44" s="181">
        <f>VLOOKUP(V44&amp;" "&amp;J44,Tables!$A$152:$E$239,4,FALSE)</f>
        <v>12000</v>
      </c>
      <c r="BE44" s="181">
        <f>VLOOKUP(V44&amp;" "&amp;J44,Tables!$A$152:$E$239,5,FALSE)</f>
        <v>23000</v>
      </c>
      <c r="BF44" s="181">
        <f t="shared" si="48"/>
        <v>8640</v>
      </c>
      <c r="BG44" s="181">
        <f t="shared" si="49"/>
        <v>16560</v>
      </c>
      <c r="BH44" s="181">
        <f t="shared" si="50"/>
        <v>11501.736111111111</v>
      </c>
      <c r="BI44" s="181">
        <f t="shared" si="51"/>
        <v>46800</v>
      </c>
      <c r="BJ44" s="181">
        <f t="shared" si="52"/>
        <v>11493.974768540051</v>
      </c>
      <c r="BK44" s="181">
        <f t="shared" si="53"/>
        <v>46800</v>
      </c>
      <c r="BL44" s="181">
        <f t="shared" si="54"/>
        <v>404.05500000000006</v>
      </c>
      <c r="BM44" s="181">
        <f t="shared" si="55"/>
        <v>8640</v>
      </c>
      <c r="BN44" s="181">
        <f t="shared" si="56"/>
        <v>242.44277343750002</v>
      </c>
      <c r="BO44" s="181">
        <f t="shared" si="57"/>
        <v>16560</v>
      </c>
      <c r="BP44" t="str">
        <f t="shared" si="58"/>
        <v>Pass</v>
      </c>
      <c r="BQ44" t="str">
        <f t="shared" si="59"/>
        <v>Pass</v>
      </c>
      <c r="BR44" t="str">
        <f t="shared" si="60"/>
        <v>Pass</v>
      </c>
      <c r="BS44" t="str">
        <f t="shared" si="61"/>
        <v>Pass</v>
      </c>
      <c r="BT44" t="str">
        <f t="shared" si="62"/>
        <v>Pass</v>
      </c>
      <c r="BU44" t="str">
        <f t="shared" si="63"/>
        <v>Barlow Stress</v>
      </c>
    </row>
    <row r="45" spans="1:73">
      <c r="A45" t="s">
        <v>637</v>
      </c>
      <c r="B45" s="181">
        <v>43</v>
      </c>
      <c r="C45" t="s">
        <v>594</v>
      </c>
      <c r="D45" s="181">
        <v>8</v>
      </c>
      <c r="E45" s="181">
        <v>0.90600000000000003</v>
      </c>
      <c r="F45" t="s">
        <v>117</v>
      </c>
      <c r="G45" t="s">
        <v>119</v>
      </c>
      <c r="H45" t="s">
        <v>122</v>
      </c>
      <c r="I45" s="181">
        <v>1</v>
      </c>
      <c r="J45" t="s">
        <v>126</v>
      </c>
      <c r="K45" t="s">
        <v>129</v>
      </c>
      <c r="L45" s="181">
        <v>70</v>
      </c>
      <c r="M45" s="181">
        <v>3000</v>
      </c>
      <c r="N45" t="s">
        <v>141</v>
      </c>
      <c r="O45" s="181">
        <v>120</v>
      </c>
      <c r="P45" s="181">
        <v>3</v>
      </c>
      <c r="Q45" s="181">
        <v>10.625</v>
      </c>
      <c r="R45" t="s">
        <v>154</v>
      </c>
      <c r="S45" t="s">
        <v>156</v>
      </c>
      <c r="T45" s="181">
        <v>70</v>
      </c>
      <c r="U45" s="181">
        <f>HLOOKUP(D45,'Highway Loading'!$C$155:$AD$156,2,FALSE)</f>
        <v>8.625</v>
      </c>
      <c r="V45" s="181">
        <f>IF(ISBLANK(G45),"",INDEX('Highway Loading'!$C$216:$AG$216,1,MATCH(G45,'Highway Loading'!$C$215:$AG$215,0)))</f>
        <v>65000</v>
      </c>
      <c r="W45" s="181">
        <f>INDEX('Highway Loading'!$I$245:$L$253,MATCH(H45,'Highway Loading'!$H$245:$H$253,0),MATCH(I45,'Highway Loading'!$I$244:$L$244,0))</f>
        <v>0.72</v>
      </c>
      <c r="X45" s="181">
        <f t="shared" si="32"/>
        <v>1</v>
      </c>
      <c r="Y45" s="181">
        <f>VLOOKUP(K45,'Highway Loading'!$B$283:$E$292,2,FALSE)</f>
        <v>29000000</v>
      </c>
      <c r="Z45" s="181">
        <f>VLOOKUP(K45,'Highway Loading'!$B$283:$E$292,3,FALSE)</f>
        <v>0.3</v>
      </c>
      <c r="AA45" s="181">
        <f>VLOOKUP(K45,'Highway Loading'!$B$283:$E$292,4,FALSE)</f>
        <v>6.4999999999999996E-6</v>
      </c>
      <c r="AB45" s="181">
        <f t="shared" si="33"/>
        <v>1</v>
      </c>
      <c r="AC45" s="181">
        <f>VLOOKUP(N45,'Highway Loading'!$B$256:$D$261,2,FALSE)</f>
        <v>500</v>
      </c>
      <c r="AD45" s="181">
        <f>VLOOKUP(N45,'Highway Loading'!$B$256:$D$261,3,FALSE)</f>
        <v>10000</v>
      </c>
      <c r="AE45" s="181">
        <f>VLOOKUP(S45,'Highway Loading'!$B$340:$C$341,2,FALSE)</f>
        <v>10000</v>
      </c>
      <c r="AF45" s="181">
        <f t="shared" si="34"/>
        <v>0.10504347826086957</v>
      </c>
      <c r="AG45" s="181">
        <f t="shared" si="35"/>
        <v>3.388235294117647</v>
      </c>
      <c r="AH45" s="181">
        <f t="shared" si="36"/>
        <v>1.2318840579710144</v>
      </c>
      <c r="AI45" s="181">
        <f t="shared" si="37"/>
        <v>14279.801324503311</v>
      </c>
      <c r="AJ45" s="181">
        <f t="shared" si="38"/>
        <v>46800</v>
      </c>
      <c r="AK45" s="181">
        <f>IF(AC45=200,(INDEX(Tables!$B$17:$B$38,MAX(1,MIN(IFERROR(MATCH(AF45,Tables!$A$17:$A$38,1),1),ROWS(Tables!$A$17:$A$38)-1)))+(AF45-INDEX(Tables!$A$17:$A$38,MAX(1,MIN(IFERROR(MATCH(AF45,Tables!$A$17:$A$38,1),1),ROWS(Tables!$A$17:$A$38)-1))))*(INDEX(Tables!$B$17:$B$38,MAX(1,MIN(IFERROR(MATCH(AF45,Tables!$A$17:$A$38,1),1),ROWS(Tables!$A$17:$A$38)-1))+1)-INDEX(Tables!$B$17:$B$38,MAX(1,MIN(IFERROR(MATCH(AF45,Tables!$A$17:$A$38,1),1),ROWS(Tables!$A$17:$A$38)-1))))/(INDEX(Tables!$A$17:$A$38,MAX(1,MIN(IFERROR(MATCH(AF45,Tables!$A$17:$A$38,1),1),ROWS(Tables!$A$17:$A$38)-1))+1)-INDEX(Tables!$A$17:$A$38,MAX(1,MIN(IFERROR(MATCH(AF45,Tables!$A$17:$A$38,1),1),ROWS(Tables!$A$17:$A$38)-1))))),IF(AC45=500,(INDEX(Tables!$D$17:$D$38,MAX(1,MIN(IFERROR(MATCH(AF45,Tables!$C$17:$C$38,1),1),ROWS(Tables!$C$17:$C$38)-1)))+(AF45-INDEX(Tables!$C$17:$C$38,MAX(1,MIN(IFERROR(MATCH(AF45,Tables!$C$17:$C$38,1),1),ROWS(Tables!$C$17:$C$38)-1))))*(INDEX(Tables!$D$17:$D$38,MAX(1,MIN(IFERROR(MATCH(AF45,Tables!$C$17:$C$38,1),1),ROWS(Tables!$C$17:$C$38)-1))+1)-INDEX(Tables!$D$17:$D$38,MAX(1,MIN(IFERROR(MATCH(AF45,Tables!$C$17:$C$38,1),1),ROWS(Tables!$C$17:$C$38)-1))))/(INDEX(Tables!$C$17:$C$38,MAX(1,MIN(IFERROR(MATCH(AF45,Tables!$C$17:$C$38,1),1),ROWS(Tables!$C$17:$C$38)-1))+1)-INDEX(Tables!$C$17:$C$38,MAX(1,MIN(IFERROR(MATCH(AF45,Tables!$C$17:$C$38,1),1),ROWS(Tables!$C$17:$C$38)-1))))),IF(AC45=1000,(INDEX(Tables!$F$17:$F$38,MAX(1,MIN(IFERROR(MATCH(AF45,Tables!$E$17:$E$38,1),1),ROWS(Tables!$E$17:$E$38)-1)))+(AF45-INDEX(Tables!$E$17:$E$38,MAX(1,MIN(IFERROR(MATCH(AF45,Tables!$E$17:$E$38,1),1),ROWS(Tables!$E$17:$E$38)-1))))*(INDEX(Tables!$F$17:$F$38,MAX(1,MIN(IFERROR(MATCH(AF45,Tables!$E$17:$E$38,1),1),ROWS(Tables!$E$17:$E$38)-1))+1)-INDEX(Tables!$F$17:$F$38,MAX(1,MIN(IFERROR(MATCH(AF45,Tables!$E$17:$E$38,1),1),ROWS(Tables!$E$17:$E$38)-1))))/(INDEX(Tables!$E$17:$E$38,MAX(1,MIN(IFERROR(MATCH(AF45,Tables!$E$17:$E$38,1),1),ROWS(Tables!$E$17:$E$38)-1))+1)-INDEX(Tables!$E$17:$E$38,MAX(1,MIN(IFERROR(MATCH(AF45,Tables!$E$17:$E$38,1),1),ROWS(Tables!$E$17:$E$38)-1))))),(INDEX(Tables!$H$17:$H$38,MAX(1,MIN(IFERROR(MATCH(AF45,Tables!$G$17:$G$38,1),1),ROWS(Tables!$G$17:$G$38)-1)))+(AF45-INDEX(Tables!$G$17:$G$38,MAX(1,MIN(IFERROR(MATCH(AF45,Tables!$G$17:$G$38,1),1),ROWS(Tables!$G$17:$G$38)-1))))*(INDEX(Tables!$H$17:$H$38,MAX(1,MIN(IFERROR(MATCH(AF45,Tables!$G$17:$G$38,1),1),ROWS(Tables!$G$17:$G$38)-1))+1)-INDEX(Tables!$H$17:$H$38,MAX(1,MIN(IFERROR(MATCH(AF45,Tables!$G$17:$G$38,1),1),ROWS(Tables!$G$17:$G$38)-1))))/(INDEX(Tables!$G$17:$G$38,MAX(1,MIN(IFERROR(MATCH(AF45,Tables!$G$17:$G$38,1),1),ROWS(Tables!$G$17:$G$38)-1))+1)-INDEX(Tables!$G$17:$G$38,MAX(1,MIN(IFERROR(MATCH(AF45,Tables!$G$17:$G$38,1),1),ROWS(Tables!$G$17:$G$38)-1))))))))</f>
        <v>88</v>
      </c>
      <c r="AL45" s="181">
        <f>IF(AC45&lt;1000,(INDEX(Tables!$B$43:$B$76,MAX(1,MIN(IFERROR(MATCH(AG45,Tables!$A$43:$A$76,1),1),ROWS(Tables!$A$43:$A$76)-1)))+(AG45-INDEX(Tables!$A$43:$A$76,MAX(1,MIN(IFERROR(MATCH(AG45,Tables!$A$43:$A$76,1),1),ROWS(Tables!$A$43:$A$76)-1))))*(INDEX(Tables!$B$43:$B$76,MAX(1,MIN(IFERROR(MATCH(AG45,Tables!$A$43:$A$76,1),1),ROWS(Tables!$A$43:$A$76)-1))+1)-INDEX(Tables!$B$43:$B$76,MAX(1,MIN(IFERROR(MATCH(AG45,Tables!$A$43:$A$76,1),1),ROWS(Tables!$A$43:$A$76)-1))))/(INDEX(Tables!$A$43:$A$76,MAX(1,MIN(IFERROR(MATCH(AG45,Tables!$A$43:$A$76,1),1),ROWS(Tables!$A$43:$A$76)-1))+1)-INDEX(Tables!$A$43:$A$76,MAX(1,MIN(IFERROR(MATCH(AG45,Tables!$A$43:$A$76,1),1),ROWS(Tables!$A$43:$A$76)-1))))),(INDEX(Tables!$D$43:$D$76,MAX(1,MIN(IFERROR(MATCH(AG45,Tables!$C$43:$C$76,1),1),ROWS(Tables!$C$43:$C$76)-1)))+(AG45-INDEX(Tables!$C$43:$C$76,MAX(1,MIN(IFERROR(MATCH(AG45,Tables!$C$43:$C$76,1),1),ROWS(Tables!$C$43:$C$76)-1))))*(INDEX(Tables!$D$43:$D$76,MAX(1,MIN(IFERROR(MATCH(AG45,Tables!$C$43:$C$76,1),1),ROWS(Tables!$C$43:$C$76)-1))+1)-INDEX(Tables!$D$43:$D$76,MAX(1,MIN(IFERROR(MATCH(AG45,Tables!$C$43:$C$76,1),1),ROWS(Tables!$C$43:$C$76)-1))))/(INDEX(Tables!$C$43:$C$76,MAX(1,MIN(IFERROR(MATCH(AG45,Tables!$C$43:$C$76,1),1),ROWS(Tables!$C$43:$C$76)-1))+1)-INDEX(Tables!$C$43:$C$76,MAX(1,MIN(IFERROR(MATCH(AG45,Tables!$C$43:$C$76,1),1),ROWS(Tables!$C$43:$C$76)-1))))))</f>
        <v>0.89796470588235289</v>
      </c>
      <c r="AM45" s="181">
        <f>(INDEX(Tables!$B$80:$B$87,MAX(1,MIN(IFERROR(MATCH(AH45,Tables!$A$80:$A$87,1),1),ROWS(Tables!$A$80:$A$87)-1)))+(AH45-INDEX(Tables!$A$80:$A$87,MAX(1,MIN(IFERROR(MATCH(AH45,Tables!$A$80:$A$87,1),1),ROWS(Tables!$A$80:$A$87)-1))))*(INDEX(Tables!$B$80:$B$87,MAX(1,MIN(IFERROR(MATCH(AH45,Tables!$A$80:$A$87,1),1),ROWS(Tables!$A$80:$A$87)-1))+1)-INDEX(Tables!$B$80:$B$87,MAX(1,MIN(IFERROR(MATCH(AH45,Tables!$A$80:$A$87,1),1),ROWS(Tables!$A$80:$A$87)-1))))/(INDEX(Tables!$A$80:$A$87,MAX(1,MIN(IFERROR(MATCH(AH45,Tables!$A$80:$A$87,1),1),ROWS(Tables!$A$80:$A$87)-1))+1)-INDEX(Tables!$A$80:$A$87,MAX(1,MIN(IFERROR(MATCH(AH45,Tables!$A$80:$A$87,1),1),ROWS(Tables!$A$80:$A$87)-1)))))</f>
        <v>1.2567086956521738</v>
      </c>
      <c r="AN45" s="181">
        <f t="shared" si="39"/>
        <v>59.480302860539219</v>
      </c>
      <c r="AO45" s="181">
        <f>(INDEX(Tables!$B$91:$B$94,MAX(1,MIN(IFERROR(MATCH(P45,Tables!$A$91:$A$94,1),1),ROWS(Tables!$A$91:$A$94)-1)))+(P45-INDEX(Tables!$A$91:$A$94,MAX(1,MIN(IFERROR(MATCH(P45,Tables!$A$91:$A$94,1),1),ROWS(Tables!$A$91:$A$94)-1))))*(INDEX(Tables!$B$91:$B$94,MAX(1,MIN(IFERROR(MATCH(P45,Tables!$A$91:$A$94,1),1),ROWS(Tables!$A$91:$A$94)-1))+1)-INDEX(Tables!$B$91:$B$94,MAX(1,MIN(IFERROR(MATCH(P45,Tables!$A$91:$A$94,1),1),ROWS(Tables!$A$91:$A$94)-1))))/(INDEX(Tables!$A$91:$A$94,MAX(1,MIN(IFERROR(MATCH(P45,Tables!$A$91:$A$94,1),1),ROWS(Tables!$A$91:$A$94)-1))+1)-INDEX(Tables!$A$91:$A$94,MAX(1,MIN(IFERROR(MATCH(P45,Tables!$A$91:$A$94,1),1),ROWS(Tables!$A$91:$A$94)-1)))))</f>
        <v>1.5</v>
      </c>
      <c r="AP45" s="181">
        <f>IF(AD45=5000,(INDEX(Tables!$B$99:$B$118,MAX(1,MIN(IFERROR(MATCH(AF45,Tables!$A$99:$A$118,1),1),ROWS(Tables!$A$99:$A$118)-1)))+(AF45-INDEX(Tables!$A$99:$A$118,MAX(1,MIN(IFERROR(MATCH(AF45,Tables!$A$99:$A$118,1),1),ROWS(Tables!$A$99:$A$118)-1))))*(INDEX(Tables!$B$99:$B$118,MAX(1,MIN(IFERROR(MATCH(AF45,Tables!$A$99:$A$118,1),1),ROWS(Tables!$A$99:$A$118)-1))+1)-INDEX(Tables!$B$99:$B$118,MAX(1,MIN(IFERROR(MATCH(AF45,Tables!$A$99:$A$118,1),1),ROWS(Tables!$A$99:$A$118)-1))))/(INDEX(Tables!$A$99:$A$118,MAX(1,MIN(IFERROR(MATCH(AF45,Tables!$A$99:$A$118,1),1),ROWS(Tables!$A$99:$A$118)-1))+1)-INDEX(Tables!$A$99:$A$118,MAX(1,MIN(IFERROR(MATCH(AF45,Tables!$A$99:$A$118,1),1),ROWS(Tables!$A$99:$A$118)-1))))),IF(AD45=10000,(INDEX(Tables!$D$99:$D$118,MAX(1,MIN(IFERROR(MATCH(AF45,Tables!$C$99:$C$118,1),1),ROWS(Tables!$C$99:$C$118)-1)))+(AF45-INDEX(Tables!$C$99:$C$118,MAX(1,MIN(IFERROR(MATCH(AF45,Tables!$C$99:$C$118,1),1),ROWS(Tables!$C$99:$C$118)-1))))*(INDEX(Tables!$D$99:$D$118,MAX(1,MIN(IFERROR(MATCH(AF45,Tables!$C$99:$C$118,1),1),ROWS(Tables!$C$99:$C$118)-1))+1)-INDEX(Tables!$D$99:$D$118,MAX(1,MIN(IFERROR(MATCH(AF45,Tables!$C$99:$C$118,1),1),ROWS(Tables!$C$99:$C$118)-1))))/(INDEX(Tables!$C$99:$C$118,MAX(1,MIN(IFERROR(MATCH(AF45,Tables!$C$99:$C$118,1),1),ROWS(Tables!$C$99:$C$118)-1))+1)-INDEX(Tables!$C$99:$C$118,MAX(1,MIN(IFERROR(MATCH(AF45,Tables!$C$99:$C$118,1),1),ROWS(Tables!$C$99:$C$118)-1))))),(INDEX(Tables!$F$99:$F$118,MAX(1,MIN(IFERROR(MATCH(AF45,Tables!$E$99:$E$118,1),1),ROWS(Tables!$E$99:$E$118)-1)))+(AF45-INDEX(Tables!$E$99:$E$118,MAX(1,MIN(IFERROR(MATCH(AF45,Tables!$E$99:$E$118,1),1),ROWS(Tables!$E$99:$E$118)-1))))*(INDEX(Tables!$F$99:$F$118,MAX(1,MIN(IFERROR(MATCH(AF45,Tables!$E$99:$E$118,1),1),ROWS(Tables!$E$99:$E$118)-1))+1)-INDEX(Tables!$F$99:$F$118,MAX(1,MIN(IFERROR(MATCH(AF45,Tables!$E$99:$E$118,1),1),ROWS(Tables!$E$99:$E$118)-1))))/(INDEX(Tables!$E$99:$E$118,MAX(1,MIN(IFERROR(MATCH(AF45,Tables!$E$99:$E$118,1),1),ROWS(Tables!$E$99:$E$118)-1))+1)-INDEX(Tables!$E$99:$E$118,MAX(1,MIN(IFERROR(MATCH(AF45,Tables!$E$99:$E$118,1),1),ROWS(Tables!$E$99:$E$118)-1)))))))</f>
        <v>1.605</v>
      </c>
      <c r="AQ45" s="181">
        <f>IF(P45&lt;6,(INDEX(Tables!$B$123:$B$138,MAX(1,MIN(IFERROR(MATCH(U45,Tables!$A$123:$A$138,1),1),ROWS(Tables!$A$123:$A$138)-1)))+(U45-INDEX(Tables!$A$123:$A$138,MAX(1,MIN(IFERROR(MATCH(U45,Tables!$A$123:$A$138,1),1),ROWS(Tables!$A$123:$A$138)-1))))*(INDEX(Tables!$B$123:$B$138,MAX(1,MIN(IFERROR(MATCH(U45,Tables!$A$123:$A$138,1),1),ROWS(Tables!$A$123:$A$138)-1))+1)-INDEX(Tables!$B$123:$B$138,MAX(1,MIN(IFERROR(MATCH(U45,Tables!$A$123:$A$138,1),1),ROWS(Tables!$A$123:$A$138)-1))))/(INDEX(Tables!$A$123:$A$138,MAX(1,MIN(IFERROR(MATCH(U45,Tables!$A$123:$A$138,1),1),ROWS(Tables!$A$123:$A$138)-1))+1)-INDEX(Tables!$A$123:$A$138,MAX(1,MIN(IFERROR(MATCH(U45,Tables!$A$123:$A$138,1),1),ROWS(Tables!$A$123:$A$138)-1))))),IF(P45&lt;8,(INDEX(Tables!$D$123:$D$138,MAX(1,MIN(IFERROR(MATCH(U45,Tables!$C$123:$C$138,1),1),ROWS(Tables!$C$123:$C$138)-1)))+(U45-INDEX(Tables!$C$123:$C$138,MAX(1,MIN(IFERROR(MATCH(U45,Tables!$C$123:$C$138,1),1),ROWS(Tables!$C$123:$C$138)-1))))*(INDEX(Tables!$D$123:$D$138,MAX(1,MIN(IFERROR(MATCH(U45,Tables!$C$123:$C$138,1),1),ROWS(Tables!$C$123:$C$138)-1))+1)-INDEX(Tables!$D$123:$D$138,MAX(1,MIN(IFERROR(MATCH(U45,Tables!$C$123:$C$138,1),1),ROWS(Tables!$C$123:$C$138)-1))))/(INDEX(Tables!$C$123:$C$138,MAX(1,MIN(IFERROR(MATCH(U45,Tables!$C$123:$C$138,1),1),ROWS(Tables!$C$123:$C$138)-1))+1)-INDEX(Tables!$C$123:$C$138,MAX(1,MIN(IFERROR(MATCH(U45,Tables!$C$123:$C$138,1),1),ROWS(Tables!$C$123:$C$138)-1))))),IF(P45&lt;10,(INDEX(Tables!$F$123:$F$138,MAX(1,MIN(IFERROR(MATCH(U45,Tables!$E$123:$E$138,1),1),ROWS(Tables!$E$123:$E$138)-1)))+(U45-INDEX(Tables!$E$123:$E$138,MAX(1,MIN(IFERROR(MATCH(U45,Tables!$E$123:$E$138,1),1),ROWS(Tables!$E$123:$E$138)-1))))*(INDEX(Tables!$F$123:$F$138,MAX(1,MIN(IFERROR(MATCH(U45,Tables!$E$123:$E$138,1),1),ROWS(Tables!$E$123:$E$138)-1))+1)-INDEX(Tables!$F$123:$F$138,MAX(1,MIN(IFERROR(MATCH(U45,Tables!$E$123:$E$138,1),1),ROWS(Tables!$E$123:$E$138)-1))))/(INDEX(Tables!$E$123:$E$138,MAX(1,MIN(IFERROR(MATCH(U45,Tables!$E$123:$E$138,1),1),ROWS(Tables!$E$123:$E$138)-1))+1)-INDEX(Tables!$E$123:$E$138,MAX(1,MIN(IFERROR(MATCH(U45,Tables!$E$123:$E$138,1),1),ROWS(Tables!$E$123:$E$138)-1))))),(INDEX(Tables!$H$123:$H$138,MAX(1,MIN(IFERROR(MATCH(U45,Tables!$G$123:$G$138,1),1),ROWS(Tables!$G$123:$G$138)-1)))+(U45-INDEX(Tables!$G$123:$G$138,MAX(1,MIN(IFERROR(MATCH(U45,Tables!$G$123:$G$138,1),1),ROWS(Tables!$G$123:$G$138)-1))))*(INDEX(Tables!$H$123:$H$138,MAX(1,MIN(IFERROR(MATCH(U45,Tables!$G$123:$G$138,1),1),ROWS(Tables!$G$123:$G$138)-1))+1)-INDEX(Tables!$H$123:$H$138,MAX(1,MIN(IFERROR(MATCH(U45,Tables!$G$123:$G$138,1),1),ROWS(Tables!$G$123:$G$138)-1))))/(INDEX(Tables!$G$123:$G$138,MAX(1,MIN(IFERROR(MATCH(U45,Tables!$G$123:$G$138,1),1),ROWS(Tables!$G$123:$G$138)-1))+1)-INDEX(Tables!$G$123:$G$138,MAX(1,MIN(IFERROR(MATCH(U45,Tables!$G$123:$G$138,1),1),ROWS(Tables!$G$123:$G$138)-1))))))))</f>
        <v>1.389875</v>
      </c>
      <c r="AR45" s="181">
        <f>IF(OR(P45&gt;=4,U45&gt;12),VLOOKUP(R45&amp;" "&amp;S45,Tables!$D$143:$F$148,2,FALSE),VLOOKUP(R45&amp;" "&amp;S45,Tables!$A$143:$C$148,2,FALSE))</f>
        <v>1</v>
      </c>
      <c r="AS45" s="181">
        <f>IF(OR(P45&gt;=4,U45&gt;12),VLOOKUP(R45&amp;" "&amp;S45,Tables!$D$143:$F$148,3,FALSE),VLOOKUP(R45&amp;" "&amp;S45,Tables!$A$143:$C$148,3,FALSE))</f>
        <v>1</v>
      </c>
      <c r="AT45" s="181">
        <f t="shared" si="40"/>
        <v>232.36972656249998</v>
      </c>
      <c r="AU45" s="181">
        <f>IF(AD45=5000,(INDEX(Tables!$B$244:$B$263,MAX(1,MIN(IFERROR(MATCH(AF45,Tables!$A$244:$A$263,1),1),ROWS(Tables!$A$244:$A$263)-1)))+(AF45-INDEX(Tables!$A$244:$A$263,MAX(1,MIN(IFERROR(MATCH(AF45,Tables!$A$244:$A$263,1),1),ROWS(Tables!$A$244:$A$263)-1))))*(INDEX(Tables!$B$244:$B$263,MAX(1,MIN(IFERROR(MATCH(AF45,Tables!$A$244:$A$263,1),1),ROWS(Tables!$A$244:$A$263)-1))+1)-INDEX(Tables!$B$244:$B$263,MAX(1,MIN(IFERROR(MATCH(AF45,Tables!$A$244:$A$263,1),1),ROWS(Tables!$A$244:$A$263)-1))))/(INDEX(Tables!$A$244:$A$263,MAX(1,MIN(IFERROR(MATCH(AF45,Tables!$A$244:$A$263,1),1),ROWS(Tables!$A$244:$A$263)-1))+1)-INDEX(Tables!$A$244:$A$263,MAX(1,MIN(IFERROR(MATCH(AF45,Tables!$A$244:$A$263,1),1),ROWS(Tables!$A$244:$A$263)-1))))),IF(AD45=10000,(INDEX(Tables!$D$244:$D$263,MAX(1,MIN(IFERROR(MATCH(AF45,Tables!$C$244:$C$263,1),1),ROWS(Tables!$C$244:$C$263)-1)))+(AF45-INDEX(Tables!$C$244:$C$263,MAX(1,MIN(IFERROR(MATCH(AF45,Tables!$C$244:$C$263,1),1),ROWS(Tables!$C$244:$C$263)-1))))*(INDEX(Tables!$D$244:$D$263,MAX(1,MIN(IFERROR(MATCH(AF45,Tables!$C$244:$C$263,1),1),ROWS(Tables!$C$244:$C$263)-1))+1)-INDEX(Tables!$D$244:$D$263,MAX(1,MIN(IFERROR(MATCH(AF45,Tables!$C$244:$C$263,1),1),ROWS(Tables!$C$244:$C$263)-1))))/(INDEX(Tables!$C$244:$C$263,MAX(1,MIN(IFERROR(MATCH(AF45,Tables!$C$244:$C$263,1),1),ROWS(Tables!$C$244:$C$263)-1))+1)-INDEX(Tables!$C$244:$C$263,MAX(1,MIN(IFERROR(MATCH(AF45,Tables!$C$244:$C$263,1),1),ROWS(Tables!$C$244:$C$263)-1))))),(INDEX(Tables!$F$244:$F$263,MAX(1,MIN(IFERROR(MATCH(AF45,Tables!$E$244:$E$263,1),1),ROWS(Tables!$E$244:$E$263)-1)))+(AF45-INDEX(Tables!$E$244:$E$263,MAX(1,MIN(IFERROR(MATCH(AF45,Tables!$E$244:$E$263,1),1),ROWS(Tables!$E$244:$E$263)-1))))*(INDEX(Tables!$F$244:$F$263,MAX(1,MIN(IFERROR(MATCH(AF45,Tables!$E$244:$E$263,1),1),ROWS(Tables!$E$244:$E$263)-1))+1)-INDEX(Tables!$F$244:$F$263,MAX(1,MIN(IFERROR(MATCH(AF45,Tables!$E$244:$E$263,1),1),ROWS(Tables!$E$244:$E$263)-1))))/(INDEX(Tables!$E$244:$E$263,MAX(1,MIN(IFERROR(MATCH(AF45,Tables!$E$244:$E$263,1),1),ROWS(Tables!$E$244:$E$263)-1))+1)-INDEX(Tables!$E$244:$E$263,MAX(1,MIN(IFERROR(MATCH(AF45,Tables!$E$244:$E$263,1),1),ROWS(Tables!$E$244:$E$263)-1)))))))</f>
        <v>2.5920000000000001</v>
      </c>
      <c r="AV45" s="181">
        <f>IF(P45&lt;6,(INDEX(Tables!$B$260:$B$274,MAX(1,MIN(IFERROR(MATCH(U45,Tables!$A$260:$A$274,1),1),ROWS(Tables!$A$260:$A$274)-1)))+(U45-INDEX(Tables!$A$260:$A$274,MAX(1,MIN(IFERROR(MATCH(U45,Tables!$A$260:$A$274,1),1),ROWS(Tables!$A$260:$A$274)-1))))*(INDEX(Tables!$B$260:$B$274,MAX(1,MIN(IFERROR(MATCH(U45,Tables!$A$260:$A$274,1),1),ROWS(Tables!$A$260:$A$274)-1))+1)-INDEX(Tables!$B$260:$B$274,MAX(1,MIN(IFERROR(MATCH(U45,Tables!$A$260:$A$274,1),1),ROWS(Tables!$A$260:$A$274)-1))))/(INDEX(Tables!$A$260:$A$274,MAX(1,MIN(IFERROR(MATCH(U45,Tables!$A$260:$A$274,1),1),ROWS(Tables!$A$260:$A$274)-1))+1)-INDEX(Tables!$A$260:$A$274,MAX(1,MIN(IFERROR(MATCH(U45,Tables!$A$260:$A$274,1),1),ROWS(Tables!$A$260:$A$274)-1))))),IF(P45&lt;8,(INDEX(Tables!$D$260:$D$274,MAX(1,MIN(IFERROR(MATCH(U45,Tables!$C$260:$C$274,1),1),ROWS(Tables!$C$260:$C$274)-1)))+(U45-INDEX(Tables!$C$260:$C$274,MAX(1,MIN(IFERROR(MATCH(U45,Tables!$C$260:$C$274,1),1),ROWS(Tables!$C$260:$C$274)-1))))*(INDEX(Tables!$D$260:$D$274,MAX(1,MIN(IFERROR(MATCH(U45,Tables!$C$260:$C$274,1),1),ROWS(Tables!$C$260:$C$274)-1))+1)-INDEX(Tables!$D$260:$D$274,MAX(1,MIN(IFERROR(MATCH(U45,Tables!$C$260:$C$274,1),1),ROWS(Tables!$C$260:$C$274)-1))))/(INDEX(Tables!$C$260:$C$274,MAX(1,MIN(IFERROR(MATCH(U45,Tables!$C$260:$C$274,1),1),ROWS(Tables!$C$260:$C$274)-1))+1)-INDEX(Tables!$C$260:$C$274,MAX(1,MIN(IFERROR(MATCH(U45,Tables!$C$260:$C$274,1),1),ROWS(Tables!$C$260:$C$274)-1))))),IF(P45&lt;10,(INDEX(Tables!$F$260:$F$274,MAX(1,MIN(IFERROR(MATCH(U45,Tables!$E$260:$E$274,1),1),ROWS(Tables!$E$260:$E$274)-1)))+(U45-INDEX(Tables!$E$260:$E$274,MAX(1,MIN(IFERROR(MATCH(U45,Tables!$E$260:$E$274,1),1),ROWS(Tables!$E$260:$E$274)-1))))*(INDEX(Tables!$F$260:$F$274,MAX(1,MIN(IFERROR(MATCH(U45,Tables!$E$260:$E$274,1),1),ROWS(Tables!$E$260:$E$274)-1))+1)-INDEX(Tables!$F$260:$F$274,MAX(1,MIN(IFERROR(MATCH(U45,Tables!$E$260:$E$274,1),1),ROWS(Tables!$E$260:$E$274)-1))))/(INDEX(Tables!$E$260:$E$274,MAX(1,MIN(IFERROR(MATCH(U45,Tables!$E$260:$E$274,1),1),ROWS(Tables!$E$260:$E$274)-1))+1)-INDEX(Tables!$E$260:$E$274,MAX(1,MIN(IFERROR(MATCH(U45,Tables!$E$260:$E$274,1),1),ROWS(Tables!$E$260:$E$274)-1))))),(INDEX(Tables!$H$260:$H$274,MAX(1,MIN(IFERROR(MATCH(U45,Tables!$G$260:$G$274,1),1),ROWS(Tables!$G$260:$G$274)-1)))+(U45-INDEX(Tables!$G$260:$G$274,MAX(1,MIN(IFERROR(MATCH(U45,Tables!$G$260:$G$274,1),1),ROWS(Tables!$G$260:$G$274)-1))))*(INDEX(Tables!$H$260:$H$274,MAX(1,MIN(IFERROR(MATCH(U45,Tables!$G$260:$G$274,1),1),ROWS(Tables!$G$260:$G$274)-1))+1)-INDEX(Tables!$H$260:$H$274,MAX(1,MIN(IFERROR(MATCH(U45,Tables!$G$260:$G$274,1),1),ROWS(Tables!$G$260:$G$274)-1))))/(INDEX(Tables!$G$260:$G$274,MAX(1,MIN(IFERROR(MATCH(U45,Tables!$G$260:$G$274,1),1),ROWS(Tables!$G$260:$G$274)-1))+1)-INDEX(Tables!$G$260:$G$274,MAX(1,MIN(IFERROR(MATCH(U45,Tables!$G$260:$G$274,1),1),ROWS(Tables!$G$260:$G$274)-1))))))))</f>
        <v>1.3123750000000001</v>
      </c>
      <c r="AW45" s="181">
        <f t="shared" si="41"/>
        <v>354.34125</v>
      </c>
      <c r="AX45" s="181">
        <f t="shared" si="42"/>
        <v>12779.801324503311</v>
      </c>
      <c r="AY45" s="181">
        <f t="shared" si="43"/>
        <v>13071.651353926351</v>
      </c>
      <c r="AZ45" s="181">
        <f t="shared" si="44"/>
        <v>4206.1257382091544</v>
      </c>
      <c r="BA45" s="181">
        <f t="shared" si="45"/>
        <v>-3000</v>
      </c>
      <c r="BB45" s="181">
        <f t="shared" si="46"/>
        <v>13943.166244436394</v>
      </c>
      <c r="BC45" s="181">
        <f t="shared" si="47"/>
        <v>46800</v>
      </c>
      <c r="BD45" s="181">
        <f>VLOOKUP(V45&amp;" "&amp;J45,Tables!$A$152:$E$239,4,FALSE)</f>
        <v>12000</v>
      </c>
      <c r="BE45" s="181">
        <f>VLOOKUP(V45&amp;" "&amp;J45,Tables!$A$152:$E$239,5,FALSE)</f>
        <v>23000</v>
      </c>
      <c r="BF45" s="181">
        <f t="shared" si="48"/>
        <v>8640</v>
      </c>
      <c r="BG45" s="181">
        <f t="shared" si="49"/>
        <v>16560</v>
      </c>
      <c r="BH45" s="181">
        <f t="shared" si="50"/>
        <v>14279.801324503311</v>
      </c>
      <c r="BI45" s="181">
        <f t="shared" si="51"/>
        <v>46800</v>
      </c>
      <c r="BJ45" s="181">
        <f t="shared" si="52"/>
        <v>13943.166244436394</v>
      </c>
      <c r="BK45" s="181">
        <f t="shared" si="53"/>
        <v>46800</v>
      </c>
      <c r="BL45" s="181">
        <f t="shared" si="54"/>
        <v>354.34125</v>
      </c>
      <c r="BM45" s="181">
        <f t="shared" si="55"/>
        <v>8640</v>
      </c>
      <c r="BN45" s="181">
        <f t="shared" si="56"/>
        <v>232.36972656249998</v>
      </c>
      <c r="BO45" s="181">
        <f t="shared" si="57"/>
        <v>16560</v>
      </c>
      <c r="BP45" t="str">
        <f t="shared" si="58"/>
        <v>Pass</v>
      </c>
      <c r="BQ45" t="str">
        <f t="shared" si="59"/>
        <v>Pass</v>
      </c>
      <c r="BR45" t="str">
        <f t="shared" si="60"/>
        <v>Pass</v>
      </c>
      <c r="BS45" t="str">
        <f t="shared" si="61"/>
        <v>Pass</v>
      </c>
      <c r="BT45" t="str">
        <f t="shared" si="62"/>
        <v>Pass</v>
      </c>
      <c r="BU45" t="str">
        <f t="shared" si="63"/>
        <v>Barlow Stress</v>
      </c>
    </row>
    <row r="46" spans="1:73">
      <c r="A46" t="s">
        <v>638</v>
      </c>
      <c r="B46" s="181">
        <v>44</v>
      </c>
      <c r="C46" t="s">
        <v>594</v>
      </c>
      <c r="D46" s="181">
        <v>12</v>
      </c>
      <c r="E46" s="181">
        <v>1.3120000000000001</v>
      </c>
      <c r="F46" t="s">
        <v>117</v>
      </c>
      <c r="G46" t="s">
        <v>119</v>
      </c>
      <c r="H46" t="s">
        <v>122</v>
      </c>
      <c r="I46" s="181">
        <v>1</v>
      </c>
      <c r="J46" t="s">
        <v>126</v>
      </c>
      <c r="K46" t="s">
        <v>129</v>
      </c>
      <c r="L46" s="181">
        <v>70</v>
      </c>
      <c r="M46" s="181">
        <v>3000</v>
      </c>
      <c r="N46" t="s">
        <v>141</v>
      </c>
      <c r="O46" s="181">
        <v>120</v>
      </c>
      <c r="P46" s="181">
        <v>6</v>
      </c>
      <c r="Q46" s="181">
        <v>14.75</v>
      </c>
      <c r="R46" t="s">
        <v>154</v>
      </c>
      <c r="S46" t="s">
        <v>420</v>
      </c>
      <c r="T46" s="181">
        <v>70</v>
      </c>
      <c r="U46" s="181">
        <f>HLOOKUP(D46,'Highway Loading'!$C$155:$AD$156,2,FALSE)</f>
        <v>12.75</v>
      </c>
      <c r="V46" s="181">
        <f>IF(ISBLANK(G46),"",INDEX('Highway Loading'!$C$216:$AG$216,1,MATCH(G46,'Highway Loading'!$C$215:$AG$215,0)))</f>
        <v>65000</v>
      </c>
      <c r="W46" s="181">
        <f>INDEX('Highway Loading'!$I$245:$L$253,MATCH(H46,'Highway Loading'!$H$245:$H$253,0),MATCH(I46,'Highway Loading'!$I$244:$L$244,0))</f>
        <v>0.72</v>
      </c>
      <c r="X46" s="181">
        <f t="shared" si="32"/>
        <v>1</v>
      </c>
      <c r="Y46" s="181">
        <f>VLOOKUP(K46,'Highway Loading'!$B$283:$E$292,2,FALSE)</f>
        <v>29000000</v>
      </c>
      <c r="Z46" s="181">
        <f>VLOOKUP(K46,'Highway Loading'!$B$283:$E$292,3,FALSE)</f>
        <v>0.3</v>
      </c>
      <c r="AA46" s="181">
        <f>VLOOKUP(K46,'Highway Loading'!$B$283:$E$292,4,FALSE)</f>
        <v>6.4999999999999996E-6</v>
      </c>
      <c r="AB46" s="181">
        <f t="shared" si="33"/>
        <v>1</v>
      </c>
      <c r="AC46" s="181">
        <f>VLOOKUP(N46,'Highway Loading'!$B$256:$D$261,2,FALSE)</f>
        <v>500</v>
      </c>
      <c r="AD46" s="181">
        <f>VLOOKUP(N46,'Highway Loading'!$B$256:$D$261,3,FALSE)</f>
        <v>10000</v>
      </c>
      <c r="AE46" s="181">
        <f>VLOOKUP(S46,'Highway Loading'!$B$340:$C$341,2,FALSE)</f>
        <v>12000</v>
      </c>
      <c r="AF46" s="181">
        <f t="shared" si="34"/>
        <v>0.10290196078431373</v>
      </c>
      <c r="AG46" s="181">
        <f t="shared" si="35"/>
        <v>4.8813559322033901</v>
      </c>
      <c r="AH46" s="181">
        <f t="shared" si="36"/>
        <v>1.1568627450980393</v>
      </c>
      <c r="AI46" s="181">
        <f t="shared" si="37"/>
        <v>14576.981707317073</v>
      </c>
      <c r="AJ46" s="181">
        <f t="shared" si="38"/>
        <v>46800</v>
      </c>
      <c r="AK46" s="181">
        <f>IF(AC46=200,(INDEX(Tables!$B$17:$B$38,MAX(1,MIN(IFERROR(MATCH(AF46,Tables!$A$17:$A$38,1),1),ROWS(Tables!$A$17:$A$38)-1)))+(AF46-INDEX(Tables!$A$17:$A$38,MAX(1,MIN(IFERROR(MATCH(AF46,Tables!$A$17:$A$38,1),1),ROWS(Tables!$A$17:$A$38)-1))))*(INDEX(Tables!$B$17:$B$38,MAX(1,MIN(IFERROR(MATCH(AF46,Tables!$A$17:$A$38,1),1),ROWS(Tables!$A$17:$A$38)-1))+1)-INDEX(Tables!$B$17:$B$38,MAX(1,MIN(IFERROR(MATCH(AF46,Tables!$A$17:$A$38,1),1),ROWS(Tables!$A$17:$A$38)-1))))/(INDEX(Tables!$A$17:$A$38,MAX(1,MIN(IFERROR(MATCH(AF46,Tables!$A$17:$A$38,1),1),ROWS(Tables!$A$17:$A$38)-1))+1)-INDEX(Tables!$A$17:$A$38,MAX(1,MIN(IFERROR(MATCH(AF46,Tables!$A$17:$A$38,1),1),ROWS(Tables!$A$17:$A$38)-1))))),IF(AC46=500,(INDEX(Tables!$D$17:$D$38,MAX(1,MIN(IFERROR(MATCH(AF46,Tables!$C$17:$C$38,1),1),ROWS(Tables!$C$17:$C$38)-1)))+(AF46-INDEX(Tables!$C$17:$C$38,MAX(1,MIN(IFERROR(MATCH(AF46,Tables!$C$17:$C$38,1),1),ROWS(Tables!$C$17:$C$38)-1))))*(INDEX(Tables!$D$17:$D$38,MAX(1,MIN(IFERROR(MATCH(AF46,Tables!$C$17:$C$38,1),1),ROWS(Tables!$C$17:$C$38)-1))+1)-INDEX(Tables!$D$17:$D$38,MAX(1,MIN(IFERROR(MATCH(AF46,Tables!$C$17:$C$38,1),1),ROWS(Tables!$C$17:$C$38)-1))))/(INDEX(Tables!$C$17:$C$38,MAX(1,MIN(IFERROR(MATCH(AF46,Tables!$C$17:$C$38,1),1),ROWS(Tables!$C$17:$C$38)-1))+1)-INDEX(Tables!$C$17:$C$38,MAX(1,MIN(IFERROR(MATCH(AF46,Tables!$C$17:$C$38,1),1),ROWS(Tables!$C$17:$C$38)-1))))),IF(AC46=1000,(INDEX(Tables!$F$17:$F$38,MAX(1,MIN(IFERROR(MATCH(AF46,Tables!$E$17:$E$38,1),1),ROWS(Tables!$E$17:$E$38)-1)))+(AF46-INDEX(Tables!$E$17:$E$38,MAX(1,MIN(IFERROR(MATCH(AF46,Tables!$E$17:$E$38,1),1),ROWS(Tables!$E$17:$E$38)-1))))*(INDEX(Tables!$F$17:$F$38,MAX(1,MIN(IFERROR(MATCH(AF46,Tables!$E$17:$E$38,1),1),ROWS(Tables!$E$17:$E$38)-1))+1)-INDEX(Tables!$F$17:$F$38,MAX(1,MIN(IFERROR(MATCH(AF46,Tables!$E$17:$E$38,1),1),ROWS(Tables!$E$17:$E$38)-1))))/(INDEX(Tables!$E$17:$E$38,MAX(1,MIN(IFERROR(MATCH(AF46,Tables!$E$17:$E$38,1),1),ROWS(Tables!$E$17:$E$38)-1))+1)-INDEX(Tables!$E$17:$E$38,MAX(1,MIN(IFERROR(MATCH(AF46,Tables!$E$17:$E$38,1),1),ROWS(Tables!$E$17:$E$38)-1))))),(INDEX(Tables!$H$17:$H$38,MAX(1,MIN(IFERROR(MATCH(AF46,Tables!$G$17:$G$38,1),1),ROWS(Tables!$G$17:$G$38)-1)))+(AF46-INDEX(Tables!$G$17:$G$38,MAX(1,MIN(IFERROR(MATCH(AF46,Tables!$G$17:$G$38,1),1),ROWS(Tables!$G$17:$G$38)-1))))*(INDEX(Tables!$H$17:$H$38,MAX(1,MIN(IFERROR(MATCH(AF46,Tables!$G$17:$G$38,1),1),ROWS(Tables!$G$17:$G$38)-1))+1)-INDEX(Tables!$H$17:$H$38,MAX(1,MIN(IFERROR(MATCH(AF46,Tables!$G$17:$G$38,1),1),ROWS(Tables!$G$17:$G$38)-1))))/(INDEX(Tables!$G$17:$G$38,MAX(1,MIN(IFERROR(MATCH(AF46,Tables!$G$17:$G$38,1),1),ROWS(Tables!$G$17:$G$38)-1))+1)-INDEX(Tables!$G$17:$G$38,MAX(1,MIN(IFERROR(MATCH(AF46,Tables!$G$17:$G$38,1),1),ROWS(Tables!$G$17:$G$38)-1))))))))</f>
        <v>88</v>
      </c>
      <c r="AL46" s="181">
        <f>IF(AC46&lt;1000,(INDEX(Tables!$B$43:$B$76,MAX(1,MIN(IFERROR(MATCH(AG46,Tables!$A$43:$A$76,1),1),ROWS(Tables!$A$43:$A$76)-1)))+(AG46-INDEX(Tables!$A$43:$A$76,MAX(1,MIN(IFERROR(MATCH(AG46,Tables!$A$43:$A$76,1),1),ROWS(Tables!$A$43:$A$76)-1))))*(INDEX(Tables!$B$43:$B$76,MAX(1,MIN(IFERROR(MATCH(AG46,Tables!$A$43:$A$76,1),1),ROWS(Tables!$A$43:$A$76)-1))+1)-INDEX(Tables!$B$43:$B$76,MAX(1,MIN(IFERROR(MATCH(AG46,Tables!$A$43:$A$76,1),1),ROWS(Tables!$A$43:$A$76)-1))))/(INDEX(Tables!$A$43:$A$76,MAX(1,MIN(IFERROR(MATCH(AG46,Tables!$A$43:$A$76,1),1),ROWS(Tables!$A$43:$A$76)-1))+1)-INDEX(Tables!$A$43:$A$76,MAX(1,MIN(IFERROR(MATCH(AG46,Tables!$A$43:$A$76,1),1),ROWS(Tables!$A$43:$A$76)-1))))),(INDEX(Tables!$D$43:$D$76,MAX(1,MIN(IFERROR(MATCH(AG46,Tables!$C$43:$C$76,1),1),ROWS(Tables!$C$43:$C$76)-1)))+(AG46-INDEX(Tables!$C$43:$C$76,MAX(1,MIN(IFERROR(MATCH(AG46,Tables!$C$43:$C$76,1),1),ROWS(Tables!$C$43:$C$76)-1))))*(INDEX(Tables!$D$43:$D$76,MAX(1,MIN(IFERROR(MATCH(AG46,Tables!$C$43:$C$76,1),1),ROWS(Tables!$C$43:$C$76)-1))+1)-INDEX(Tables!$D$43:$D$76,MAX(1,MIN(IFERROR(MATCH(AG46,Tables!$C$43:$C$76,1),1),ROWS(Tables!$C$43:$C$76)-1))))/(INDEX(Tables!$C$43:$C$76,MAX(1,MIN(IFERROR(MATCH(AG46,Tables!$C$43:$C$76,1),1),ROWS(Tables!$C$43:$C$76)-1))+1)-INDEX(Tables!$C$43:$C$76,MAX(1,MIN(IFERROR(MATCH(AG46,Tables!$C$43:$C$76,1),1),ROWS(Tables!$C$43:$C$76)-1))))))</f>
        <v>1.0658474576271186</v>
      </c>
      <c r="AM46" s="181">
        <f>(INDEX(Tables!$B$80:$B$87,MAX(1,MIN(IFERROR(MATCH(AH46,Tables!$A$80:$A$87,1),1),ROWS(Tables!$A$80:$A$87)-1)))+(AH46-INDEX(Tables!$A$80:$A$87,MAX(1,MIN(IFERROR(MATCH(AH46,Tables!$A$80:$A$87,1),1),ROWS(Tables!$A$80:$A$87)-1))))*(INDEX(Tables!$B$80:$B$87,MAX(1,MIN(IFERROR(MATCH(AH46,Tables!$A$80:$A$87,1),1),ROWS(Tables!$A$80:$A$87)-1))+1)-INDEX(Tables!$B$80:$B$87,MAX(1,MIN(IFERROR(MATCH(AH46,Tables!$A$80:$A$87,1),1),ROWS(Tables!$A$80:$A$87)-1))))/(INDEX(Tables!$A$80:$A$87,MAX(1,MIN(IFERROR(MATCH(AH46,Tables!$A$80:$A$87,1),1),ROWS(Tables!$A$80:$A$87)-1))+1)-INDEX(Tables!$A$80:$A$87,MAX(1,MIN(IFERROR(MATCH(AH46,Tables!$A$80:$A$87,1),1),ROWS(Tables!$A$80:$A$87)-1)))))</f>
        <v>1.1041078431372553</v>
      </c>
      <c r="AN46" s="181">
        <f t="shared" si="39"/>
        <v>91.693154384416232</v>
      </c>
      <c r="AO46" s="181">
        <f>(INDEX(Tables!$B$91:$B$94,MAX(1,MIN(IFERROR(MATCH(P46,Tables!$A$91:$A$94,1),1),ROWS(Tables!$A$91:$A$94)-1)))+(P46-INDEX(Tables!$A$91:$A$94,MAX(1,MIN(IFERROR(MATCH(P46,Tables!$A$91:$A$94,1),1),ROWS(Tables!$A$91:$A$94)-1))))*(INDEX(Tables!$B$91:$B$94,MAX(1,MIN(IFERROR(MATCH(P46,Tables!$A$91:$A$94,1),1),ROWS(Tables!$A$91:$A$94)-1))+1)-INDEX(Tables!$B$91:$B$94,MAX(1,MIN(IFERROR(MATCH(P46,Tables!$A$91:$A$94,1),1),ROWS(Tables!$A$91:$A$94)-1))))/(INDEX(Tables!$A$91:$A$94,MAX(1,MIN(IFERROR(MATCH(P46,Tables!$A$91:$A$94,1),1),ROWS(Tables!$A$91:$A$94)-1))+1)-INDEX(Tables!$A$91:$A$94,MAX(1,MIN(IFERROR(MATCH(P46,Tables!$A$91:$A$94,1),1),ROWS(Tables!$A$91:$A$94)-1)))))</f>
        <v>1.476219512195122</v>
      </c>
      <c r="AP46" s="181">
        <f>IF(AD46=5000,(INDEX(Tables!$B$99:$B$118,MAX(1,MIN(IFERROR(MATCH(AF46,Tables!$A$99:$A$118,1),1),ROWS(Tables!$A$99:$A$118)-1)))+(AF46-INDEX(Tables!$A$99:$A$118,MAX(1,MIN(IFERROR(MATCH(AF46,Tables!$A$99:$A$118,1),1),ROWS(Tables!$A$99:$A$118)-1))))*(INDEX(Tables!$B$99:$B$118,MAX(1,MIN(IFERROR(MATCH(AF46,Tables!$A$99:$A$118,1),1),ROWS(Tables!$A$99:$A$118)-1))+1)-INDEX(Tables!$B$99:$B$118,MAX(1,MIN(IFERROR(MATCH(AF46,Tables!$A$99:$A$118,1),1),ROWS(Tables!$A$99:$A$118)-1))))/(INDEX(Tables!$A$99:$A$118,MAX(1,MIN(IFERROR(MATCH(AF46,Tables!$A$99:$A$118,1),1),ROWS(Tables!$A$99:$A$118)-1))+1)-INDEX(Tables!$A$99:$A$118,MAX(1,MIN(IFERROR(MATCH(AF46,Tables!$A$99:$A$118,1),1),ROWS(Tables!$A$99:$A$118)-1))))),IF(AD46=10000,(INDEX(Tables!$D$99:$D$118,MAX(1,MIN(IFERROR(MATCH(AF46,Tables!$C$99:$C$118,1),1),ROWS(Tables!$C$99:$C$118)-1)))+(AF46-INDEX(Tables!$C$99:$C$118,MAX(1,MIN(IFERROR(MATCH(AF46,Tables!$C$99:$C$118,1),1),ROWS(Tables!$C$99:$C$118)-1))))*(INDEX(Tables!$D$99:$D$118,MAX(1,MIN(IFERROR(MATCH(AF46,Tables!$C$99:$C$118,1),1),ROWS(Tables!$C$99:$C$118)-1))+1)-INDEX(Tables!$D$99:$D$118,MAX(1,MIN(IFERROR(MATCH(AF46,Tables!$C$99:$C$118,1),1),ROWS(Tables!$C$99:$C$118)-1))))/(INDEX(Tables!$C$99:$C$118,MAX(1,MIN(IFERROR(MATCH(AF46,Tables!$C$99:$C$118,1),1),ROWS(Tables!$C$99:$C$118)-1))+1)-INDEX(Tables!$C$99:$C$118,MAX(1,MIN(IFERROR(MATCH(AF46,Tables!$C$99:$C$118,1),1),ROWS(Tables!$C$99:$C$118)-1))))),(INDEX(Tables!$F$99:$F$118,MAX(1,MIN(IFERROR(MATCH(AF46,Tables!$E$99:$E$118,1),1),ROWS(Tables!$E$99:$E$118)-1)))+(AF46-INDEX(Tables!$E$99:$E$118,MAX(1,MIN(IFERROR(MATCH(AF46,Tables!$E$99:$E$118,1),1),ROWS(Tables!$E$99:$E$118)-1))))*(INDEX(Tables!$F$99:$F$118,MAX(1,MIN(IFERROR(MATCH(AF46,Tables!$E$99:$E$118,1),1),ROWS(Tables!$E$99:$E$118)-1))+1)-INDEX(Tables!$F$99:$F$118,MAX(1,MIN(IFERROR(MATCH(AF46,Tables!$E$99:$E$118,1),1),ROWS(Tables!$E$99:$E$118)-1))))/(INDEX(Tables!$E$99:$E$118,MAX(1,MIN(IFERROR(MATCH(AF46,Tables!$E$99:$E$118,1),1),ROWS(Tables!$E$99:$E$118)-1))+1)-INDEX(Tables!$E$99:$E$118,MAX(1,MIN(IFERROR(MATCH(AF46,Tables!$E$99:$E$118,1),1),ROWS(Tables!$E$99:$E$118)-1)))))))</f>
        <v>1.605</v>
      </c>
      <c r="AQ46" s="181">
        <f>IF(P46&lt;6,(INDEX(Tables!$B$123:$B$138,MAX(1,MIN(IFERROR(MATCH(U46,Tables!$A$123:$A$138,1),1),ROWS(Tables!$A$123:$A$138)-1)))+(U46-INDEX(Tables!$A$123:$A$138,MAX(1,MIN(IFERROR(MATCH(U46,Tables!$A$123:$A$138,1),1),ROWS(Tables!$A$123:$A$138)-1))))*(INDEX(Tables!$B$123:$B$138,MAX(1,MIN(IFERROR(MATCH(U46,Tables!$A$123:$A$138,1),1),ROWS(Tables!$A$123:$A$138)-1))+1)-INDEX(Tables!$B$123:$B$138,MAX(1,MIN(IFERROR(MATCH(U46,Tables!$A$123:$A$138,1),1),ROWS(Tables!$A$123:$A$138)-1))))/(INDEX(Tables!$A$123:$A$138,MAX(1,MIN(IFERROR(MATCH(U46,Tables!$A$123:$A$138,1),1),ROWS(Tables!$A$123:$A$138)-1))+1)-INDEX(Tables!$A$123:$A$138,MAX(1,MIN(IFERROR(MATCH(U46,Tables!$A$123:$A$138,1),1),ROWS(Tables!$A$123:$A$138)-1))))),IF(P46&lt;8,(INDEX(Tables!$D$123:$D$138,MAX(1,MIN(IFERROR(MATCH(U46,Tables!$C$123:$C$138,1),1),ROWS(Tables!$C$123:$C$138)-1)))+(U46-INDEX(Tables!$C$123:$C$138,MAX(1,MIN(IFERROR(MATCH(U46,Tables!$C$123:$C$138,1),1),ROWS(Tables!$C$123:$C$138)-1))))*(INDEX(Tables!$D$123:$D$138,MAX(1,MIN(IFERROR(MATCH(U46,Tables!$C$123:$C$138,1),1),ROWS(Tables!$C$123:$C$138)-1))+1)-INDEX(Tables!$D$123:$D$138,MAX(1,MIN(IFERROR(MATCH(U46,Tables!$C$123:$C$138,1),1),ROWS(Tables!$C$123:$C$138)-1))))/(INDEX(Tables!$C$123:$C$138,MAX(1,MIN(IFERROR(MATCH(U46,Tables!$C$123:$C$138,1),1),ROWS(Tables!$C$123:$C$138)-1))+1)-INDEX(Tables!$C$123:$C$138,MAX(1,MIN(IFERROR(MATCH(U46,Tables!$C$123:$C$138,1),1),ROWS(Tables!$C$123:$C$138)-1))))),IF(P46&lt;10,(INDEX(Tables!$F$123:$F$138,MAX(1,MIN(IFERROR(MATCH(U46,Tables!$E$123:$E$138,1),1),ROWS(Tables!$E$123:$E$138)-1)))+(U46-INDEX(Tables!$E$123:$E$138,MAX(1,MIN(IFERROR(MATCH(U46,Tables!$E$123:$E$138,1),1),ROWS(Tables!$E$123:$E$138)-1))))*(INDEX(Tables!$F$123:$F$138,MAX(1,MIN(IFERROR(MATCH(U46,Tables!$E$123:$E$138,1),1),ROWS(Tables!$E$123:$E$138)-1))+1)-INDEX(Tables!$F$123:$F$138,MAX(1,MIN(IFERROR(MATCH(U46,Tables!$E$123:$E$138,1),1),ROWS(Tables!$E$123:$E$138)-1))))/(INDEX(Tables!$E$123:$E$138,MAX(1,MIN(IFERROR(MATCH(U46,Tables!$E$123:$E$138,1),1),ROWS(Tables!$E$123:$E$138)-1))+1)-INDEX(Tables!$E$123:$E$138,MAX(1,MIN(IFERROR(MATCH(U46,Tables!$E$123:$E$138,1),1),ROWS(Tables!$E$123:$E$138)-1))))),(INDEX(Tables!$H$123:$H$138,MAX(1,MIN(IFERROR(MATCH(U46,Tables!$G$123:$G$138,1),1),ROWS(Tables!$G$123:$G$138)-1)))+(U46-INDEX(Tables!$G$123:$G$138,MAX(1,MIN(IFERROR(MATCH(U46,Tables!$G$123:$G$138,1),1),ROWS(Tables!$G$123:$G$138)-1))))*(INDEX(Tables!$H$123:$H$138,MAX(1,MIN(IFERROR(MATCH(U46,Tables!$G$123:$G$138,1),1),ROWS(Tables!$G$123:$G$138)-1))+1)-INDEX(Tables!$H$123:$H$138,MAX(1,MIN(IFERROR(MATCH(U46,Tables!$G$123:$G$138,1),1),ROWS(Tables!$G$123:$G$138)-1))))/(INDEX(Tables!$G$123:$G$138,MAX(1,MIN(IFERROR(MATCH(U46,Tables!$G$123:$G$138,1),1),ROWS(Tables!$G$123:$G$138)-1))+1)-INDEX(Tables!$G$123:$G$138,MAX(1,MIN(IFERROR(MATCH(U46,Tables!$G$123:$G$138,1),1),ROWS(Tables!$G$123:$G$138)-1))))))))</f>
        <v>1.01675</v>
      </c>
      <c r="AR46" s="181">
        <f>IF(OR(P46&gt;=4,U46&gt;12),VLOOKUP(R46&amp;" "&amp;S46,Tables!$D$143:$F$148,2,FALSE),VLOOKUP(R46&amp;" "&amp;S46,Tables!$A$143:$C$148,2,FALSE))</f>
        <v>1</v>
      </c>
      <c r="AS46" s="181">
        <f>IF(OR(P46&gt;=4,U46&gt;12),VLOOKUP(R46&amp;" "&amp;S46,Tables!$D$143:$F$148,3,FALSE),VLOOKUP(R46&amp;" "&amp;S46,Tables!$A$143:$C$148,3,FALSE))</f>
        <v>0.65</v>
      </c>
      <c r="AT46" s="181">
        <f t="shared" si="40"/>
        <v>130.48850930830793</v>
      </c>
      <c r="AU46" s="181">
        <f>IF(AD46=5000,(INDEX(Tables!$B$244:$B$263,MAX(1,MIN(IFERROR(MATCH(AF46,Tables!$A$244:$A$263,1),1),ROWS(Tables!$A$244:$A$263)-1)))+(AF46-INDEX(Tables!$A$244:$A$263,MAX(1,MIN(IFERROR(MATCH(AF46,Tables!$A$244:$A$263,1),1),ROWS(Tables!$A$244:$A$263)-1))))*(INDEX(Tables!$B$244:$B$263,MAX(1,MIN(IFERROR(MATCH(AF46,Tables!$A$244:$A$263,1),1),ROWS(Tables!$A$244:$A$263)-1))+1)-INDEX(Tables!$B$244:$B$263,MAX(1,MIN(IFERROR(MATCH(AF46,Tables!$A$244:$A$263,1),1),ROWS(Tables!$A$244:$A$263)-1))))/(INDEX(Tables!$A$244:$A$263,MAX(1,MIN(IFERROR(MATCH(AF46,Tables!$A$244:$A$263,1),1),ROWS(Tables!$A$244:$A$263)-1))+1)-INDEX(Tables!$A$244:$A$263,MAX(1,MIN(IFERROR(MATCH(AF46,Tables!$A$244:$A$263,1),1),ROWS(Tables!$A$244:$A$263)-1))))),IF(AD46=10000,(INDEX(Tables!$D$244:$D$263,MAX(1,MIN(IFERROR(MATCH(AF46,Tables!$C$244:$C$263,1),1),ROWS(Tables!$C$244:$C$263)-1)))+(AF46-INDEX(Tables!$C$244:$C$263,MAX(1,MIN(IFERROR(MATCH(AF46,Tables!$C$244:$C$263,1),1),ROWS(Tables!$C$244:$C$263)-1))))*(INDEX(Tables!$D$244:$D$263,MAX(1,MIN(IFERROR(MATCH(AF46,Tables!$C$244:$C$263,1),1),ROWS(Tables!$C$244:$C$263)-1))+1)-INDEX(Tables!$D$244:$D$263,MAX(1,MIN(IFERROR(MATCH(AF46,Tables!$C$244:$C$263,1),1),ROWS(Tables!$C$244:$C$263)-1))))/(INDEX(Tables!$C$244:$C$263,MAX(1,MIN(IFERROR(MATCH(AF46,Tables!$C$244:$C$263,1),1),ROWS(Tables!$C$244:$C$263)-1))+1)-INDEX(Tables!$C$244:$C$263,MAX(1,MIN(IFERROR(MATCH(AF46,Tables!$C$244:$C$263,1),1),ROWS(Tables!$C$244:$C$263)-1))))),(INDEX(Tables!$F$244:$F$263,MAX(1,MIN(IFERROR(MATCH(AF46,Tables!$E$244:$E$263,1),1),ROWS(Tables!$E$244:$E$263)-1)))+(AF46-INDEX(Tables!$E$244:$E$263,MAX(1,MIN(IFERROR(MATCH(AF46,Tables!$E$244:$E$263,1),1),ROWS(Tables!$E$244:$E$263)-1))))*(INDEX(Tables!$F$244:$F$263,MAX(1,MIN(IFERROR(MATCH(AF46,Tables!$E$244:$E$263,1),1),ROWS(Tables!$E$244:$E$263)-1))+1)-INDEX(Tables!$F$244:$F$263,MAX(1,MIN(IFERROR(MATCH(AF46,Tables!$E$244:$E$263,1),1),ROWS(Tables!$E$244:$E$263)-1))))/(INDEX(Tables!$E$244:$E$263,MAX(1,MIN(IFERROR(MATCH(AF46,Tables!$E$244:$E$263,1),1),ROWS(Tables!$E$244:$E$263)-1))+1)-INDEX(Tables!$E$244:$E$263,MAX(1,MIN(IFERROR(MATCH(AF46,Tables!$E$244:$E$263,1),1),ROWS(Tables!$E$244:$E$263)-1)))))))</f>
        <v>2.5920000000000001</v>
      </c>
      <c r="AV46" s="181">
        <f>IF(P46&lt;6,(INDEX(Tables!$B$260:$B$274,MAX(1,MIN(IFERROR(MATCH(U46,Tables!$A$260:$A$274,1),1),ROWS(Tables!$A$260:$A$274)-1)))+(U46-INDEX(Tables!$A$260:$A$274,MAX(1,MIN(IFERROR(MATCH(U46,Tables!$A$260:$A$274,1),1),ROWS(Tables!$A$260:$A$274)-1))))*(INDEX(Tables!$B$260:$B$274,MAX(1,MIN(IFERROR(MATCH(U46,Tables!$A$260:$A$274,1),1),ROWS(Tables!$A$260:$A$274)-1))+1)-INDEX(Tables!$B$260:$B$274,MAX(1,MIN(IFERROR(MATCH(U46,Tables!$A$260:$A$274,1),1),ROWS(Tables!$A$260:$A$274)-1))))/(INDEX(Tables!$A$260:$A$274,MAX(1,MIN(IFERROR(MATCH(U46,Tables!$A$260:$A$274,1),1),ROWS(Tables!$A$260:$A$274)-1))+1)-INDEX(Tables!$A$260:$A$274,MAX(1,MIN(IFERROR(MATCH(U46,Tables!$A$260:$A$274,1),1),ROWS(Tables!$A$260:$A$274)-1))))),IF(P46&lt;8,(INDEX(Tables!$D$260:$D$274,MAX(1,MIN(IFERROR(MATCH(U46,Tables!$C$260:$C$274,1),1),ROWS(Tables!$C$260:$C$274)-1)))+(U46-INDEX(Tables!$C$260:$C$274,MAX(1,MIN(IFERROR(MATCH(U46,Tables!$C$260:$C$274,1),1),ROWS(Tables!$C$260:$C$274)-1))))*(INDEX(Tables!$D$260:$D$274,MAX(1,MIN(IFERROR(MATCH(U46,Tables!$C$260:$C$274,1),1),ROWS(Tables!$C$260:$C$274)-1))+1)-INDEX(Tables!$D$260:$D$274,MAX(1,MIN(IFERROR(MATCH(U46,Tables!$C$260:$C$274,1),1),ROWS(Tables!$C$260:$C$274)-1))))/(INDEX(Tables!$C$260:$C$274,MAX(1,MIN(IFERROR(MATCH(U46,Tables!$C$260:$C$274,1),1),ROWS(Tables!$C$260:$C$274)-1))+1)-INDEX(Tables!$C$260:$C$274,MAX(1,MIN(IFERROR(MATCH(U46,Tables!$C$260:$C$274,1),1),ROWS(Tables!$C$260:$C$274)-1))))),IF(P46&lt;10,(INDEX(Tables!$F$260:$F$274,MAX(1,MIN(IFERROR(MATCH(U46,Tables!$E$260:$E$274,1),1),ROWS(Tables!$E$260:$E$274)-1)))+(U46-INDEX(Tables!$E$260:$E$274,MAX(1,MIN(IFERROR(MATCH(U46,Tables!$E$260:$E$274,1),1),ROWS(Tables!$E$260:$E$274)-1))))*(INDEX(Tables!$F$260:$F$274,MAX(1,MIN(IFERROR(MATCH(U46,Tables!$E$260:$E$274,1),1),ROWS(Tables!$E$260:$E$274)-1))+1)-INDEX(Tables!$F$260:$F$274,MAX(1,MIN(IFERROR(MATCH(U46,Tables!$E$260:$E$274,1),1),ROWS(Tables!$E$260:$E$274)-1))))/(INDEX(Tables!$E$260:$E$274,MAX(1,MIN(IFERROR(MATCH(U46,Tables!$E$260:$E$274,1),1),ROWS(Tables!$E$260:$E$274)-1))+1)-INDEX(Tables!$E$260:$E$274,MAX(1,MIN(IFERROR(MATCH(U46,Tables!$E$260:$E$274,1),1),ROWS(Tables!$E$260:$E$274)-1))))),(INDEX(Tables!$H$260:$H$274,MAX(1,MIN(IFERROR(MATCH(U46,Tables!$G$260:$G$274,1),1),ROWS(Tables!$G$260:$G$274)-1)))+(U46-INDEX(Tables!$G$260:$G$274,MAX(1,MIN(IFERROR(MATCH(U46,Tables!$G$260:$G$274,1),1),ROWS(Tables!$G$260:$G$274)-1))))*(INDEX(Tables!$H$260:$H$274,MAX(1,MIN(IFERROR(MATCH(U46,Tables!$G$260:$G$274,1),1),ROWS(Tables!$G$260:$G$274)-1))+1)-INDEX(Tables!$H$260:$H$274,MAX(1,MIN(IFERROR(MATCH(U46,Tables!$G$260:$G$274,1),1),ROWS(Tables!$G$260:$G$274)-1))))/(INDEX(Tables!$G$260:$G$274,MAX(1,MIN(IFERROR(MATCH(U46,Tables!$G$260:$G$274,1),1),ROWS(Tables!$G$260:$G$274)-1))+1)-INDEX(Tables!$G$260:$G$274,MAX(1,MIN(IFERROR(MATCH(U46,Tables!$G$260:$G$274,1),1),ROWS(Tables!$G$260:$G$274)-1))))))))</f>
        <v>1.0024999999999999</v>
      </c>
      <c r="AW46" s="181">
        <f t="shared" si="41"/>
        <v>207.77937256097562</v>
      </c>
      <c r="AX46" s="181">
        <f t="shared" si="42"/>
        <v>13076.981707317073</v>
      </c>
      <c r="AY46" s="181">
        <f t="shared" si="43"/>
        <v>13299.163371009796</v>
      </c>
      <c r="AZ46" s="181">
        <f t="shared" si="44"/>
        <v>4158.3818310714223</v>
      </c>
      <c r="BA46" s="181">
        <f t="shared" si="45"/>
        <v>-3000</v>
      </c>
      <c r="BB46" s="181">
        <f t="shared" si="46"/>
        <v>14150.24812848098</v>
      </c>
      <c r="BC46" s="181">
        <f t="shared" si="47"/>
        <v>46800</v>
      </c>
      <c r="BD46" s="181">
        <f>VLOOKUP(V46&amp;" "&amp;J46,Tables!$A$152:$E$239,4,FALSE)</f>
        <v>12000</v>
      </c>
      <c r="BE46" s="181">
        <f>VLOOKUP(V46&amp;" "&amp;J46,Tables!$A$152:$E$239,5,FALSE)</f>
        <v>23000</v>
      </c>
      <c r="BF46" s="181">
        <f t="shared" si="48"/>
        <v>8640</v>
      </c>
      <c r="BG46" s="181">
        <f t="shared" si="49"/>
        <v>16560</v>
      </c>
      <c r="BH46" s="181">
        <f t="shared" si="50"/>
        <v>14576.981707317073</v>
      </c>
      <c r="BI46" s="181">
        <f t="shared" si="51"/>
        <v>46800</v>
      </c>
      <c r="BJ46" s="181">
        <f t="shared" si="52"/>
        <v>14150.24812848098</v>
      </c>
      <c r="BK46" s="181">
        <f t="shared" si="53"/>
        <v>46800</v>
      </c>
      <c r="BL46" s="181">
        <f t="shared" si="54"/>
        <v>207.77937256097562</v>
      </c>
      <c r="BM46" s="181">
        <f t="shared" si="55"/>
        <v>8640</v>
      </c>
      <c r="BN46" s="181">
        <f t="shared" si="56"/>
        <v>130.48850930830793</v>
      </c>
      <c r="BO46" s="181">
        <f t="shared" si="57"/>
        <v>16560</v>
      </c>
      <c r="BP46" t="str">
        <f t="shared" si="58"/>
        <v>Pass</v>
      </c>
      <c r="BQ46" t="str">
        <f t="shared" si="59"/>
        <v>Pass</v>
      </c>
      <c r="BR46" t="str">
        <f t="shared" si="60"/>
        <v>Pass</v>
      </c>
      <c r="BS46" t="str">
        <f t="shared" si="61"/>
        <v>Pass</v>
      </c>
      <c r="BT46" t="str">
        <f t="shared" si="62"/>
        <v>Pass</v>
      </c>
      <c r="BU46" t="str">
        <f t="shared" si="63"/>
        <v>Barlow Stress</v>
      </c>
    </row>
    <row r="47" spans="1:73">
      <c r="A47" t="s">
        <v>639</v>
      </c>
      <c r="B47" s="181">
        <v>45</v>
      </c>
      <c r="C47" t="s">
        <v>594</v>
      </c>
      <c r="D47" s="181">
        <v>16</v>
      </c>
      <c r="E47" s="181">
        <v>1.9690000000000001</v>
      </c>
      <c r="F47" t="s">
        <v>117</v>
      </c>
      <c r="G47" t="s">
        <v>119</v>
      </c>
      <c r="H47" t="s">
        <v>122</v>
      </c>
      <c r="I47" s="181">
        <v>1</v>
      </c>
      <c r="J47" t="s">
        <v>126</v>
      </c>
      <c r="K47" t="s">
        <v>129</v>
      </c>
      <c r="L47" s="181">
        <v>70</v>
      </c>
      <c r="M47" s="181">
        <v>6000</v>
      </c>
      <c r="N47" t="s">
        <v>390</v>
      </c>
      <c r="O47" s="181">
        <v>120</v>
      </c>
      <c r="P47" s="181">
        <v>8</v>
      </c>
      <c r="Q47" s="181">
        <v>18</v>
      </c>
      <c r="R47" t="s">
        <v>154</v>
      </c>
      <c r="S47" t="s">
        <v>420</v>
      </c>
      <c r="T47" s="181">
        <v>70</v>
      </c>
      <c r="U47" s="181">
        <f>HLOOKUP(D47,'Highway Loading'!$C$155:$AD$156,2,FALSE)</f>
        <v>16</v>
      </c>
      <c r="V47" s="181">
        <f>IF(ISBLANK(G47),"",INDEX('Highway Loading'!$C$216:$AG$216,1,MATCH(G47,'Highway Loading'!$C$215:$AG$215,0)))</f>
        <v>65000</v>
      </c>
      <c r="W47" s="181">
        <f>INDEX('Highway Loading'!$I$245:$L$253,MATCH(H47,'Highway Loading'!$H$245:$H$253,0),MATCH(I47,'Highway Loading'!$I$244:$L$244,0))</f>
        <v>0.72</v>
      </c>
      <c r="X47" s="181">
        <f t="shared" si="32"/>
        <v>1</v>
      </c>
      <c r="Y47" s="181">
        <f>VLOOKUP(K47,'Highway Loading'!$B$283:$E$292,2,FALSE)</f>
        <v>29000000</v>
      </c>
      <c r="Z47" s="181">
        <f>VLOOKUP(K47,'Highway Loading'!$B$283:$E$292,3,FALSE)</f>
        <v>0.3</v>
      </c>
      <c r="AA47" s="181">
        <f>VLOOKUP(K47,'Highway Loading'!$B$283:$E$292,4,FALSE)</f>
        <v>6.4999999999999996E-6</v>
      </c>
      <c r="AB47" s="181">
        <f t="shared" si="33"/>
        <v>1</v>
      </c>
      <c r="AC47" s="181">
        <f>VLOOKUP(N47,'Highway Loading'!$B$256:$D$261,2,FALSE)</f>
        <v>1000</v>
      </c>
      <c r="AD47" s="181">
        <f>VLOOKUP(N47,'Highway Loading'!$B$256:$D$261,3,FALSE)</f>
        <v>10000</v>
      </c>
      <c r="AE47" s="181">
        <f>VLOOKUP(S47,'Highway Loading'!$B$340:$C$341,2,FALSE)</f>
        <v>12000</v>
      </c>
      <c r="AF47" s="181">
        <f t="shared" si="34"/>
        <v>0.12306250000000001</v>
      </c>
      <c r="AG47" s="181">
        <f t="shared" si="35"/>
        <v>5.333333333333333</v>
      </c>
      <c r="AH47" s="181">
        <f t="shared" si="36"/>
        <v>1.125</v>
      </c>
      <c r="AI47" s="181">
        <f t="shared" si="37"/>
        <v>24377.856780091417</v>
      </c>
      <c r="AJ47" s="181">
        <f t="shared" si="38"/>
        <v>46800</v>
      </c>
      <c r="AK47" s="181">
        <f>IF(AC47=200,(INDEX(Tables!$B$17:$B$38,MAX(1,MIN(IFERROR(MATCH(AF47,Tables!$A$17:$A$38,1),1),ROWS(Tables!$A$17:$A$38)-1)))+(AF47-INDEX(Tables!$A$17:$A$38,MAX(1,MIN(IFERROR(MATCH(AF47,Tables!$A$17:$A$38,1),1),ROWS(Tables!$A$17:$A$38)-1))))*(INDEX(Tables!$B$17:$B$38,MAX(1,MIN(IFERROR(MATCH(AF47,Tables!$A$17:$A$38,1),1),ROWS(Tables!$A$17:$A$38)-1))+1)-INDEX(Tables!$B$17:$B$38,MAX(1,MIN(IFERROR(MATCH(AF47,Tables!$A$17:$A$38,1),1),ROWS(Tables!$A$17:$A$38)-1))))/(INDEX(Tables!$A$17:$A$38,MAX(1,MIN(IFERROR(MATCH(AF47,Tables!$A$17:$A$38,1),1),ROWS(Tables!$A$17:$A$38)-1))+1)-INDEX(Tables!$A$17:$A$38,MAX(1,MIN(IFERROR(MATCH(AF47,Tables!$A$17:$A$38,1),1),ROWS(Tables!$A$17:$A$38)-1))))),IF(AC47=500,(INDEX(Tables!$D$17:$D$38,MAX(1,MIN(IFERROR(MATCH(AF47,Tables!$C$17:$C$38,1),1),ROWS(Tables!$C$17:$C$38)-1)))+(AF47-INDEX(Tables!$C$17:$C$38,MAX(1,MIN(IFERROR(MATCH(AF47,Tables!$C$17:$C$38,1),1),ROWS(Tables!$C$17:$C$38)-1))))*(INDEX(Tables!$D$17:$D$38,MAX(1,MIN(IFERROR(MATCH(AF47,Tables!$C$17:$C$38,1),1),ROWS(Tables!$C$17:$C$38)-1))+1)-INDEX(Tables!$D$17:$D$38,MAX(1,MIN(IFERROR(MATCH(AF47,Tables!$C$17:$C$38,1),1),ROWS(Tables!$C$17:$C$38)-1))))/(INDEX(Tables!$C$17:$C$38,MAX(1,MIN(IFERROR(MATCH(AF47,Tables!$C$17:$C$38,1),1),ROWS(Tables!$C$17:$C$38)-1))+1)-INDEX(Tables!$C$17:$C$38,MAX(1,MIN(IFERROR(MATCH(AF47,Tables!$C$17:$C$38,1),1),ROWS(Tables!$C$17:$C$38)-1))))),IF(AC47=1000,(INDEX(Tables!$F$17:$F$38,MAX(1,MIN(IFERROR(MATCH(AF47,Tables!$E$17:$E$38,1),1),ROWS(Tables!$E$17:$E$38)-1)))+(AF47-INDEX(Tables!$E$17:$E$38,MAX(1,MIN(IFERROR(MATCH(AF47,Tables!$E$17:$E$38,1),1),ROWS(Tables!$E$17:$E$38)-1))))*(INDEX(Tables!$F$17:$F$38,MAX(1,MIN(IFERROR(MATCH(AF47,Tables!$E$17:$E$38,1),1),ROWS(Tables!$E$17:$E$38)-1))+1)-INDEX(Tables!$F$17:$F$38,MAX(1,MIN(IFERROR(MATCH(AF47,Tables!$E$17:$E$38,1),1),ROWS(Tables!$E$17:$E$38)-1))))/(INDEX(Tables!$E$17:$E$38,MAX(1,MIN(IFERROR(MATCH(AF47,Tables!$E$17:$E$38,1),1),ROWS(Tables!$E$17:$E$38)-1))+1)-INDEX(Tables!$E$17:$E$38,MAX(1,MIN(IFERROR(MATCH(AF47,Tables!$E$17:$E$38,1),1),ROWS(Tables!$E$17:$E$38)-1))))),(INDEX(Tables!$H$17:$H$38,MAX(1,MIN(IFERROR(MATCH(AF47,Tables!$G$17:$G$38,1),1),ROWS(Tables!$G$17:$G$38)-1)))+(AF47-INDEX(Tables!$G$17:$G$38,MAX(1,MIN(IFERROR(MATCH(AF47,Tables!$G$17:$G$38,1),1),ROWS(Tables!$G$17:$G$38)-1))))*(INDEX(Tables!$H$17:$H$38,MAX(1,MIN(IFERROR(MATCH(AF47,Tables!$G$17:$G$38,1),1),ROWS(Tables!$G$17:$G$38)-1))+1)-INDEX(Tables!$H$17:$H$38,MAX(1,MIN(IFERROR(MATCH(AF47,Tables!$G$17:$G$38,1),1),ROWS(Tables!$G$17:$G$38)-1))))/(INDEX(Tables!$G$17:$G$38,MAX(1,MIN(IFERROR(MATCH(AF47,Tables!$G$17:$G$38,1),1),ROWS(Tables!$G$17:$G$38)-1))+1)-INDEX(Tables!$G$17:$G$38,MAX(1,MIN(IFERROR(MATCH(AF47,Tables!$G$17:$G$38,1),1),ROWS(Tables!$G$17:$G$38)-1))))))))</f>
        <v>88</v>
      </c>
      <c r="AL47" s="181">
        <f>IF(AC47&lt;1000,(INDEX(Tables!$B$43:$B$76,MAX(1,MIN(IFERROR(MATCH(AG47,Tables!$A$43:$A$76,1),1),ROWS(Tables!$A$43:$A$76)-1)))+(AG47-INDEX(Tables!$A$43:$A$76,MAX(1,MIN(IFERROR(MATCH(AG47,Tables!$A$43:$A$76,1),1),ROWS(Tables!$A$43:$A$76)-1))))*(INDEX(Tables!$B$43:$B$76,MAX(1,MIN(IFERROR(MATCH(AG47,Tables!$A$43:$A$76,1),1),ROWS(Tables!$A$43:$A$76)-1))+1)-INDEX(Tables!$B$43:$B$76,MAX(1,MIN(IFERROR(MATCH(AG47,Tables!$A$43:$A$76,1),1),ROWS(Tables!$A$43:$A$76)-1))))/(INDEX(Tables!$A$43:$A$76,MAX(1,MIN(IFERROR(MATCH(AG47,Tables!$A$43:$A$76,1),1),ROWS(Tables!$A$43:$A$76)-1))+1)-INDEX(Tables!$A$43:$A$76,MAX(1,MIN(IFERROR(MATCH(AG47,Tables!$A$43:$A$76,1),1),ROWS(Tables!$A$43:$A$76)-1))))),(INDEX(Tables!$D$43:$D$76,MAX(1,MIN(IFERROR(MATCH(AG47,Tables!$C$43:$C$76,1),1),ROWS(Tables!$C$43:$C$76)-1)))+(AG47-INDEX(Tables!$C$43:$C$76,MAX(1,MIN(IFERROR(MATCH(AG47,Tables!$C$43:$C$76,1),1),ROWS(Tables!$C$43:$C$76)-1))))*(INDEX(Tables!$D$43:$D$76,MAX(1,MIN(IFERROR(MATCH(AG47,Tables!$C$43:$C$76,1),1),ROWS(Tables!$C$43:$C$76)-1))+1)-INDEX(Tables!$D$43:$D$76,MAX(1,MIN(IFERROR(MATCH(AG47,Tables!$C$43:$C$76,1),1),ROWS(Tables!$C$43:$C$76)-1))))/(INDEX(Tables!$C$43:$C$76,MAX(1,MIN(IFERROR(MATCH(AG47,Tables!$C$43:$C$76,1),1),ROWS(Tables!$C$43:$C$76)-1))+1)-INDEX(Tables!$C$43:$C$76,MAX(1,MIN(IFERROR(MATCH(AG47,Tables!$C$43:$C$76,1),1),ROWS(Tables!$C$43:$C$76)-1))))))</f>
        <v>0.98666666666666658</v>
      </c>
      <c r="AM47" s="181">
        <f>(INDEX(Tables!$B$80:$B$87,MAX(1,MIN(IFERROR(MATCH(AH47,Tables!$A$80:$A$87,1),1),ROWS(Tables!$A$80:$A$87)-1)))+(AH47-INDEX(Tables!$A$80:$A$87,MAX(1,MIN(IFERROR(MATCH(AH47,Tables!$A$80:$A$87,1),1),ROWS(Tables!$A$80:$A$87)-1))))*(INDEX(Tables!$B$80:$B$87,MAX(1,MIN(IFERROR(MATCH(AH47,Tables!$A$80:$A$87,1),1),ROWS(Tables!$A$80:$A$87)-1))+1)-INDEX(Tables!$B$80:$B$87,MAX(1,MIN(IFERROR(MATCH(AH47,Tables!$A$80:$A$87,1),1),ROWS(Tables!$A$80:$A$87)-1))))/(INDEX(Tables!$A$80:$A$87,MAX(1,MIN(IFERROR(MATCH(AH47,Tables!$A$80:$A$87,1),1),ROWS(Tables!$A$80:$A$87)-1))+1)-INDEX(Tables!$A$80:$A$87,MAX(1,MIN(IFERROR(MATCH(AH47,Tables!$A$80:$A$87,1),1),ROWS(Tables!$A$80:$A$87)-1)))))</f>
        <v>1.04345</v>
      </c>
      <c r="AN47" s="181">
        <f t="shared" si="39"/>
        <v>100.66587259259258</v>
      </c>
      <c r="AO47" s="181">
        <f>(INDEX(Tables!$B$91:$B$94,MAX(1,MIN(IFERROR(MATCH(P47,Tables!$A$91:$A$94,1),1),ROWS(Tables!$A$91:$A$94)-1)))+(P47-INDEX(Tables!$A$91:$A$94,MAX(1,MIN(IFERROR(MATCH(P47,Tables!$A$91:$A$94,1),1),ROWS(Tables!$A$91:$A$94)-1))))*(INDEX(Tables!$B$91:$B$94,MAX(1,MIN(IFERROR(MATCH(P47,Tables!$A$91:$A$94,1),1),ROWS(Tables!$A$91:$A$94)-1))+1)-INDEX(Tables!$B$91:$B$94,MAX(1,MIN(IFERROR(MATCH(P47,Tables!$A$91:$A$94,1),1),ROWS(Tables!$A$91:$A$94)-1))))/(INDEX(Tables!$A$91:$A$94,MAX(1,MIN(IFERROR(MATCH(P47,Tables!$A$91:$A$94,1),1),ROWS(Tables!$A$91:$A$94)-1))+1)-INDEX(Tables!$A$91:$A$94,MAX(1,MIN(IFERROR(MATCH(P47,Tables!$A$91:$A$94,1),1),ROWS(Tables!$A$91:$A$94)-1)))))</f>
        <v>1.4152439024390244</v>
      </c>
      <c r="AP47" s="181">
        <f>IF(AD47=5000,(INDEX(Tables!$B$99:$B$118,MAX(1,MIN(IFERROR(MATCH(AF47,Tables!$A$99:$A$118,1),1),ROWS(Tables!$A$99:$A$118)-1)))+(AF47-INDEX(Tables!$A$99:$A$118,MAX(1,MIN(IFERROR(MATCH(AF47,Tables!$A$99:$A$118,1),1),ROWS(Tables!$A$99:$A$118)-1))))*(INDEX(Tables!$B$99:$B$118,MAX(1,MIN(IFERROR(MATCH(AF47,Tables!$A$99:$A$118,1),1),ROWS(Tables!$A$99:$A$118)-1))+1)-INDEX(Tables!$B$99:$B$118,MAX(1,MIN(IFERROR(MATCH(AF47,Tables!$A$99:$A$118,1),1),ROWS(Tables!$A$99:$A$118)-1))))/(INDEX(Tables!$A$99:$A$118,MAX(1,MIN(IFERROR(MATCH(AF47,Tables!$A$99:$A$118,1),1),ROWS(Tables!$A$99:$A$118)-1))+1)-INDEX(Tables!$A$99:$A$118,MAX(1,MIN(IFERROR(MATCH(AF47,Tables!$A$99:$A$118,1),1),ROWS(Tables!$A$99:$A$118)-1))))),IF(AD47=10000,(INDEX(Tables!$D$99:$D$118,MAX(1,MIN(IFERROR(MATCH(AF47,Tables!$C$99:$C$118,1),1),ROWS(Tables!$C$99:$C$118)-1)))+(AF47-INDEX(Tables!$C$99:$C$118,MAX(1,MIN(IFERROR(MATCH(AF47,Tables!$C$99:$C$118,1),1),ROWS(Tables!$C$99:$C$118)-1))))*(INDEX(Tables!$D$99:$D$118,MAX(1,MIN(IFERROR(MATCH(AF47,Tables!$C$99:$C$118,1),1),ROWS(Tables!$C$99:$C$118)-1))+1)-INDEX(Tables!$D$99:$D$118,MAX(1,MIN(IFERROR(MATCH(AF47,Tables!$C$99:$C$118,1),1),ROWS(Tables!$C$99:$C$118)-1))))/(INDEX(Tables!$C$99:$C$118,MAX(1,MIN(IFERROR(MATCH(AF47,Tables!$C$99:$C$118,1),1),ROWS(Tables!$C$99:$C$118)-1))+1)-INDEX(Tables!$C$99:$C$118,MAX(1,MIN(IFERROR(MATCH(AF47,Tables!$C$99:$C$118,1),1),ROWS(Tables!$C$99:$C$118)-1))))),(INDEX(Tables!$F$99:$F$118,MAX(1,MIN(IFERROR(MATCH(AF47,Tables!$E$99:$E$118,1),1),ROWS(Tables!$E$99:$E$118)-1)))+(AF47-INDEX(Tables!$E$99:$E$118,MAX(1,MIN(IFERROR(MATCH(AF47,Tables!$E$99:$E$118,1),1),ROWS(Tables!$E$99:$E$118)-1))))*(INDEX(Tables!$F$99:$F$118,MAX(1,MIN(IFERROR(MATCH(AF47,Tables!$E$99:$E$118,1),1),ROWS(Tables!$E$99:$E$118)-1))+1)-INDEX(Tables!$F$99:$F$118,MAX(1,MIN(IFERROR(MATCH(AF47,Tables!$E$99:$E$118,1),1),ROWS(Tables!$E$99:$E$118)-1))))/(INDEX(Tables!$E$99:$E$118,MAX(1,MIN(IFERROR(MATCH(AF47,Tables!$E$99:$E$118,1),1),ROWS(Tables!$E$99:$E$118)-1))+1)-INDEX(Tables!$E$99:$E$118,MAX(1,MIN(IFERROR(MATCH(AF47,Tables!$E$99:$E$118,1),1),ROWS(Tables!$E$99:$E$118)-1)))))))</f>
        <v>1.605</v>
      </c>
      <c r="AQ47" s="181">
        <f>IF(P47&lt;6,(INDEX(Tables!$B$123:$B$138,MAX(1,MIN(IFERROR(MATCH(U47,Tables!$A$123:$A$138,1),1),ROWS(Tables!$A$123:$A$138)-1)))+(U47-INDEX(Tables!$A$123:$A$138,MAX(1,MIN(IFERROR(MATCH(U47,Tables!$A$123:$A$138,1),1),ROWS(Tables!$A$123:$A$138)-1))))*(INDEX(Tables!$B$123:$B$138,MAX(1,MIN(IFERROR(MATCH(U47,Tables!$A$123:$A$138,1),1),ROWS(Tables!$A$123:$A$138)-1))+1)-INDEX(Tables!$B$123:$B$138,MAX(1,MIN(IFERROR(MATCH(U47,Tables!$A$123:$A$138,1),1),ROWS(Tables!$A$123:$A$138)-1))))/(INDEX(Tables!$A$123:$A$138,MAX(1,MIN(IFERROR(MATCH(U47,Tables!$A$123:$A$138,1),1),ROWS(Tables!$A$123:$A$138)-1))+1)-INDEX(Tables!$A$123:$A$138,MAX(1,MIN(IFERROR(MATCH(U47,Tables!$A$123:$A$138,1),1),ROWS(Tables!$A$123:$A$138)-1))))),IF(P47&lt;8,(INDEX(Tables!$D$123:$D$138,MAX(1,MIN(IFERROR(MATCH(U47,Tables!$C$123:$C$138,1),1),ROWS(Tables!$C$123:$C$138)-1)))+(U47-INDEX(Tables!$C$123:$C$138,MAX(1,MIN(IFERROR(MATCH(U47,Tables!$C$123:$C$138,1),1),ROWS(Tables!$C$123:$C$138)-1))))*(INDEX(Tables!$D$123:$D$138,MAX(1,MIN(IFERROR(MATCH(U47,Tables!$C$123:$C$138,1),1),ROWS(Tables!$C$123:$C$138)-1))+1)-INDEX(Tables!$D$123:$D$138,MAX(1,MIN(IFERROR(MATCH(U47,Tables!$C$123:$C$138,1),1),ROWS(Tables!$C$123:$C$138)-1))))/(INDEX(Tables!$C$123:$C$138,MAX(1,MIN(IFERROR(MATCH(U47,Tables!$C$123:$C$138,1),1),ROWS(Tables!$C$123:$C$138)-1))+1)-INDEX(Tables!$C$123:$C$138,MAX(1,MIN(IFERROR(MATCH(U47,Tables!$C$123:$C$138,1),1),ROWS(Tables!$C$123:$C$138)-1))))),IF(P47&lt;10,(INDEX(Tables!$F$123:$F$138,MAX(1,MIN(IFERROR(MATCH(U47,Tables!$E$123:$E$138,1),1),ROWS(Tables!$E$123:$E$138)-1)))+(U47-INDEX(Tables!$E$123:$E$138,MAX(1,MIN(IFERROR(MATCH(U47,Tables!$E$123:$E$138,1),1),ROWS(Tables!$E$123:$E$138)-1))))*(INDEX(Tables!$F$123:$F$138,MAX(1,MIN(IFERROR(MATCH(U47,Tables!$E$123:$E$138,1),1),ROWS(Tables!$E$123:$E$138)-1))+1)-INDEX(Tables!$F$123:$F$138,MAX(1,MIN(IFERROR(MATCH(U47,Tables!$E$123:$E$138,1),1),ROWS(Tables!$E$123:$E$138)-1))))/(INDEX(Tables!$E$123:$E$138,MAX(1,MIN(IFERROR(MATCH(U47,Tables!$E$123:$E$138,1),1),ROWS(Tables!$E$123:$E$138)-1))+1)-INDEX(Tables!$E$123:$E$138,MAX(1,MIN(IFERROR(MATCH(U47,Tables!$E$123:$E$138,1),1),ROWS(Tables!$E$123:$E$138)-1))))),(INDEX(Tables!$H$123:$H$138,MAX(1,MIN(IFERROR(MATCH(U47,Tables!$G$123:$G$138,1),1),ROWS(Tables!$G$123:$G$138)-1)))+(U47-INDEX(Tables!$G$123:$G$138,MAX(1,MIN(IFERROR(MATCH(U47,Tables!$G$123:$G$138,1),1),ROWS(Tables!$G$123:$G$138)-1))))*(INDEX(Tables!$H$123:$H$138,MAX(1,MIN(IFERROR(MATCH(U47,Tables!$G$123:$G$138,1),1),ROWS(Tables!$G$123:$G$138)-1))+1)-INDEX(Tables!$H$123:$H$138,MAX(1,MIN(IFERROR(MATCH(U47,Tables!$G$123:$G$138,1),1),ROWS(Tables!$G$123:$G$138)-1))))/(INDEX(Tables!$G$123:$G$138,MAX(1,MIN(IFERROR(MATCH(U47,Tables!$G$123:$G$138,1),1),ROWS(Tables!$G$123:$G$138)-1))+1)-INDEX(Tables!$G$123:$G$138,MAX(1,MIN(IFERROR(MATCH(U47,Tables!$G$123:$G$138,1),1),ROWS(Tables!$G$123:$G$138)-1))))))))</f>
        <v>0.79200000000000004</v>
      </c>
      <c r="AR47" s="181">
        <f>IF(OR(P47&gt;=4,U47&gt;12),VLOOKUP(R47&amp;" "&amp;S47,Tables!$D$143:$F$148,2,FALSE),VLOOKUP(R47&amp;" "&amp;S47,Tables!$A$143:$C$148,2,FALSE))</f>
        <v>1</v>
      </c>
      <c r="AS47" s="181">
        <f>IF(OR(P47&gt;=4,U47&gt;12),VLOOKUP(R47&amp;" "&amp;S47,Tables!$D$143:$F$148,3,FALSE),VLOOKUP(R47&amp;" "&amp;S47,Tables!$A$143:$C$148,3,FALSE))</f>
        <v>0.65</v>
      </c>
      <c r="AT47" s="181">
        <f t="shared" si="40"/>
        <v>97.445911280487806</v>
      </c>
      <c r="AU47" s="181">
        <f>IF(AD47=5000,(INDEX(Tables!$B$244:$B$263,MAX(1,MIN(IFERROR(MATCH(AF47,Tables!$A$244:$A$263,1),1),ROWS(Tables!$A$244:$A$263)-1)))+(AF47-INDEX(Tables!$A$244:$A$263,MAX(1,MIN(IFERROR(MATCH(AF47,Tables!$A$244:$A$263,1),1),ROWS(Tables!$A$244:$A$263)-1))))*(INDEX(Tables!$B$244:$B$263,MAX(1,MIN(IFERROR(MATCH(AF47,Tables!$A$244:$A$263,1),1),ROWS(Tables!$A$244:$A$263)-1))+1)-INDEX(Tables!$B$244:$B$263,MAX(1,MIN(IFERROR(MATCH(AF47,Tables!$A$244:$A$263,1),1),ROWS(Tables!$A$244:$A$263)-1))))/(INDEX(Tables!$A$244:$A$263,MAX(1,MIN(IFERROR(MATCH(AF47,Tables!$A$244:$A$263,1),1),ROWS(Tables!$A$244:$A$263)-1))+1)-INDEX(Tables!$A$244:$A$263,MAX(1,MIN(IFERROR(MATCH(AF47,Tables!$A$244:$A$263,1),1),ROWS(Tables!$A$244:$A$263)-1))))),IF(AD47=10000,(INDEX(Tables!$D$244:$D$263,MAX(1,MIN(IFERROR(MATCH(AF47,Tables!$C$244:$C$263,1),1),ROWS(Tables!$C$244:$C$263)-1)))+(AF47-INDEX(Tables!$C$244:$C$263,MAX(1,MIN(IFERROR(MATCH(AF47,Tables!$C$244:$C$263,1),1),ROWS(Tables!$C$244:$C$263)-1))))*(INDEX(Tables!$D$244:$D$263,MAX(1,MIN(IFERROR(MATCH(AF47,Tables!$C$244:$C$263,1),1),ROWS(Tables!$C$244:$C$263)-1))+1)-INDEX(Tables!$D$244:$D$263,MAX(1,MIN(IFERROR(MATCH(AF47,Tables!$C$244:$C$263,1),1),ROWS(Tables!$C$244:$C$263)-1))))/(INDEX(Tables!$C$244:$C$263,MAX(1,MIN(IFERROR(MATCH(AF47,Tables!$C$244:$C$263,1),1),ROWS(Tables!$C$244:$C$263)-1))+1)-INDEX(Tables!$C$244:$C$263,MAX(1,MIN(IFERROR(MATCH(AF47,Tables!$C$244:$C$263,1),1),ROWS(Tables!$C$244:$C$263)-1))))),(INDEX(Tables!$F$244:$F$263,MAX(1,MIN(IFERROR(MATCH(AF47,Tables!$E$244:$E$263,1),1),ROWS(Tables!$E$244:$E$263)-1)))+(AF47-INDEX(Tables!$E$244:$E$263,MAX(1,MIN(IFERROR(MATCH(AF47,Tables!$E$244:$E$263,1),1),ROWS(Tables!$E$244:$E$263)-1))))*(INDEX(Tables!$F$244:$F$263,MAX(1,MIN(IFERROR(MATCH(AF47,Tables!$E$244:$E$263,1),1),ROWS(Tables!$E$244:$E$263)-1))+1)-INDEX(Tables!$F$244:$F$263,MAX(1,MIN(IFERROR(MATCH(AF47,Tables!$E$244:$E$263,1),1),ROWS(Tables!$E$244:$E$263)-1))))/(INDEX(Tables!$E$244:$E$263,MAX(1,MIN(IFERROR(MATCH(AF47,Tables!$E$244:$E$263,1),1),ROWS(Tables!$E$244:$E$263)-1))+1)-INDEX(Tables!$E$244:$E$263,MAX(1,MIN(IFERROR(MATCH(AF47,Tables!$E$244:$E$263,1),1),ROWS(Tables!$E$244:$E$263)-1)))))))</f>
        <v>2.5920000000000001</v>
      </c>
      <c r="AV47" s="181">
        <f>IF(P47&lt;6,(INDEX(Tables!$B$260:$B$274,MAX(1,MIN(IFERROR(MATCH(U47,Tables!$A$260:$A$274,1),1),ROWS(Tables!$A$260:$A$274)-1)))+(U47-INDEX(Tables!$A$260:$A$274,MAX(1,MIN(IFERROR(MATCH(U47,Tables!$A$260:$A$274,1),1),ROWS(Tables!$A$260:$A$274)-1))))*(INDEX(Tables!$B$260:$B$274,MAX(1,MIN(IFERROR(MATCH(U47,Tables!$A$260:$A$274,1),1),ROWS(Tables!$A$260:$A$274)-1))+1)-INDEX(Tables!$B$260:$B$274,MAX(1,MIN(IFERROR(MATCH(U47,Tables!$A$260:$A$274,1),1),ROWS(Tables!$A$260:$A$274)-1))))/(INDEX(Tables!$A$260:$A$274,MAX(1,MIN(IFERROR(MATCH(U47,Tables!$A$260:$A$274,1),1),ROWS(Tables!$A$260:$A$274)-1))+1)-INDEX(Tables!$A$260:$A$274,MAX(1,MIN(IFERROR(MATCH(U47,Tables!$A$260:$A$274,1),1),ROWS(Tables!$A$260:$A$274)-1))))),IF(P47&lt;8,(INDEX(Tables!$D$260:$D$274,MAX(1,MIN(IFERROR(MATCH(U47,Tables!$C$260:$C$274,1),1),ROWS(Tables!$C$260:$C$274)-1)))+(U47-INDEX(Tables!$C$260:$C$274,MAX(1,MIN(IFERROR(MATCH(U47,Tables!$C$260:$C$274,1),1),ROWS(Tables!$C$260:$C$274)-1))))*(INDEX(Tables!$D$260:$D$274,MAX(1,MIN(IFERROR(MATCH(U47,Tables!$C$260:$C$274,1),1),ROWS(Tables!$C$260:$C$274)-1))+1)-INDEX(Tables!$D$260:$D$274,MAX(1,MIN(IFERROR(MATCH(U47,Tables!$C$260:$C$274,1),1),ROWS(Tables!$C$260:$C$274)-1))))/(INDEX(Tables!$C$260:$C$274,MAX(1,MIN(IFERROR(MATCH(U47,Tables!$C$260:$C$274,1),1),ROWS(Tables!$C$260:$C$274)-1))+1)-INDEX(Tables!$C$260:$C$274,MAX(1,MIN(IFERROR(MATCH(U47,Tables!$C$260:$C$274,1),1),ROWS(Tables!$C$260:$C$274)-1))))),IF(P47&lt;10,(INDEX(Tables!$F$260:$F$274,MAX(1,MIN(IFERROR(MATCH(U47,Tables!$E$260:$E$274,1),1),ROWS(Tables!$E$260:$E$274)-1)))+(U47-INDEX(Tables!$E$260:$E$274,MAX(1,MIN(IFERROR(MATCH(U47,Tables!$E$260:$E$274,1),1),ROWS(Tables!$E$260:$E$274)-1))))*(INDEX(Tables!$F$260:$F$274,MAX(1,MIN(IFERROR(MATCH(U47,Tables!$E$260:$E$274,1),1),ROWS(Tables!$E$260:$E$274)-1))+1)-INDEX(Tables!$F$260:$F$274,MAX(1,MIN(IFERROR(MATCH(U47,Tables!$E$260:$E$274,1),1),ROWS(Tables!$E$260:$E$274)-1))))/(INDEX(Tables!$E$260:$E$274,MAX(1,MIN(IFERROR(MATCH(U47,Tables!$E$260:$E$274,1),1),ROWS(Tables!$E$260:$E$274)-1))+1)-INDEX(Tables!$E$260:$E$274,MAX(1,MIN(IFERROR(MATCH(U47,Tables!$E$260:$E$274,1),1),ROWS(Tables!$E$260:$E$274)-1))))),(INDEX(Tables!$H$260:$H$274,MAX(1,MIN(IFERROR(MATCH(U47,Tables!$G$260:$G$274,1),1),ROWS(Tables!$G$260:$G$274)-1)))+(U47-INDEX(Tables!$G$260:$G$274,MAX(1,MIN(IFERROR(MATCH(U47,Tables!$G$260:$G$274,1),1),ROWS(Tables!$G$260:$G$274)-1))))*(INDEX(Tables!$H$260:$H$274,MAX(1,MIN(IFERROR(MATCH(U47,Tables!$G$260:$G$274,1),1),ROWS(Tables!$G$260:$G$274)-1))+1)-INDEX(Tables!$H$260:$H$274,MAX(1,MIN(IFERROR(MATCH(U47,Tables!$G$260:$G$274,1),1),ROWS(Tables!$G$260:$G$274)-1))))/(INDEX(Tables!$G$260:$G$274,MAX(1,MIN(IFERROR(MATCH(U47,Tables!$G$260:$G$274,1),1),ROWS(Tables!$G$260:$G$274)-1))+1)-INDEX(Tables!$G$260:$G$274,MAX(1,MIN(IFERROR(MATCH(U47,Tables!$G$260:$G$274,1),1),ROWS(Tables!$G$260:$G$274)-1))))))))</f>
        <v>0.84099999999999997</v>
      </c>
      <c r="AW47" s="181">
        <f t="shared" si="41"/>
        <v>167.1069051219512</v>
      </c>
      <c r="AX47" s="181">
        <f t="shared" si="42"/>
        <v>21377.856780091417</v>
      </c>
      <c r="AY47" s="181">
        <f t="shared" si="43"/>
        <v>21575.968563964496</v>
      </c>
      <c r="AZ47" s="181">
        <f t="shared" si="44"/>
        <v>6610.6637009271535</v>
      </c>
      <c r="BA47" s="181">
        <f t="shared" si="45"/>
        <v>-6000</v>
      </c>
      <c r="BB47" s="181">
        <f t="shared" si="46"/>
        <v>23910.491743817074</v>
      </c>
      <c r="BC47" s="181">
        <f t="shared" si="47"/>
        <v>46800</v>
      </c>
      <c r="BD47" s="181">
        <f>VLOOKUP(V47&amp;" "&amp;J47,Tables!$A$152:$E$239,4,FALSE)</f>
        <v>12000</v>
      </c>
      <c r="BE47" s="181">
        <f>VLOOKUP(V47&amp;" "&amp;J47,Tables!$A$152:$E$239,5,FALSE)</f>
        <v>23000</v>
      </c>
      <c r="BF47" s="181">
        <f t="shared" si="48"/>
        <v>8640</v>
      </c>
      <c r="BG47" s="181">
        <f t="shared" si="49"/>
        <v>16560</v>
      </c>
      <c r="BH47" s="181">
        <f t="shared" si="50"/>
        <v>24377.856780091417</v>
      </c>
      <c r="BI47" s="181">
        <f t="shared" si="51"/>
        <v>46800</v>
      </c>
      <c r="BJ47" s="181">
        <f t="shared" si="52"/>
        <v>23910.491743817074</v>
      </c>
      <c r="BK47" s="181">
        <f t="shared" si="53"/>
        <v>46800</v>
      </c>
      <c r="BL47" s="181">
        <f t="shared" si="54"/>
        <v>167.1069051219512</v>
      </c>
      <c r="BM47" s="181">
        <f t="shared" si="55"/>
        <v>8640</v>
      </c>
      <c r="BN47" s="181">
        <f t="shared" si="56"/>
        <v>97.445911280487806</v>
      </c>
      <c r="BO47" s="181">
        <f t="shared" si="57"/>
        <v>16560</v>
      </c>
      <c r="BP47" t="str">
        <f t="shared" si="58"/>
        <v>Pass</v>
      </c>
      <c r="BQ47" t="str">
        <f t="shared" si="59"/>
        <v>Pass</v>
      </c>
      <c r="BR47" t="str">
        <f t="shared" si="60"/>
        <v>Pass</v>
      </c>
      <c r="BS47" t="str">
        <f t="shared" si="61"/>
        <v>Pass</v>
      </c>
      <c r="BT47" t="str">
        <f t="shared" si="62"/>
        <v>Pass</v>
      </c>
      <c r="BU47" t="str">
        <f t="shared" si="63"/>
        <v>Barlow Stress</v>
      </c>
    </row>
    <row r="48" spans="1:73">
      <c r="A48" t="s">
        <v>640</v>
      </c>
      <c r="B48" s="181">
        <v>46</v>
      </c>
      <c r="C48" t="s">
        <v>594</v>
      </c>
      <c r="D48" s="181">
        <v>24</v>
      </c>
      <c r="E48" s="181">
        <v>2.3439999999999999</v>
      </c>
      <c r="F48" t="s">
        <v>117</v>
      </c>
      <c r="G48" t="s">
        <v>119</v>
      </c>
      <c r="H48" t="s">
        <v>122</v>
      </c>
      <c r="I48" s="181">
        <v>1</v>
      </c>
      <c r="J48" t="s">
        <v>126</v>
      </c>
      <c r="K48" t="s">
        <v>129</v>
      </c>
      <c r="L48" s="181">
        <v>70</v>
      </c>
      <c r="M48" s="181">
        <v>6000</v>
      </c>
      <c r="N48" t="s">
        <v>390</v>
      </c>
      <c r="O48" s="181">
        <v>120</v>
      </c>
      <c r="P48" s="181">
        <v>10</v>
      </c>
      <c r="Q48" s="181">
        <v>26</v>
      </c>
      <c r="R48" t="s">
        <v>154</v>
      </c>
      <c r="S48" t="s">
        <v>420</v>
      </c>
      <c r="T48" s="181">
        <v>70</v>
      </c>
      <c r="U48" s="181">
        <f>HLOOKUP(D48,'Highway Loading'!$C$155:$AD$156,2,FALSE)</f>
        <v>24</v>
      </c>
      <c r="V48" s="181">
        <f>IF(ISBLANK(G48),"",INDEX('Highway Loading'!$C$216:$AG$216,1,MATCH(G48,'Highway Loading'!$C$215:$AG$215,0)))</f>
        <v>65000</v>
      </c>
      <c r="W48" s="181">
        <f>INDEX('Highway Loading'!$I$245:$L$253,MATCH(H48,'Highway Loading'!$H$245:$H$253,0),MATCH(I48,'Highway Loading'!$I$244:$L$244,0))</f>
        <v>0.72</v>
      </c>
      <c r="X48" s="181">
        <f t="shared" si="32"/>
        <v>1</v>
      </c>
      <c r="Y48" s="181">
        <f>VLOOKUP(K48,'Highway Loading'!$B$283:$E$292,2,FALSE)</f>
        <v>29000000</v>
      </c>
      <c r="Z48" s="181">
        <f>VLOOKUP(K48,'Highway Loading'!$B$283:$E$292,3,FALSE)</f>
        <v>0.3</v>
      </c>
      <c r="AA48" s="181">
        <f>VLOOKUP(K48,'Highway Loading'!$B$283:$E$292,4,FALSE)</f>
        <v>6.4999999999999996E-6</v>
      </c>
      <c r="AB48" s="181">
        <f t="shared" si="33"/>
        <v>1</v>
      </c>
      <c r="AC48" s="181">
        <f>VLOOKUP(N48,'Highway Loading'!$B$256:$D$261,2,FALSE)</f>
        <v>1000</v>
      </c>
      <c r="AD48" s="181">
        <f>VLOOKUP(N48,'Highway Loading'!$B$256:$D$261,3,FALSE)</f>
        <v>10000</v>
      </c>
      <c r="AE48" s="181">
        <f>VLOOKUP(S48,'Highway Loading'!$B$340:$C$341,2,FALSE)</f>
        <v>12000</v>
      </c>
      <c r="AF48" s="181">
        <f t="shared" si="34"/>
        <v>9.7666666666666666E-2</v>
      </c>
      <c r="AG48" s="181">
        <f t="shared" si="35"/>
        <v>4.615384615384615</v>
      </c>
      <c r="AH48" s="181">
        <f t="shared" si="36"/>
        <v>1.0833333333333333</v>
      </c>
      <c r="AI48" s="181">
        <f t="shared" si="37"/>
        <v>30716.723549488055</v>
      </c>
      <c r="AJ48" s="181">
        <f t="shared" si="38"/>
        <v>46800</v>
      </c>
      <c r="AK48" s="181">
        <f>IF(AC48=200,(INDEX(Tables!$B$17:$B$38,MAX(1,MIN(IFERROR(MATCH(AF48,Tables!$A$17:$A$38,1),1),ROWS(Tables!$A$17:$A$38)-1)))+(AF48-INDEX(Tables!$A$17:$A$38,MAX(1,MIN(IFERROR(MATCH(AF48,Tables!$A$17:$A$38,1),1),ROWS(Tables!$A$17:$A$38)-1))))*(INDEX(Tables!$B$17:$B$38,MAX(1,MIN(IFERROR(MATCH(AF48,Tables!$A$17:$A$38,1),1),ROWS(Tables!$A$17:$A$38)-1))+1)-INDEX(Tables!$B$17:$B$38,MAX(1,MIN(IFERROR(MATCH(AF48,Tables!$A$17:$A$38,1),1),ROWS(Tables!$A$17:$A$38)-1))))/(INDEX(Tables!$A$17:$A$38,MAX(1,MIN(IFERROR(MATCH(AF48,Tables!$A$17:$A$38,1),1),ROWS(Tables!$A$17:$A$38)-1))+1)-INDEX(Tables!$A$17:$A$38,MAX(1,MIN(IFERROR(MATCH(AF48,Tables!$A$17:$A$38,1),1),ROWS(Tables!$A$17:$A$38)-1))))),IF(AC48=500,(INDEX(Tables!$D$17:$D$38,MAX(1,MIN(IFERROR(MATCH(AF48,Tables!$C$17:$C$38,1),1),ROWS(Tables!$C$17:$C$38)-1)))+(AF48-INDEX(Tables!$C$17:$C$38,MAX(1,MIN(IFERROR(MATCH(AF48,Tables!$C$17:$C$38,1),1),ROWS(Tables!$C$17:$C$38)-1))))*(INDEX(Tables!$D$17:$D$38,MAX(1,MIN(IFERROR(MATCH(AF48,Tables!$C$17:$C$38,1),1),ROWS(Tables!$C$17:$C$38)-1))+1)-INDEX(Tables!$D$17:$D$38,MAX(1,MIN(IFERROR(MATCH(AF48,Tables!$C$17:$C$38,1),1),ROWS(Tables!$C$17:$C$38)-1))))/(INDEX(Tables!$C$17:$C$38,MAX(1,MIN(IFERROR(MATCH(AF48,Tables!$C$17:$C$38,1),1),ROWS(Tables!$C$17:$C$38)-1))+1)-INDEX(Tables!$C$17:$C$38,MAX(1,MIN(IFERROR(MATCH(AF48,Tables!$C$17:$C$38,1),1),ROWS(Tables!$C$17:$C$38)-1))))),IF(AC48=1000,(INDEX(Tables!$F$17:$F$38,MAX(1,MIN(IFERROR(MATCH(AF48,Tables!$E$17:$E$38,1),1),ROWS(Tables!$E$17:$E$38)-1)))+(AF48-INDEX(Tables!$E$17:$E$38,MAX(1,MIN(IFERROR(MATCH(AF48,Tables!$E$17:$E$38,1),1),ROWS(Tables!$E$17:$E$38)-1))))*(INDEX(Tables!$F$17:$F$38,MAX(1,MIN(IFERROR(MATCH(AF48,Tables!$E$17:$E$38,1),1),ROWS(Tables!$E$17:$E$38)-1))+1)-INDEX(Tables!$F$17:$F$38,MAX(1,MIN(IFERROR(MATCH(AF48,Tables!$E$17:$E$38,1),1),ROWS(Tables!$E$17:$E$38)-1))))/(INDEX(Tables!$E$17:$E$38,MAX(1,MIN(IFERROR(MATCH(AF48,Tables!$E$17:$E$38,1),1),ROWS(Tables!$E$17:$E$38)-1))+1)-INDEX(Tables!$E$17:$E$38,MAX(1,MIN(IFERROR(MATCH(AF48,Tables!$E$17:$E$38,1),1),ROWS(Tables!$E$17:$E$38)-1))))),(INDEX(Tables!$H$17:$H$38,MAX(1,MIN(IFERROR(MATCH(AF48,Tables!$G$17:$G$38,1),1),ROWS(Tables!$G$17:$G$38)-1)))+(AF48-INDEX(Tables!$G$17:$G$38,MAX(1,MIN(IFERROR(MATCH(AF48,Tables!$G$17:$G$38,1),1),ROWS(Tables!$G$17:$G$38)-1))))*(INDEX(Tables!$H$17:$H$38,MAX(1,MIN(IFERROR(MATCH(AF48,Tables!$G$17:$G$38,1),1),ROWS(Tables!$G$17:$G$38)-1))+1)-INDEX(Tables!$H$17:$H$38,MAX(1,MIN(IFERROR(MATCH(AF48,Tables!$G$17:$G$38,1),1),ROWS(Tables!$G$17:$G$38)-1))))/(INDEX(Tables!$G$17:$G$38,MAX(1,MIN(IFERROR(MATCH(AF48,Tables!$G$17:$G$38,1),1),ROWS(Tables!$G$17:$G$38)-1))+1)-INDEX(Tables!$G$17:$G$38,MAX(1,MIN(IFERROR(MATCH(AF48,Tables!$G$17:$G$38,1),1),ROWS(Tables!$G$17:$G$38)-1))))))))</f>
        <v>88</v>
      </c>
      <c r="AL48" s="181">
        <f>IF(AC48&lt;1000,(INDEX(Tables!$B$43:$B$76,MAX(1,MIN(IFERROR(MATCH(AG48,Tables!$A$43:$A$76,1),1),ROWS(Tables!$A$43:$A$76)-1)))+(AG48-INDEX(Tables!$A$43:$A$76,MAX(1,MIN(IFERROR(MATCH(AG48,Tables!$A$43:$A$76,1),1),ROWS(Tables!$A$43:$A$76)-1))))*(INDEX(Tables!$B$43:$B$76,MAX(1,MIN(IFERROR(MATCH(AG48,Tables!$A$43:$A$76,1),1),ROWS(Tables!$A$43:$A$76)-1))+1)-INDEX(Tables!$B$43:$B$76,MAX(1,MIN(IFERROR(MATCH(AG48,Tables!$A$43:$A$76,1),1),ROWS(Tables!$A$43:$A$76)-1))))/(INDEX(Tables!$A$43:$A$76,MAX(1,MIN(IFERROR(MATCH(AG48,Tables!$A$43:$A$76,1),1),ROWS(Tables!$A$43:$A$76)-1))+1)-INDEX(Tables!$A$43:$A$76,MAX(1,MIN(IFERROR(MATCH(AG48,Tables!$A$43:$A$76,1),1),ROWS(Tables!$A$43:$A$76)-1))))),(INDEX(Tables!$D$43:$D$76,MAX(1,MIN(IFERROR(MATCH(AG48,Tables!$C$43:$C$76,1),1),ROWS(Tables!$C$43:$C$76)-1)))+(AG48-INDEX(Tables!$C$43:$C$76,MAX(1,MIN(IFERROR(MATCH(AG48,Tables!$C$43:$C$76,1),1),ROWS(Tables!$C$43:$C$76)-1))))*(INDEX(Tables!$D$43:$D$76,MAX(1,MIN(IFERROR(MATCH(AG48,Tables!$C$43:$C$76,1),1),ROWS(Tables!$C$43:$C$76)-1))+1)-INDEX(Tables!$D$43:$D$76,MAX(1,MIN(IFERROR(MATCH(AG48,Tables!$C$43:$C$76,1),1),ROWS(Tables!$C$43:$C$76)-1))))/(INDEX(Tables!$C$43:$C$76,MAX(1,MIN(IFERROR(MATCH(AG48,Tables!$C$43:$C$76,1),1),ROWS(Tables!$C$43:$C$76)-1))+1)-INDEX(Tables!$C$43:$C$76,MAX(1,MIN(IFERROR(MATCH(AG48,Tables!$C$43:$C$76,1),1),ROWS(Tables!$C$43:$C$76)-1))))))</f>
        <v>0.9366923076923076</v>
      </c>
      <c r="AM48" s="181">
        <f>(INDEX(Tables!$B$80:$B$87,MAX(1,MIN(IFERROR(MATCH(AH48,Tables!$A$80:$A$87,1),1),ROWS(Tables!$A$80:$A$87)-1)))+(AH48-INDEX(Tables!$A$80:$A$87,MAX(1,MIN(IFERROR(MATCH(AH48,Tables!$A$80:$A$87,1),1),ROWS(Tables!$A$80:$A$87)-1))))*(INDEX(Tables!$B$80:$B$87,MAX(1,MIN(IFERROR(MATCH(AH48,Tables!$A$80:$A$87,1),1),ROWS(Tables!$A$80:$A$87)-1))+1)-INDEX(Tables!$B$80:$B$87,MAX(1,MIN(IFERROR(MATCH(AH48,Tables!$A$80:$A$87,1),1),ROWS(Tables!$A$80:$A$87)-1))))/(INDEX(Tables!$A$80:$A$87,MAX(1,MIN(IFERROR(MATCH(AH48,Tables!$A$80:$A$87,1),1),ROWS(Tables!$A$80:$A$87)-1))+1)-INDEX(Tables!$A$80:$A$87,MAX(1,MIN(IFERROR(MATCH(AH48,Tables!$A$80:$A$87,1),1),ROWS(Tables!$A$80:$A$87)-1)))))</f>
        <v>0.96739999999999982</v>
      </c>
      <c r="AN48" s="181">
        <f t="shared" si="39"/>
        <v>132.90290030769228</v>
      </c>
      <c r="AO48" s="181">
        <f>(INDEX(Tables!$B$91:$B$94,MAX(1,MIN(IFERROR(MATCH(P48,Tables!$A$91:$A$94,1),1),ROWS(Tables!$A$91:$A$94)-1)))+(P48-INDEX(Tables!$A$91:$A$94,MAX(1,MIN(IFERROR(MATCH(P48,Tables!$A$91:$A$94,1),1),ROWS(Tables!$A$91:$A$94)-1))))*(INDEX(Tables!$B$91:$B$94,MAX(1,MIN(IFERROR(MATCH(P48,Tables!$A$91:$A$94,1),1),ROWS(Tables!$A$91:$A$94)-1))+1)-INDEX(Tables!$B$91:$B$94,MAX(1,MIN(IFERROR(MATCH(P48,Tables!$A$91:$A$94,1),1),ROWS(Tables!$A$91:$A$94)-1))))/(INDEX(Tables!$A$91:$A$94,MAX(1,MIN(IFERROR(MATCH(P48,Tables!$A$91:$A$94,1),1),ROWS(Tables!$A$91:$A$94)-1))+1)-INDEX(Tables!$A$91:$A$94,MAX(1,MIN(IFERROR(MATCH(P48,Tables!$A$91:$A$94,1),1),ROWS(Tables!$A$91:$A$94)-1)))))</f>
        <v>1.3542682926829268</v>
      </c>
      <c r="AP48" s="181">
        <f>IF(AD48=5000,(INDEX(Tables!$B$99:$B$118,MAX(1,MIN(IFERROR(MATCH(AF48,Tables!$A$99:$A$118,1),1),ROWS(Tables!$A$99:$A$118)-1)))+(AF48-INDEX(Tables!$A$99:$A$118,MAX(1,MIN(IFERROR(MATCH(AF48,Tables!$A$99:$A$118,1),1),ROWS(Tables!$A$99:$A$118)-1))))*(INDEX(Tables!$B$99:$B$118,MAX(1,MIN(IFERROR(MATCH(AF48,Tables!$A$99:$A$118,1),1),ROWS(Tables!$A$99:$A$118)-1))+1)-INDEX(Tables!$B$99:$B$118,MAX(1,MIN(IFERROR(MATCH(AF48,Tables!$A$99:$A$118,1),1),ROWS(Tables!$A$99:$A$118)-1))))/(INDEX(Tables!$A$99:$A$118,MAX(1,MIN(IFERROR(MATCH(AF48,Tables!$A$99:$A$118,1),1),ROWS(Tables!$A$99:$A$118)-1))+1)-INDEX(Tables!$A$99:$A$118,MAX(1,MIN(IFERROR(MATCH(AF48,Tables!$A$99:$A$118,1),1),ROWS(Tables!$A$99:$A$118)-1))))),IF(AD48=10000,(INDEX(Tables!$D$99:$D$118,MAX(1,MIN(IFERROR(MATCH(AF48,Tables!$C$99:$C$118,1),1),ROWS(Tables!$C$99:$C$118)-1)))+(AF48-INDEX(Tables!$C$99:$C$118,MAX(1,MIN(IFERROR(MATCH(AF48,Tables!$C$99:$C$118,1),1),ROWS(Tables!$C$99:$C$118)-1))))*(INDEX(Tables!$D$99:$D$118,MAX(1,MIN(IFERROR(MATCH(AF48,Tables!$C$99:$C$118,1),1),ROWS(Tables!$C$99:$C$118)-1))+1)-INDEX(Tables!$D$99:$D$118,MAX(1,MIN(IFERROR(MATCH(AF48,Tables!$C$99:$C$118,1),1),ROWS(Tables!$C$99:$C$118)-1))))/(INDEX(Tables!$C$99:$C$118,MAX(1,MIN(IFERROR(MATCH(AF48,Tables!$C$99:$C$118,1),1),ROWS(Tables!$C$99:$C$118)-1))+1)-INDEX(Tables!$C$99:$C$118,MAX(1,MIN(IFERROR(MATCH(AF48,Tables!$C$99:$C$118,1),1),ROWS(Tables!$C$99:$C$118)-1))))),(INDEX(Tables!$F$99:$F$118,MAX(1,MIN(IFERROR(MATCH(AF48,Tables!$E$99:$E$118,1),1),ROWS(Tables!$E$99:$E$118)-1)))+(AF48-INDEX(Tables!$E$99:$E$118,MAX(1,MIN(IFERROR(MATCH(AF48,Tables!$E$99:$E$118,1),1),ROWS(Tables!$E$99:$E$118)-1))))*(INDEX(Tables!$F$99:$F$118,MAX(1,MIN(IFERROR(MATCH(AF48,Tables!$E$99:$E$118,1),1),ROWS(Tables!$E$99:$E$118)-1))+1)-INDEX(Tables!$F$99:$F$118,MAX(1,MIN(IFERROR(MATCH(AF48,Tables!$E$99:$E$118,1),1),ROWS(Tables!$E$99:$E$118)-1))))/(INDEX(Tables!$E$99:$E$118,MAX(1,MIN(IFERROR(MATCH(AF48,Tables!$E$99:$E$118,1),1),ROWS(Tables!$E$99:$E$118)-1))+1)-INDEX(Tables!$E$99:$E$118,MAX(1,MIN(IFERROR(MATCH(AF48,Tables!$E$99:$E$118,1),1),ROWS(Tables!$E$99:$E$118)-1)))))))</f>
        <v>1.605</v>
      </c>
      <c r="AQ48" s="181">
        <f>IF(P48&lt;6,(INDEX(Tables!$B$123:$B$138,MAX(1,MIN(IFERROR(MATCH(U48,Tables!$A$123:$A$138,1),1),ROWS(Tables!$A$123:$A$138)-1)))+(U48-INDEX(Tables!$A$123:$A$138,MAX(1,MIN(IFERROR(MATCH(U48,Tables!$A$123:$A$138,1),1),ROWS(Tables!$A$123:$A$138)-1))))*(INDEX(Tables!$B$123:$B$138,MAX(1,MIN(IFERROR(MATCH(U48,Tables!$A$123:$A$138,1),1),ROWS(Tables!$A$123:$A$138)-1))+1)-INDEX(Tables!$B$123:$B$138,MAX(1,MIN(IFERROR(MATCH(U48,Tables!$A$123:$A$138,1),1),ROWS(Tables!$A$123:$A$138)-1))))/(INDEX(Tables!$A$123:$A$138,MAX(1,MIN(IFERROR(MATCH(U48,Tables!$A$123:$A$138,1),1),ROWS(Tables!$A$123:$A$138)-1))+1)-INDEX(Tables!$A$123:$A$138,MAX(1,MIN(IFERROR(MATCH(U48,Tables!$A$123:$A$138,1),1),ROWS(Tables!$A$123:$A$138)-1))))),IF(P48&lt;8,(INDEX(Tables!$D$123:$D$138,MAX(1,MIN(IFERROR(MATCH(U48,Tables!$C$123:$C$138,1),1),ROWS(Tables!$C$123:$C$138)-1)))+(U48-INDEX(Tables!$C$123:$C$138,MAX(1,MIN(IFERROR(MATCH(U48,Tables!$C$123:$C$138,1),1),ROWS(Tables!$C$123:$C$138)-1))))*(INDEX(Tables!$D$123:$D$138,MAX(1,MIN(IFERROR(MATCH(U48,Tables!$C$123:$C$138,1),1),ROWS(Tables!$C$123:$C$138)-1))+1)-INDEX(Tables!$D$123:$D$138,MAX(1,MIN(IFERROR(MATCH(U48,Tables!$C$123:$C$138,1),1),ROWS(Tables!$C$123:$C$138)-1))))/(INDEX(Tables!$C$123:$C$138,MAX(1,MIN(IFERROR(MATCH(U48,Tables!$C$123:$C$138,1),1),ROWS(Tables!$C$123:$C$138)-1))+1)-INDEX(Tables!$C$123:$C$138,MAX(1,MIN(IFERROR(MATCH(U48,Tables!$C$123:$C$138,1),1),ROWS(Tables!$C$123:$C$138)-1))))),IF(P48&lt;10,(INDEX(Tables!$F$123:$F$138,MAX(1,MIN(IFERROR(MATCH(U48,Tables!$E$123:$E$138,1),1),ROWS(Tables!$E$123:$E$138)-1)))+(U48-INDEX(Tables!$E$123:$E$138,MAX(1,MIN(IFERROR(MATCH(U48,Tables!$E$123:$E$138,1),1),ROWS(Tables!$E$123:$E$138)-1))))*(INDEX(Tables!$F$123:$F$138,MAX(1,MIN(IFERROR(MATCH(U48,Tables!$E$123:$E$138,1),1),ROWS(Tables!$E$123:$E$138)-1))+1)-INDEX(Tables!$F$123:$F$138,MAX(1,MIN(IFERROR(MATCH(U48,Tables!$E$123:$E$138,1),1),ROWS(Tables!$E$123:$E$138)-1))))/(INDEX(Tables!$E$123:$E$138,MAX(1,MIN(IFERROR(MATCH(U48,Tables!$E$123:$E$138,1),1),ROWS(Tables!$E$123:$E$138)-1))+1)-INDEX(Tables!$E$123:$E$138,MAX(1,MIN(IFERROR(MATCH(U48,Tables!$E$123:$E$138,1),1),ROWS(Tables!$E$123:$E$138)-1))))),(INDEX(Tables!$H$123:$H$138,MAX(1,MIN(IFERROR(MATCH(U48,Tables!$G$123:$G$138,1),1),ROWS(Tables!$G$123:$G$138)-1)))+(U48-INDEX(Tables!$G$123:$G$138,MAX(1,MIN(IFERROR(MATCH(U48,Tables!$G$123:$G$138,1),1),ROWS(Tables!$G$123:$G$138)-1))))*(INDEX(Tables!$H$123:$H$138,MAX(1,MIN(IFERROR(MATCH(U48,Tables!$G$123:$G$138,1),1),ROWS(Tables!$G$123:$G$138)-1))+1)-INDEX(Tables!$H$123:$H$138,MAX(1,MIN(IFERROR(MATCH(U48,Tables!$G$123:$G$138,1),1),ROWS(Tables!$G$123:$G$138)-1))))/(INDEX(Tables!$G$123:$G$138,MAX(1,MIN(IFERROR(MATCH(U48,Tables!$G$123:$G$138,1),1),ROWS(Tables!$G$123:$G$138)-1))+1)-INDEX(Tables!$G$123:$G$138,MAX(1,MIN(IFERROR(MATCH(U48,Tables!$G$123:$G$138,1),1),ROWS(Tables!$G$123:$G$138)-1))))))))</f>
        <v>0.57750000000000001</v>
      </c>
      <c r="AR48" s="181">
        <f>IF(OR(P48&gt;=4,U48&gt;12),VLOOKUP(R48&amp;" "&amp;S48,Tables!$D$143:$F$148,2,FALSE),VLOOKUP(R48&amp;" "&amp;S48,Tables!$A$143:$C$148,2,FALSE))</f>
        <v>1</v>
      </c>
      <c r="AS48" s="181">
        <f>IF(OR(P48&gt;=4,U48&gt;12),VLOOKUP(R48&amp;" "&amp;S48,Tables!$D$143:$F$148,3,FALSE),VLOOKUP(R48&amp;" "&amp;S48,Tables!$A$143:$C$148,3,FALSE))</f>
        <v>0.65</v>
      </c>
      <c r="AT48" s="181">
        <f t="shared" si="40"/>
        <v>67.992944073932932</v>
      </c>
      <c r="AU48" s="181">
        <f>IF(AD48=5000,(INDEX(Tables!$B$244:$B$263,MAX(1,MIN(IFERROR(MATCH(AF48,Tables!$A$244:$A$263,1),1),ROWS(Tables!$A$244:$A$263)-1)))+(AF48-INDEX(Tables!$A$244:$A$263,MAX(1,MIN(IFERROR(MATCH(AF48,Tables!$A$244:$A$263,1),1),ROWS(Tables!$A$244:$A$263)-1))))*(INDEX(Tables!$B$244:$B$263,MAX(1,MIN(IFERROR(MATCH(AF48,Tables!$A$244:$A$263,1),1),ROWS(Tables!$A$244:$A$263)-1))+1)-INDEX(Tables!$B$244:$B$263,MAX(1,MIN(IFERROR(MATCH(AF48,Tables!$A$244:$A$263,1),1),ROWS(Tables!$A$244:$A$263)-1))))/(INDEX(Tables!$A$244:$A$263,MAX(1,MIN(IFERROR(MATCH(AF48,Tables!$A$244:$A$263,1),1),ROWS(Tables!$A$244:$A$263)-1))+1)-INDEX(Tables!$A$244:$A$263,MAX(1,MIN(IFERROR(MATCH(AF48,Tables!$A$244:$A$263,1),1),ROWS(Tables!$A$244:$A$263)-1))))),IF(AD48=10000,(INDEX(Tables!$D$244:$D$263,MAX(1,MIN(IFERROR(MATCH(AF48,Tables!$C$244:$C$263,1),1),ROWS(Tables!$C$244:$C$263)-1)))+(AF48-INDEX(Tables!$C$244:$C$263,MAX(1,MIN(IFERROR(MATCH(AF48,Tables!$C$244:$C$263,1),1),ROWS(Tables!$C$244:$C$263)-1))))*(INDEX(Tables!$D$244:$D$263,MAX(1,MIN(IFERROR(MATCH(AF48,Tables!$C$244:$C$263,1),1),ROWS(Tables!$C$244:$C$263)-1))+1)-INDEX(Tables!$D$244:$D$263,MAX(1,MIN(IFERROR(MATCH(AF48,Tables!$C$244:$C$263,1),1),ROWS(Tables!$C$244:$C$263)-1))))/(INDEX(Tables!$C$244:$C$263,MAX(1,MIN(IFERROR(MATCH(AF48,Tables!$C$244:$C$263,1),1),ROWS(Tables!$C$244:$C$263)-1))+1)-INDEX(Tables!$C$244:$C$263,MAX(1,MIN(IFERROR(MATCH(AF48,Tables!$C$244:$C$263,1),1),ROWS(Tables!$C$244:$C$263)-1))))),(INDEX(Tables!$F$244:$F$263,MAX(1,MIN(IFERROR(MATCH(AF48,Tables!$E$244:$E$263,1),1),ROWS(Tables!$E$244:$E$263)-1)))+(AF48-INDEX(Tables!$E$244:$E$263,MAX(1,MIN(IFERROR(MATCH(AF48,Tables!$E$244:$E$263,1),1),ROWS(Tables!$E$244:$E$263)-1))))*(INDEX(Tables!$F$244:$F$263,MAX(1,MIN(IFERROR(MATCH(AF48,Tables!$E$244:$E$263,1),1),ROWS(Tables!$E$244:$E$263)-1))+1)-INDEX(Tables!$F$244:$F$263,MAX(1,MIN(IFERROR(MATCH(AF48,Tables!$E$244:$E$263,1),1),ROWS(Tables!$E$244:$E$263)-1))))/(INDEX(Tables!$E$244:$E$263,MAX(1,MIN(IFERROR(MATCH(AF48,Tables!$E$244:$E$263,1),1),ROWS(Tables!$E$244:$E$263)-1))+1)-INDEX(Tables!$E$244:$E$263,MAX(1,MIN(IFERROR(MATCH(AF48,Tables!$E$244:$E$263,1),1),ROWS(Tables!$E$244:$E$263)-1)))))))</f>
        <v>2.5920000000000001</v>
      </c>
      <c r="AV48" s="181">
        <f>IF(P48&lt;6,(INDEX(Tables!$B$260:$B$274,MAX(1,MIN(IFERROR(MATCH(U48,Tables!$A$260:$A$274,1),1),ROWS(Tables!$A$260:$A$274)-1)))+(U48-INDEX(Tables!$A$260:$A$274,MAX(1,MIN(IFERROR(MATCH(U48,Tables!$A$260:$A$274,1),1),ROWS(Tables!$A$260:$A$274)-1))))*(INDEX(Tables!$B$260:$B$274,MAX(1,MIN(IFERROR(MATCH(U48,Tables!$A$260:$A$274,1),1),ROWS(Tables!$A$260:$A$274)-1))+1)-INDEX(Tables!$B$260:$B$274,MAX(1,MIN(IFERROR(MATCH(U48,Tables!$A$260:$A$274,1),1),ROWS(Tables!$A$260:$A$274)-1))))/(INDEX(Tables!$A$260:$A$274,MAX(1,MIN(IFERROR(MATCH(U48,Tables!$A$260:$A$274,1),1),ROWS(Tables!$A$260:$A$274)-1))+1)-INDEX(Tables!$A$260:$A$274,MAX(1,MIN(IFERROR(MATCH(U48,Tables!$A$260:$A$274,1),1),ROWS(Tables!$A$260:$A$274)-1))))),IF(P48&lt;8,(INDEX(Tables!$D$260:$D$274,MAX(1,MIN(IFERROR(MATCH(U48,Tables!$C$260:$C$274,1),1),ROWS(Tables!$C$260:$C$274)-1)))+(U48-INDEX(Tables!$C$260:$C$274,MAX(1,MIN(IFERROR(MATCH(U48,Tables!$C$260:$C$274,1),1),ROWS(Tables!$C$260:$C$274)-1))))*(INDEX(Tables!$D$260:$D$274,MAX(1,MIN(IFERROR(MATCH(U48,Tables!$C$260:$C$274,1),1),ROWS(Tables!$C$260:$C$274)-1))+1)-INDEX(Tables!$D$260:$D$274,MAX(1,MIN(IFERROR(MATCH(U48,Tables!$C$260:$C$274,1),1),ROWS(Tables!$C$260:$C$274)-1))))/(INDEX(Tables!$C$260:$C$274,MAX(1,MIN(IFERROR(MATCH(U48,Tables!$C$260:$C$274,1),1),ROWS(Tables!$C$260:$C$274)-1))+1)-INDEX(Tables!$C$260:$C$274,MAX(1,MIN(IFERROR(MATCH(U48,Tables!$C$260:$C$274,1),1),ROWS(Tables!$C$260:$C$274)-1))))),IF(P48&lt;10,(INDEX(Tables!$F$260:$F$274,MAX(1,MIN(IFERROR(MATCH(U48,Tables!$E$260:$E$274,1),1),ROWS(Tables!$E$260:$E$274)-1)))+(U48-INDEX(Tables!$E$260:$E$274,MAX(1,MIN(IFERROR(MATCH(U48,Tables!$E$260:$E$274,1),1),ROWS(Tables!$E$260:$E$274)-1))))*(INDEX(Tables!$F$260:$F$274,MAX(1,MIN(IFERROR(MATCH(U48,Tables!$E$260:$E$274,1),1),ROWS(Tables!$E$260:$E$274)-1))+1)-INDEX(Tables!$F$260:$F$274,MAX(1,MIN(IFERROR(MATCH(U48,Tables!$E$260:$E$274,1),1),ROWS(Tables!$E$260:$E$274)-1))))/(INDEX(Tables!$E$260:$E$274,MAX(1,MIN(IFERROR(MATCH(U48,Tables!$E$260:$E$274,1),1),ROWS(Tables!$E$260:$E$274)-1))+1)-INDEX(Tables!$E$260:$E$274,MAX(1,MIN(IFERROR(MATCH(U48,Tables!$E$260:$E$274,1),1),ROWS(Tables!$E$260:$E$274)-1))))),(INDEX(Tables!$H$260:$H$274,MAX(1,MIN(IFERROR(MATCH(U48,Tables!$G$260:$G$274,1),1),ROWS(Tables!$G$260:$G$274)-1)))+(U48-INDEX(Tables!$G$260:$G$274,MAX(1,MIN(IFERROR(MATCH(U48,Tables!$G$260:$G$274,1),1),ROWS(Tables!$G$260:$G$274)-1))))*(INDEX(Tables!$H$260:$H$274,MAX(1,MIN(IFERROR(MATCH(U48,Tables!$G$260:$G$274,1),1),ROWS(Tables!$G$260:$G$274)-1))+1)-INDEX(Tables!$H$260:$H$274,MAX(1,MIN(IFERROR(MATCH(U48,Tables!$G$260:$G$274,1),1),ROWS(Tables!$G$260:$G$274)-1))))/(INDEX(Tables!$G$260:$G$274,MAX(1,MIN(IFERROR(MATCH(U48,Tables!$G$260:$G$274,1),1),ROWS(Tables!$G$260:$G$274)-1))+1)-INDEX(Tables!$G$260:$G$274,MAX(1,MIN(IFERROR(MATCH(U48,Tables!$G$260:$G$274,1),1),ROWS(Tables!$G$260:$G$274)-1))))))))</f>
        <v>0.64533333333333331</v>
      </c>
      <c r="AW48" s="181">
        <f t="shared" si="41"/>
        <v>122.70320780487805</v>
      </c>
      <c r="AX48" s="181">
        <f t="shared" si="42"/>
        <v>27716.723549488055</v>
      </c>
      <c r="AY48" s="181">
        <f t="shared" si="43"/>
        <v>27917.619393869682</v>
      </c>
      <c r="AZ48" s="181">
        <f t="shared" si="44"/>
        <v>8477.5911427436022</v>
      </c>
      <c r="BA48" s="181">
        <f t="shared" si="45"/>
        <v>-6000</v>
      </c>
      <c r="BB48" s="181">
        <f t="shared" si="46"/>
        <v>29478.129596774223</v>
      </c>
      <c r="BC48" s="181">
        <f t="shared" si="47"/>
        <v>46800</v>
      </c>
      <c r="BD48" s="181">
        <f>VLOOKUP(V48&amp;" "&amp;J48,Tables!$A$152:$E$239,4,FALSE)</f>
        <v>12000</v>
      </c>
      <c r="BE48" s="181">
        <f>VLOOKUP(V48&amp;" "&amp;J48,Tables!$A$152:$E$239,5,FALSE)</f>
        <v>23000</v>
      </c>
      <c r="BF48" s="181">
        <f t="shared" si="48"/>
        <v>8640</v>
      </c>
      <c r="BG48" s="181">
        <f t="shared" si="49"/>
        <v>16560</v>
      </c>
      <c r="BH48" s="181">
        <f t="shared" si="50"/>
        <v>30716.723549488055</v>
      </c>
      <c r="BI48" s="181">
        <f t="shared" si="51"/>
        <v>46800</v>
      </c>
      <c r="BJ48" s="181">
        <f t="shared" si="52"/>
        <v>29478.129596774223</v>
      </c>
      <c r="BK48" s="181">
        <f t="shared" si="53"/>
        <v>46800</v>
      </c>
      <c r="BL48" s="181">
        <f t="shared" si="54"/>
        <v>122.70320780487805</v>
      </c>
      <c r="BM48" s="181">
        <f t="shared" si="55"/>
        <v>8640</v>
      </c>
      <c r="BN48" s="181">
        <f t="shared" si="56"/>
        <v>67.992944073932932</v>
      </c>
      <c r="BO48" s="181">
        <f t="shared" si="57"/>
        <v>16560</v>
      </c>
      <c r="BP48" t="str">
        <f t="shared" si="58"/>
        <v>Pass</v>
      </c>
      <c r="BQ48" t="str">
        <f t="shared" si="59"/>
        <v>Pass</v>
      </c>
      <c r="BR48" t="str">
        <f t="shared" si="60"/>
        <v>Pass</v>
      </c>
      <c r="BS48" t="str">
        <f t="shared" si="61"/>
        <v>Pass</v>
      </c>
      <c r="BT48" t="str">
        <f t="shared" si="62"/>
        <v>Pass</v>
      </c>
      <c r="BU48" t="str">
        <f t="shared" si="63"/>
        <v>Barlow Stress</v>
      </c>
    </row>
    <row r="49" spans="1:73">
      <c r="A49" t="s">
        <v>641</v>
      </c>
      <c r="B49" s="181">
        <v>47</v>
      </c>
      <c r="C49" t="s">
        <v>594</v>
      </c>
      <c r="D49" s="181">
        <v>36</v>
      </c>
      <c r="E49" s="181">
        <v>0.75</v>
      </c>
      <c r="F49" t="s">
        <v>117</v>
      </c>
      <c r="G49" t="s">
        <v>119</v>
      </c>
      <c r="H49" t="s">
        <v>122</v>
      </c>
      <c r="I49" s="181">
        <v>1</v>
      </c>
      <c r="J49" t="s">
        <v>126</v>
      </c>
      <c r="K49" t="s">
        <v>129</v>
      </c>
      <c r="L49" s="181">
        <v>70</v>
      </c>
      <c r="M49" s="181">
        <v>6000</v>
      </c>
      <c r="N49" t="s">
        <v>390</v>
      </c>
      <c r="O49" s="181">
        <v>120</v>
      </c>
      <c r="P49" s="181">
        <v>14</v>
      </c>
      <c r="Q49" s="181">
        <v>38</v>
      </c>
      <c r="R49" t="s">
        <v>154</v>
      </c>
      <c r="S49" t="s">
        <v>420</v>
      </c>
      <c r="T49" s="181">
        <v>70</v>
      </c>
      <c r="U49" s="181">
        <f>HLOOKUP(D49,'Highway Loading'!$C$155:$AD$156,2,FALSE)</f>
        <v>36</v>
      </c>
      <c r="V49" s="181">
        <f>IF(ISBLANK(G49),"",INDEX('Highway Loading'!$C$216:$AG$216,1,MATCH(G49,'Highway Loading'!$C$215:$AG$215,0)))</f>
        <v>65000</v>
      </c>
      <c r="W49" s="181">
        <f>INDEX('Highway Loading'!$I$245:$L$253,MATCH(H49,'Highway Loading'!$H$245:$H$253,0),MATCH(I49,'Highway Loading'!$I$244:$L$244,0))</f>
        <v>0.72</v>
      </c>
      <c r="X49" s="181">
        <f t="shared" si="32"/>
        <v>1</v>
      </c>
      <c r="Y49" s="181">
        <f>VLOOKUP(K49,'Highway Loading'!$B$283:$E$292,2,FALSE)</f>
        <v>29000000</v>
      </c>
      <c r="Z49" s="181">
        <f>VLOOKUP(K49,'Highway Loading'!$B$283:$E$292,3,FALSE)</f>
        <v>0.3</v>
      </c>
      <c r="AA49" s="181">
        <f>VLOOKUP(K49,'Highway Loading'!$B$283:$E$292,4,FALSE)</f>
        <v>6.4999999999999996E-6</v>
      </c>
      <c r="AB49" s="181">
        <f t="shared" si="33"/>
        <v>1</v>
      </c>
      <c r="AC49" s="181">
        <f>VLOOKUP(N49,'Highway Loading'!$B$256:$D$261,2,FALSE)</f>
        <v>1000</v>
      </c>
      <c r="AD49" s="181">
        <f>VLOOKUP(N49,'Highway Loading'!$B$256:$D$261,3,FALSE)</f>
        <v>10000</v>
      </c>
      <c r="AE49" s="181">
        <f>VLOOKUP(S49,'Highway Loading'!$B$340:$C$341,2,FALSE)</f>
        <v>12000</v>
      </c>
      <c r="AF49" s="181">
        <f t="shared" si="34"/>
        <v>2.0833333333333332E-2</v>
      </c>
      <c r="AG49" s="181">
        <f t="shared" si="35"/>
        <v>4.4210526315789478</v>
      </c>
      <c r="AH49" s="181">
        <f t="shared" si="36"/>
        <v>1.0555555555555556</v>
      </c>
      <c r="AI49" s="181">
        <f t="shared" si="37"/>
        <v>144000</v>
      </c>
      <c r="AJ49" s="181">
        <f t="shared" si="38"/>
        <v>46800</v>
      </c>
      <c r="AK49" s="181">
        <f>IF(AC49=200,(INDEX(Tables!$B$17:$B$38,MAX(1,MIN(IFERROR(MATCH(AF49,Tables!$A$17:$A$38,1),1),ROWS(Tables!$A$17:$A$38)-1)))+(AF49-INDEX(Tables!$A$17:$A$38,MAX(1,MIN(IFERROR(MATCH(AF49,Tables!$A$17:$A$38,1),1),ROWS(Tables!$A$17:$A$38)-1))))*(INDEX(Tables!$B$17:$B$38,MAX(1,MIN(IFERROR(MATCH(AF49,Tables!$A$17:$A$38,1),1),ROWS(Tables!$A$17:$A$38)-1))+1)-INDEX(Tables!$B$17:$B$38,MAX(1,MIN(IFERROR(MATCH(AF49,Tables!$A$17:$A$38,1),1),ROWS(Tables!$A$17:$A$38)-1))))/(INDEX(Tables!$A$17:$A$38,MAX(1,MIN(IFERROR(MATCH(AF49,Tables!$A$17:$A$38,1),1),ROWS(Tables!$A$17:$A$38)-1))+1)-INDEX(Tables!$A$17:$A$38,MAX(1,MIN(IFERROR(MATCH(AF49,Tables!$A$17:$A$38,1),1),ROWS(Tables!$A$17:$A$38)-1))))),IF(AC49=500,(INDEX(Tables!$D$17:$D$38,MAX(1,MIN(IFERROR(MATCH(AF49,Tables!$C$17:$C$38,1),1),ROWS(Tables!$C$17:$C$38)-1)))+(AF49-INDEX(Tables!$C$17:$C$38,MAX(1,MIN(IFERROR(MATCH(AF49,Tables!$C$17:$C$38,1),1),ROWS(Tables!$C$17:$C$38)-1))))*(INDEX(Tables!$D$17:$D$38,MAX(1,MIN(IFERROR(MATCH(AF49,Tables!$C$17:$C$38,1),1),ROWS(Tables!$C$17:$C$38)-1))+1)-INDEX(Tables!$D$17:$D$38,MAX(1,MIN(IFERROR(MATCH(AF49,Tables!$C$17:$C$38,1),1),ROWS(Tables!$C$17:$C$38)-1))))/(INDEX(Tables!$C$17:$C$38,MAX(1,MIN(IFERROR(MATCH(AF49,Tables!$C$17:$C$38,1),1),ROWS(Tables!$C$17:$C$38)-1))+1)-INDEX(Tables!$C$17:$C$38,MAX(1,MIN(IFERROR(MATCH(AF49,Tables!$C$17:$C$38,1),1),ROWS(Tables!$C$17:$C$38)-1))))),IF(AC49=1000,(INDEX(Tables!$F$17:$F$38,MAX(1,MIN(IFERROR(MATCH(AF49,Tables!$E$17:$E$38,1),1),ROWS(Tables!$E$17:$E$38)-1)))+(AF49-INDEX(Tables!$E$17:$E$38,MAX(1,MIN(IFERROR(MATCH(AF49,Tables!$E$17:$E$38,1),1),ROWS(Tables!$E$17:$E$38)-1))))*(INDEX(Tables!$F$17:$F$38,MAX(1,MIN(IFERROR(MATCH(AF49,Tables!$E$17:$E$38,1),1),ROWS(Tables!$E$17:$E$38)-1))+1)-INDEX(Tables!$F$17:$F$38,MAX(1,MIN(IFERROR(MATCH(AF49,Tables!$E$17:$E$38,1),1),ROWS(Tables!$E$17:$E$38)-1))))/(INDEX(Tables!$E$17:$E$38,MAX(1,MIN(IFERROR(MATCH(AF49,Tables!$E$17:$E$38,1),1),ROWS(Tables!$E$17:$E$38)-1))+1)-INDEX(Tables!$E$17:$E$38,MAX(1,MIN(IFERROR(MATCH(AF49,Tables!$E$17:$E$38,1),1),ROWS(Tables!$E$17:$E$38)-1))))),(INDEX(Tables!$H$17:$H$38,MAX(1,MIN(IFERROR(MATCH(AF49,Tables!$G$17:$G$38,1),1),ROWS(Tables!$G$17:$G$38)-1)))+(AF49-INDEX(Tables!$G$17:$G$38,MAX(1,MIN(IFERROR(MATCH(AF49,Tables!$G$17:$G$38,1),1),ROWS(Tables!$G$17:$G$38)-1))))*(INDEX(Tables!$H$17:$H$38,MAX(1,MIN(IFERROR(MATCH(AF49,Tables!$G$17:$G$38,1),1),ROWS(Tables!$G$17:$G$38)-1))+1)-INDEX(Tables!$H$17:$H$38,MAX(1,MIN(IFERROR(MATCH(AF49,Tables!$G$17:$G$38,1),1),ROWS(Tables!$G$17:$G$38)-1))))/(INDEX(Tables!$G$17:$G$38,MAX(1,MIN(IFERROR(MATCH(AF49,Tables!$G$17:$G$38,1),1),ROWS(Tables!$G$17:$G$38)-1))+1)-INDEX(Tables!$G$17:$G$38,MAX(1,MIN(IFERROR(MATCH(AF49,Tables!$G$17:$G$38,1),1),ROWS(Tables!$G$17:$G$38)-1))))))))</f>
        <v>2167.5000000000005</v>
      </c>
      <c r="AL49" s="181">
        <f>IF(AC49&lt;1000,(INDEX(Tables!$B$43:$B$76,MAX(1,MIN(IFERROR(MATCH(AG49,Tables!$A$43:$A$76,1),1),ROWS(Tables!$A$43:$A$76)-1)))+(AG49-INDEX(Tables!$A$43:$A$76,MAX(1,MIN(IFERROR(MATCH(AG49,Tables!$A$43:$A$76,1),1),ROWS(Tables!$A$43:$A$76)-1))))*(INDEX(Tables!$B$43:$B$76,MAX(1,MIN(IFERROR(MATCH(AG49,Tables!$A$43:$A$76,1),1),ROWS(Tables!$A$43:$A$76)-1))+1)-INDEX(Tables!$B$43:$B$76,MAX(1,MIN(IFERROR(MATCH(AG49,Tables!$A$43:$A$76,1),1),ROWS(Tables!$A$43:$A$76)-1))))/(INDEX(Tables!$A$43:$A$76,MAX(1,MIN(IFERROR(MATCH(AG49,Tables!$A$43:$A$76,1),1),ROWS(Tables!$A$43:$A$76)-1))+1)-INDEX(Tables!$A$43:$A$76,MAX(1,MIN(IFERROR(MATCH(AG49,Tables!$A$43:$A$76,1),1),ROWS(Tables!$A$43:$A$76)-1))))),(INDEX(Tables!$D$43:$D$76,MAX(1,MIN(IFERROR(MATCH(AG49,Tables!$C$43:$C$76,1),1),ROWS(Tables!$C$43:$C$76)-1)))+(AG49-INDEX(Tables!$C$43:$C$76,MAX(1,MIN(IFERROR(MATCH(AG49,Tables!$C$43:$C$76,1),1),ROWS(Tables!$C$43:$C$76)-1))))*(INDEX(Tables!$D$43:$D$76,MAX(1,MIN(IFERROR(MATCH(AG49,Tables!$C$43:$C$76,1),1),ROWS(Tables!$C$43:$C$76)-1))+1)-INDEX(Tables!$D$43:$D$76,MAX(1,MIN(IFERROR(MATCH(AG49,Tables!$C$43:$C$76,1),1),ROWS(Tables!$C$43:$C$76)-1))))/(INDEX(Tables!$C$43:$C$76,MAX(1,MIN(IFERROR(MATCH(AG49,Tables!$C$43:$C$76,1),1),ROWS(Tables!$C$43:$C$76)-1))+1)-INDEX(Tables!$C$43:$C$76,MAX(1,MIN(IFERROR(MATCH(AG49,Tables!$C$43:$C$76,1),1),ROWS(Tables!$C$43:$C$76)-1))))))</f>
        <v>0.92289473684210532</v>
      </c>
      <c r="AM49" s="181">
        <f>(INDEX(Tables!$B$80:$B$87,MAX(1,MIN(IFERROR(MATCH(AH49,Tables!$A$80:$A$87,1),1),ROWS(Tables!$A$80:$A$87)-1)))+(AH49-INDEX(Tables!$A$80:$A$87,MAX(1,MIN(IFERROR(MATCH(AH49,Tables!$A$80:$A$87,1),1),ROWS(Tables!$A$80:$A$87)-1))))*(INDEX(Tables!$B$80:$B$87,MAX(1,MIN(IFERROR(MATCH(AH49,Tables!$A$80:$A$87,1),1),ROWS(Tables!$A$80:$A$87)-1))+1)-INDEX(Tables!$B$80:$B$87,MAX(1,MIN(IFERROR(MATCH(AH49,Tables!$A$80:$A$87,1),1),ROWS(Tables!$A$80:$A$87)-1))))/(INDEX(Tables!$A$80:$A$87,MAX(1,MIN(IFERROR(MATCH(AH49,Tables!$A$80:$A$87,1),1),ROWS(Tables!$A$80:$A$87)-1))+1)-INDEX(Tables!$A$80:$A$87,MAX(1,MIN(IFERROR(MATCH(AH49,Tables!$A$80:$A$87,1),1),ROWS(Tables!$A$80:$A$87)-1)))))</f>
        <v>0.91873333333333329</v>
      </c>
      <c r="AN49" s="181">
        <f t="shared" si="39"/>
        <v>4594.5264680921064</v>
      </c>
      <c r="AO49" s="181">
        <f>(INDEX(Tables!$B$91:$B$94,MAX(1,MIN(IFERROR(MATCH(P49,Tables!$A$91:$A$94,1),1),ROWS(Tables!$A$91:$A$94)-1)))+(P49-INDEX(Tables!$A$91:$A$94,MAX(1,MIN(IFERROR(MATCH(P49,Tables!$A$91:$A$94,1),1),ROWS(Tables!$A$91:$A$94)-1))))*(INDEX(Tables!$B$91:$B$94,MAX(1,MIN(IFERROR(MATCH(P49,Tables!$A$91:$A$94,1),1),ROWS(Tables!$A$91:$A$94)-1))+1)-INDEX(Tables!$B$91:$B$94,MAX(1,MIN(IFERROR(MATCH(P49,Tables!$A$91:$A$94,1),1),ROWS(Tables!$A$91:$A$94)-1))))/(INDEX(Tables!$A$91:$A$94,MAX(1,MIN(IFERROR(MATCH(P49,Tables!$A$91:$A$94,1),1),ROWS(Tables!$A$91:$A$94)-1))+1)-INDEX(Tables!$A$91:$A$94,MAX(1,MIN(IFERROR(MATCH(P49,Tables!$A$91:$A$94,1),1),ROWS(Tables!$A$91:$A$94)-1)))))</f>
        <v>1.2323170731707318</v>
      </c>
      <c r="AP49" s="181">
        <f>IF(AD49=5000,(INDEX(Tables!$B$99:$B$118,MAX(1,MIN(IFERROR(MATCH(AF49,Tables!$A$99:$A$118,1),1),ROWS(Tables!$A$99:$A$118)-1)))+(AF49-INDEX(Tables!$A$99:$A$118,MAX(1,MIN(IFERROR(MATCH(AF49,Tables!$A$99:$A$118,1),1),ROWS(Tables!$A$99:$A$118)-1))))*(INDEX(Tables!$B$99:$B$118,MAX(1,MIN(IFERROR(MATCH(AF49,Tables!$A$99:$A$118,1),1),ROWS(Tables!$A$99:$A$118)-1))+1)-INDEX(Tables!$B$99:$B$118,MAX(1,MIN(IFERROR(MATCH(AF49,Tables!$A$99:$A$118,1),1),ROWS(Tables!$A$99:$A$118)-1))))/(INDEX(Tables!$A$99:$A$118,MAX(1,MIN(IFERROR(MATCH(AF49,Tables!$A$99:$A$118,1),1),ROWS(Tables!$A$99:$A$118)-1))+1)-INDEX(Tables!$A$99:$A$118,MAX(1,MIN(IFERROR(MATCH(AF49,Tables!$A$99:$A$118,1),1),ROWS(Tables!$A$99:$A$118)-1))))),IF(AD49=10000,(INDEX(Tables!$D$99:$D$118,MAX(1,MIN(IFERROR(MATCH(AF49,Tables!$C$99:$C$118,1),1),ROWS(Tables!$C$99:$C$118)-1)))+(AF49-INDEX(Tables!$C$99:$C$118,MAX(1,MIN(IFERROR(MATCH(AF49,Tables!$C$99:$C$118,1),1),ROWS(Tables!$C$99:$C$118)-1))))*(INDEX(Tables!$D$99:$D$118,MAX(1,MIN(IFERROR(MATCH(AF49,Tables!$C$99:$C$118,1),1),ROWS(Tables!$C$99:$C$118)-1))+1)-INDEX(Tables!$D$99:$D$118,MAX(1,MIN(IFERROR(MATCH(AF49,Tables!$C$99:$C$118,1),1),ROWS(Tables!$C$99:$C$118)-1))))/(INDEX(Tables!$C$99:$C$118,MAX(1,MIN(IFERROR(MATCH(AF49,Tables!$C$99:$C$118,1),1),ROWS(Tables!$C$99:$C$118)-1))+1)-INDEX(Tables!$C$99:$C$118,MAX(1,MIN(IFERROR(MATCH(AF49,Tables!$C$99:$C$118,1),1),ROWS(Tables!$C$99:$C$118)-1))))),(INDEX(Tables!$F$99:$F$118,MAX(1,MIN(IFERROR(MATCH(AF49,Tables!$E$99:$E$118,1),1),ROWS(Tables!$E$99:$E$118)-1)))+(AF49-INDEX(Tables!$E$99:$E$118,MAX(1,MIN(IFERROR(MATCH(AF49,Tables!$E$99:$E$118,1),1),ROWS(Tables!$E$99:$E$118)-1))))*(INDEX(Tables!$F$99:$F$118,MAX(1,MIN(IFERROR(MATCH(AF49,Tables!$E$99:$E$118,1),1),ROWS(Tables!$E$99:$E$118)-1))+1)-INDEX(Tables!$F$99:$F$118,MAX(1,MIN(IFERROR(MATCH(AF49,Tables!$E$99:$E$118,1),1),ROWS(Tables!$E$99:$E$118)-1))))/(INDEX(Tables!$E$99:$E$118,MAX(1,MIN(IFERROR(MATCH(AF49,Tables!$E$99:$E$118,1),1),ROWS(Tables!$E$99:$E$118)-1))+1)-INDEX(Tables!$E$99:$E$118,MAX(1,MIN(IFERROR(MATCH(AF49,Tables!$E$99:$E$118,1),1),ROWS(Tables!$E$99:$E$118)-1)))))))</f>
        <v>13.84400081900082</v>
      </c>
      <c r="AQ49" s="181">
        <f>IF(P49&lt;6,(INDEX(Tables!$B$123:$B$138,MAX(1,MIN(IFERROR(MATCH(U49,Tables!$A$123:$A$138,1),1),ROWS(Tables!$A$123:$A$138)-1)))+(U49-INDEX(Tables!$A$123:$A$138,MAX(1,MIN(IFERROR(MATCH(U49,Tables!$A$123:$A$138,1),1),ROWS(Tables!$A$123:$A$138)-1))))*(INDEX(Tables!$B$123:$B$138,MAX(1,MIN(IFERROR(MATCH(U49,Tables!$A$123:$A$138,1),1),ROWS(Tables!$A$123:$A$138)-1))+1)-INDEX(Tables!$B$123:$B$138,MAX(1,MIN(IFERROR(MATCH(U49,Tables!$A$123:$A$138,1),1),ROWS(Tables!$A$123:$A$138)-1))))/(INDEX(Tables!$A$123:$A$138,MAX(1,MIN(IFERROR(MATCH(U49,Tables!$A$123:$A$138,1),1),ROWS(Tables!$A$123:$A$138)-1))+1)-INDEX(Tables!$A$123:$A$138,MAX(1,MIN(IFERROR(MATCH(U49,Tables!$A$123:$A$138,1),1),ROWS(Tables!$A$123:$A$138)-1))))),IF(P49&lt;8,(INDEX(Tables!$D$123:$D$138,MAX(1,MIN(IFERROR(MATCH(U49,Tables!$C$123:$C$138,1),1),ROWS(Tables!$C$123:$C$138)-1)))+(U49-INDEX(Tables!$C$123:$C$138,MAX(1,MIN(IFERROR(MATCH(U49,Tables!$C$123:$C$138,1),1),ROWS(Tables!$C$123:$C$138)-1))))*(INDEX(Tables!$D$123:$D$138,MAX(1,MIN(IFERROR(MATCH(U49,Tables!$C$123:$C$138,1),1),ROWS(Tables!$C$123:$C$138)-1))+1)-INDEX(Tables!$D$123:$D$138,MAX(1,MIN(IFERROR(MATCH(U49,Tables!$C$123:$C$138,1),1),ROWS(Tables!$C$123:$C$138)-1))))/(INDEX(Tables!$C$123:$C$138,MAX(1,MIN(IFERROR(MATCH(U49,Tables!$C$123:$C$138,1),1),ROWS(Tables!$C$123:$C$138)-1))+1)-INDEX(Tables!$C$123:$C$138,MAX(1,MIN(IFERROR(MATCH(U49,Tables!$C$123:$C$138,1),1),ROWS(Tables!$C$123:$C$138)-1))))),IF(P49&lt;10,(INDEX(Tables!$F$123:$F$138,MAX(1,MIN(IFERROR(MATCH(U49,Tables!$E$123:$E$138,1),1),ROWS(Tables!$E$123:$E$138)-1)))+(U49-INDEX(Tables!$E$123:$E$138,MAX(1,MIN(IFERROR(MATCH(U49,Tables!$E$123:$E$138,1),1),ROWS(Tables!$E$123:$E$138)-1))))*(INDEX(Tables!$F$123:$F$138,MAX(1,MIN(IFERROR(MATCH(U49,Tables!$E$123:$E$138,1),1),ROWS(Tables!$E$123:$E$138)-1))+1)-INDEX(Tables!$F$123:$F$138,MAX(1,MIN(IFERROR(MATCH(U49,Tables!$E$123:$E$138,1),1),ROWS(Tables!$E$123:$E$138)-1))))/(INDEX(Tables!$E$123:$E$138,MAX(1,MIN(IFERROR(MATCH(U49,Tables!$E$123:$E$138,1),1),ROWS(Tables!$E$123:$E$138)-1))+1)-INDEX(Tables!$E$123:$E$138,MAX(1,MIN(IFERROR(MATCH(U49,Tables!$E$123:$E$138,1),1),ROWS(Tables!$E$123:$E$138)-1))))),(INDEX(Tables!$H$123:$H$138,MAX(1,MIN(IFERROR(MATCH(U49,Tables!$G$123:$G$138,1),1),ROWS(Tables!$G$123:$G$138)-1)))+(U49-INDEX(Tables!$G$123:$G$138,MAX(1,MIN(IFERROR(MATCH(U49,Tables!$G$123:$G$138,1),1),ROWS(Tables!$G$123:$G$138)-1))))*(INDEX(Tables!$H$123:$H$138,MAX(1,MIN(IFERROR(MATCH(U49,Tables!$G$123:$G$138,1),1),ROWS(Tables!$G$123:$G$138)-1))+1)-INDEX(Tables!$H$123:$H$138,MAX(1,MIN(IFERROR(MATCH(U49,Tables!$G$123:$G$138,1),1),ROWS(Tables!$G$123:$G$138)-1))))/(INDEX(Tables!$G$123:$G$138,MAX(1,MIN(IFERROR(MATCH(U49,Tables!$G$123:$G$138,1),1),ROWS(Tables!$G$123:$G$138)-1))+1)-INDEX(Tables!$G$123:$G$138,MAX(1,MIN(IFERROR(MATCH(U49,Tables!$G$123:$G$138,1),1),ROWS(Tables!$G$123:$G$138)-1))))))))</f>
        <v>0.50060000000000004</v>
      </c>
      <c r="AR49" s="181">
        <f>IF(OR(P49&gt;=4,U49&gt;12),VLOOKUP(R49&amp;" "&amp;S49,Tables!$D$143:$F$148,2,FALSE),VLOOKUP(R49&amp;" "&amp;S49,Tables!$A$143:$C$148,2,FALSE))</f>
        <v>1</v>
      </c>
      <c r="AS49" s="181">
        <f>IF(OR(P49&gt;=4,U49&gt;12),VLOOKUP(R49&amp;" "&amp;S49,Tables!$D$143:$F$148,3,FALSE),VLOOKUP(R49&amp;" "&amp;S49,Tables!$A$143:$C$148,3,FALSE))</f>
        <v>0.65</v>
      </c>
      <c r="AT49" s="181">
        <f t="shared" si="40"/>
        <v>462.60150106431621</v>
      </c>
      <c r="AU49" s="181">
        <f>IF(AD49=5000,(INDEX(Tables!$B$244:$B$263,MAX(1,MIN(IFERROR(MATCH(AF49,Tables!$A$244:$A$263,1),1),ROWS(Tables!$A$244:$A$263)-1)))+(AF49-INDEX(Tables!$A$244:$A$263,MAX(1,MIN(IFERROR(MATCH(AF49,Tables!$A$244:$A$263,1),1),ROWS(Tables!$A$244:$A$263)-1))))*(INDEX(Tables!$B$244:$B$263,MAX(1,MIN(IFERROR(MATCH(AF49,Tables!$A$244:$A$263,1),1),ROWS(Tables!$A$244:$A$263)-1))+1)-INDEX(Tables!$B$244:$B$263,MAX(1,MIN(IFERROR(MATCH(AF49,Tables!$A$244:$A$263,1),1),ROWS(Tables!$A$244:$A$263)-1))))/(INDEX(Tables!$A$244:$A$263,MAX(1,MIN(IFERROR(MATCH(AF49,Tables!$A$244:$A$263,1),1),ROWS(Tables!$A$244:$A$263)-1))+1)-INDEX(Tables!$A$244:$A$263,MAX(1,MIN(IFERROR(MATCH(AF49,Tables!$A$244:$A$263,1),1),ROWS(Tables!$A$244:$A$263)-1))))),IF(AD49=10000,(INDEX(Tables!$D$244:$D$263,MAX(1,MIN(IFERROR(MATCH(AF49,Tables!$C$244:$C$263,1),1),ROWS(Tables!$C$244:$C$263)-1)))+(AF49-INDEX(Tables!$C$244:$C$263,MAX(1,MIN(IFERROR(MATCH(AF49,Tables!$C$244:$C$263,1),1),ROWS(Tables!$C$244:$C$263)-1))))*(INDEX(Tables!$D$244:$D$263,MAX(1,MIN(IFERROR(MATCH(AF49,Tables!$C$244:$C$263,1),1),ROWS(Tables!$C$244:$C$263)-1))+1)-INDEX(Tables!$D$244:$D$263,MAX(1,MIN(IFERROR(MATCH(AF49,Tables!$C$244:$C$263,1),1),ROWS(Tables!$C$244:$C$263)-1))))/(INDEX(Tables!$C$244:$C$263,MAX(1,MIN(IFERROR(MATCH(AF49,Tables!$C$244:$C$263,1),1),ROWS(Tables!$C$244:$C$263)-1))+1)-INDEX(Tables!$C$244:$C$263,MAX(1,MIN(IFERROR(MATCH(AF49,Tables!$C$244:$C$263,1),1),ROWS(Tables!$C$244:$C$263)-1))))),(INDEX(Tables!$F$244:$F$263,MAX(1,MIN(IFERROR(MATCH(AF49,Tables!$E$244:$E$263,1),1),ROWS(Tables!$E$244:$E$263)-1)))+(AF49-INDEX(Tables!$E$244:$E$263,MAX(1,MIN(IFERROR(MATCH(AF49,Tables!$E$244:$E$263,1),1),ROWS(Tables!$E$244:$E$263)-1))))*(INDEX(Tables!$F$244:$F$263,MAX(1,MIN(IFERROR(MATCH(AF49,Tables!$E$244:$E$263,1),1),ROWS(Tables!$E$244:$E$263)-1))+1)-INDEX(Tables!$F$244:$F$263,MAX(1,MIN(IFERROR(MATCH(AF49,Tables!$E$244:$E$263,1),1),ROWS(Tables!$E$244:$E$263)-1))))/(INDEX(Tables!$E$244:$E$263,MAX(1,MIN(IFERROR(MATCH(AF49,Tables!$E$244:$E$263,1),1),ROWS(Tables!$E$244:$E$263)-1))+1)-INDEX(Tables!$E$244:$E$263,MAX(1,MIN(IFERROR(MATCH(AF49,Tables!$E$244:$E$263,1),1),ROWS(Tables!$E$244:$E$263)-1)))))))</f>
        <v>9.6654999999999998</v>
      </c>
      <c r="AV49" s="181">
        <f>IF(P49&lt;6,(INDEX(Tables!$B$260:$B$274,MAX(1,MIN(IFERROR(MATCH(U49,Tables!$A$260:$A$274,1),1),ROWS(Tables!$A$260:$A$274)-1)))+(U49-INDEX(Tables!$A$260:$A$274,MAX(1,MIN(IFERROR(MATCH(U49,Tables!$A$260:$A$274,1),1),ROWS(Tables!$A$260:$A$274)-1))))*(INDEX(Tables!$B$260:$B$274,MAX(1,MIN(IFERROR(MATCH(U49,Tables!$A$260:$A$274,1),1),ROWS(Tables!$A$260:$A$274)-1))+1)-INDEX(Tables!$B$260:$B$274,MAX(1,MIN(IFERROR(MATCH(U49,Tables!$A$260:$A$274,1),1),ROWS(Tables!$A$260:$A$274)-1))))/(INDEX(Tables!$A$260:$A$274,MAX(1,MIN(IFERROR(MATCH(U49,Tables!$A$260:$A$274,1),1),ROWS(Tables!$A$260:$A$274)-1))+1)-INDEX(Tables!$A$260:$A$274,MAX(1,MIN(IFERROR(MATCH(U49,Tables!$A$260:$A$274,1),1),ROWS(Tables!$A$260:$A$274)-1))))),IF(P49&lt;8,(INDEX(Tables!$D$260:$D$274,MAX(1,MIN(IFERROR(MATCH(U49,Tables!$C$260:$C$274,1),1),ROWS(Tables!$C$260:$C$274)-1)))+(U49-INDEX(Tables!$C$260:$C$274,MAX(1,MIN(IFERROR(MATCH(U49,Tables!$C$260:$C$274,1),1),ROWS(Tables!$C$260:$C$274)-1))))*(INDEX(Tables!$D$260:$D$274,MAX(1,MIN(IFERROR(MATCH(U49,Tables!$C$260:$C$274,1),1),ROWS(Tables!$C$260:$C$274)-1))+1)-INDEX(Tables!$D$260:$D$274,MAX(1,MIN(IFERROR(MATCH(U49,Tables!$C$260:$C$274,1),1),ROWS(Tables!$C$260:$C$274)-1))))/(INDEX(Tables!$C$260:$C$274,MAX(1,MIN(IFERROR(MATCH(U49,Tables!$C$260:$C$274,1),1),ROWS(Tables!$C$260:$C$274)-1))+1)-INDEX(Tables!$C$260:$C$274,MAX(1,MIN(IFERROR(MATCH(U49,Tables!$C$260:$C$274,1),1),ROWS(Tables!$C$260:$C$274)-1))))),IF(P49&lt;10,(INDEX(Tables!$F$260:$F$274,MAX(1,MIN(IFERROR(MATCH(U49,Tables!$E$260:$E$274,1),1),ROWS(Tables!$E$260:$E$274)-1)))+(U49-INDEX(Tables!$E$260:$E$274,MAX(1,MIN(IFERROR(MATCH(U49,Tables!$E$260:$E$274,1),1),ROWS(Tables!$E$260:$E$274)-1))))*(INDEX(Tables!$F$260:$F$274,MAX(1,MIN(IFERROR(MATCH(U49,Tables!$E$260:$E$274,1),1),ROWS(Tables!$E$260:$E$274)-1))+1)-INDEX(Tables!$F$260:$F$274,MAX(1,MIN(IFERROR(MATCH(U49,Tables!$E$260:$E$274,1),1),ROWS(Tables!$E$260:$E$274)-1))))/(INDEX(Tables!$E$260:$E$274,MAX(1,MIN(IFERROR(MATCH(U49,Tables!$E$260:$E$274,1),1),ROWS(Tables!$E$260:$E$274)-1))+1)-INDEX(Tables!$E$260:$E$274,MAX(1,MIN(IFERROR(MATCH(U49,Tables!$E$260:$E$274,1),1),ROWS(Tables!$E$260:$E$274)-1))))),(INDEX(Tables!$H$260:$H$274,MAX(1,MIN(IFERROR(MATCH(U49,Tables!$G$260:$G$274,1),1),ROWS(Tables!$G$260:$G$274)-1)))+(U49-INDEX(Tables!$G$260:$G$274,MAX(1,MIN(IFERROR(MATCH(U49,Tables!$G$260:$G$274,1),1),ROWS(Tables!$G$260:$G$274)-1))))*(INDEX(Tables!$H$260:$H$274,MAX(1,MIN(IFERROR(MATCH(U49,Tables!$G$260:$G$274,1),1),ROWS(Tables!$G$260:$G$274)-1))+1)-INDEX(Tables!$H$260:$H$274,MAX(1,MIN(IFERROR(MATCH(U49,Tables!$G$260:$G$274,1),1),ROWS(Tables!$G$260:$G$274)-1))))/(INDEX(Tables!$G$260:$G$274,MAX(1,MIN(IFERROR(MATCH(U49,Tables!$G$260:$G$274,1),1),ROWS(Tables!$G$260:$G$274)-1))+1)-INDEX(Tables!$G$260:$G$274,MAX(1,MIN(IFERROR(MATCH(U49,Tables!$G$260:$G$274,1),1),ROWS(Tables!$G$260:$G$274)-1))))))))</f>
        <v>0.51828571428571424</v>
      </c>
      <c r="AW49" s="181">
        <f t="shared" si="41"/>
        <v>334.38604111570845</v>
      </c>
      <c r="AX49" s="181">
        <f t="shared" si="42"/>
        <v>141000</v>
      </c>
      <c r="AY49" s="181">
        <f t="shared" si="43"/>
        <v>146057.12796915643</v>
      </c>
      <c r="AZ49" s="181">
        <f t="shared" si="44"/>
        <v>44012.743981543339</v>
      </c>
      <c r="BA49" s="181">
        <f t="shared" si="45"/>
        <v>-6000</v>
      </c>
      <c r="BB49" s="181">
        <f t="shared" si="46"/>
        <v>134230.5871070436</v>
      </c>
      <c r="BC49" s="181">
        <f t="shared" si="47"/>
        <v>46800</v>
      </c>
      <c r="BD49" s="181">
        <f>VLOOKUP(V49&amp;" "&amp;J49,Tables!$A$152:$E$239,4,FALSE)</f>
        <v>12000</v>
      </c>
      <c r="BE49" s="181">
        <f>VLOOKUP(V49&amp;" "&amp;J49,Tables!$A$152:$E$239,5,FALSE)</f>
        <v>23000</v>
      </c>
      <c r="BF49" s="181">
        <f t="shared" si="48"/>
        <v>8640</v>
      </c>
      <c r="BG49" s="181">
        <f t="shared" si="49"/>
        <v>16560</v>
      </c>
      <c r="BH49" s="181">
        <f t="shared" si="50"/>
        <v>144000</v>
      </c>
      <c r="BI49" s="181">
        <f t="shared" si="51"/>
        <v>46800</v>
      </c>
      <c r="BJ49" s="181">
        <f t="shared" si="52"/>
        <v>134230.5871070436</v>
      </c>
      <c r="BK49" s="181">
        <f t="shared" si="53"/>
        <v>46800</v>
      </c>
      <c r="BL49" s="181">
        <f t="shared" si="54"/>
        <v>334.38604111570845</v>
      </c>
      <c r="BM49" s="181">
        <f t="shared" si="55"/>
        <v>8640</v>
      </c>
      <c r="BN49" s="181">
        <f t="shared" si="56"/>
        <v>462.60150106431621</v>
      </c>
      <c r="BO49" s="181">
        <f t="shared" si="57"/>
        <v>16560</v>
      </c>
      <c r="BP49" t="str">
        <f t="shared" si="58"/>
        <v>Fail</v>
      </c>
      <c r="BQ49" t="str">
        <f t="shared" si="59"/>
        <v>Fail</v>
      </c>
      <c r="BR49" t="str">
        <f t="shared" si="60"/>
        <v>Pass</v>
      </c>
      <c r="BS49" t="str">
        <f t="shared" si="61"/>
        <v>Pass</v>
      </c>
      <c r="BT49" t="str">
        <f t="shared" si="62"/>
        <v>Fail</v>
      </c>
      <c r="BU49" t="str">
        <f t="shared" si="63"/>
        <v>Barlow Stress</v>
      </c>
    </row>
    <row r="50" spans="1:73">
      <c r="A50" t="s">
        <v>642</v>
      </c>
      <c r="B50" s="181">
        <v>48</v>
      </c>
      <c r="C50" t="s">
        <v>594</v>
      </c>
      <c r="D50" s="181">
        <v>48</v>
      </c>
      <c r="E50" s="181">
        <v>0.5</v>
      </c>
      <c r="F50" t="s">
        <v>117</v>
      </c>
      <c r="G50" t="s">
        <v>119</v>
      </c>
      <c r="H50" t="s">
        <v>122</v>
      </c>
      <c r="I50" s="181">
        <v>1</v>
      </c>
      <c r="J50" t="s">
        <v>126</v>
      </c>
      <c r="K50" t="s">
        <v>129</v>
      </c>
      <c r="L50" s="181">
        <v>70</v>
      </c>
      <c r="M50" s="181">
        <v>-14.73</v>
      </c>
      <c r="N50" t="s">
        <v>390</v>
      </c>
      <c r="O50" s="181">
        <v>120</v>
      </c>
      <c r="P50" s="181">
        <v>30</v>
      </c>
      <c r="Q50" s="181">
        <v>50</v>
      </c>
      <c r="R50" t="s">
        <v>154</v>
      </c>
      <c r="S50" t="s">
        <v>420</v>
      </c>
      <c r="T50" s="181">
        <v>70</v>
      </c>
      <c r="U50" s="181">
        <f>HLOOKUP(D50,'Highway Loading'!$C$155:$AD$156,2,FALSE)</f>
        <v>48</v>
      </c>
      <c r="V50" s="181">
        <f>IF(ISBLANK(G50),"",INDEX('Highway Loading'!$C$216:$AG$216,1,MATCH(G50,'Highway Loading'!$C$215:$AG$215,0)))</f>
        <v>65000</v>
      </c>
      <c r="W50" s="181">
        <f>INDEX('Highway Loading'!$I$245:$L$253,MATCH(H50,'Highway Loading'!$H$245:$H$253,0),MATCH(I50,'Highway Loading'!$I$244:$L$244,0))</f>
        <v>0.72</v>
      </c>
      <c r="X50" s="181">
        <f t="shared" si="32"/>
        <v>1</v>
      </c>
      <c r="Y50" s="181">
        <f>VLOOKUP(K50,'Highway Loading'!$B$283:$E$292,2,FALSE)</f>
        <v>29000000</v>
      </c>
      <c r="Z50" s="181">
        <f>VLOOKUP(K50,'Highway Loading'!$B$283:$E$292,3,FALSE)</f>
        <v>0.3</v>
      </c>
      <c r="AA50" s="181">
        <f>VLOOKUP(K50,'Highway Loading'!$B$283:$E$292,4,FALSE)</f>
        <v>6.4999999999999996E-6</v>
      </c>
      <c r="AB50" s="181">
        <f t="shared" si="33"/>
        <v>1</v>
      </c>
      <c r="AC50" s="181">
        <f>VLOOKUP(N50,'Highway Loading'!$B$256:$D$261,2,FALSE)</f>
        <v>1000</v>
      </c>
      <c r="AD50" s="181">
        <f>VLOOKUP(N50,'Highway Loading'!$B$256:$D$261,3,FALSE)</f>
        <v>10000</v>
      </c>
      <c r="AE50" s="181">
        <f>VLOOKUP(S50,'Highway Loading'!$B$340:$C$341,2,FALSE)</f>
        <v>12000</v>
      </c>
      <c r="AF50" s="181">
        <f t="shared" si="34"/>
        <v>1.0416666666666666E-2</v>
      </c>
      <c r="AG50" s="181">
        <f t="shared" si="35"/>
        <v>7.2</v>
      </c>
      <c r="AH50" s="181">
        <f t="shared" si="36"/>
        <v>1.0416666666666667</v>
      </c>
      <c r="AI50" s="181">
        <f t="shared" si="37"/>
        <v>-707.04</v>
      </c>
      <c r="AJ50" s="181">
        <f t="shared" si="38"/>
        <v>46800</v>
      </c>
      <c r="AK50" s="181">
        <f>IF(AC50=200,(INDEX(Tables!$B$17:$B$38,MAX(1,MIN(IFERROR(MATCH(AF50,Tables!$A$17:$A$38,1),1),ROWS(Tables!$A$17:$A$38)-1)))+(AF50-INDEX(Tables!$A$17:$A$38,MAX(1,MIN(IFERROR(MATCH(AF50,Tables!$A$17:$A$38,1),1),ROWS(Tables!$A$17:$A$38)-1))))*(INDEX(Tables!$B$17:$B$38,MAX(1,MIN(IFERROR(MATCH(AF50,Tables!$A$17:$A$38,1),1),ROWS(Tables!$A$17:$A$38)-1))+1)-INDEX(Tables!$B$17:$B$38,MAX(1,MIN(IFERROR(MATCH(AF50,Tables!$A$17:$A$38,1),1),ROWS(Tables!$A$17:$A$38)-1))))/(INDEX(Tables!$A$17:$A$38,MAX(1,MIN(IFERROR(MATCH(AF50,Tables!$A$17:$A$38,1),1),ROWS(Tables!$A$17:$A$38)-1))+1)-INDEX(Tables!$A$17:$A$38,MAX(1,MIN(IFERROR(MATCH(AF50,Tables!$A$17:$A$38,1),1),ROWS(Tables!$A$17:$A$38)-1))))),IF(AC50=500,(INDEX(Tables!$D$17:$D$38,MAX(1,MIN(IFERROR(MATCH(AF50,Tables!$C$17:$C$38,1),1),ROWS(Tables!$C$17:$C$38)-1)))+(AF50-INDEX(Tables!$C$17:$C$38,MAX(1,MIN(IFERROR(MATCH(AF50,Tables!$C$17:$C$38,1),1),ROWS(Tables!$C$17:$C$38)-1))))*(INDEX(Tables!$D$17:$D$38,MAX(1,MIN(IFERROR(MATCH(AF50,Tables!$C$17:$C$38,1),1),ROWS(Tables!$C$17:$C$38)-1))+1)-INDEX(Tables!$D$17:$D$38,MAX(1,MIN(IFERROR(MATCH(AF50,Tables!$C$17:$C$38,1),1),ROWS(Tables!$C$17:$C$38)-1))))/(INDEX(Tables!$C$17:$C$38,MAX(1,MIN(IFERROR(MATCH(AF50,Tables!$C$17:$C$38,1),1),ROWS(Tables!$C$17:$C$38)-1))+1)-INDEX(Tables!$C$17:$C$38,MAX(1,MIN(IFERROR(MATCH(AF50,Tables!$C$17:$C$38,1),1),ROWS(Tables!$C$17:$C$38)-1))))),IF(AC50=1000,(INDEX(Tables!$F$17:$F$38,MAX(1,MIN(IFERROR(MATCH(AF50,Tables!$E$17:$E$38,1),1),ROWS(Tables!$E$17:$E$38)-1)))+(AF50-INDEX(Tables!$E$17:$E$38,MAX(1,MIN(IFERROR(MATCH(AF50,Tables!$E$17:$E$38,1),1),ROWS(Tables!$E$17:$E$38)-1))))*(INDEX(Tables!$F$17:$F$38,MAX(1,MIN(IFERROR(MATCH(AF50,Tables!$E$17:$E$38,1),1),ROWS(Tables!$E$17:$E$38)-1))+1)-INDEX(Tables!$F$17:$F$38,MAX(1,MIN(IFERROR(MATCH(AF50,Tables!$E$17:$E$38,1),1),ROWS(Tables!$E$17:$E$38)-1))))/(INDEX(Tables!$E$17:$E$38,MAX(1,MIN(IFERROR(MATCH(AF50,Tables!$E$17:$E$38,1),1),ROWS(Tables!$E$17:$E$38)-1))+1)-INDEX(Tables!$E$17:$E$38,MAX(1,MIN(IFERROR(MATCH(AF50,Tables!$E$17:$E$38,1),1),ROWS(Tables!$E$17:$E$38)-1))))),(INDEX(Tables!$H$17:$H$38,MAX(1,MIN(IFERROR(MATCH(AF50,Tables!$G$17:$G$38,1),1),ROWS(Tables!$G$17:$G$38)-1)))+(AF50-INDEX(Tables!$G$17:$G$38,MAX(1,MIN(IFERROR(MATCH(AF50,Tables!$G$17:$G$38,1),1),ROWS(Tables!$G$17:$G$38)-1))))*(INDEX(Tables!$H$17:$H$38,MAX(1,MIN(IFERROR(MATCH(AF50,Tables!$G$17:$G$38,1),1),ROWS(Tables!$G$17:$G$38)-1))+1)-INDEX(Tables!$H$17:$H$38,MAX(1,MIN(IFERROR(MATCH(AF50,Tables!$G$17:$G$38,1),1),ROWS(Tables!$G$17:$G$38)-1))))/(INDEX(Tables!$G$17:$G$38,MAX(1,MIN(IFERROR(MATCH(AF50,Tables!$G$17:$G$38,1),1),ROWS(Tables!$G$17:$G$38)-1))+1)-INDEX(Tables!$G$17:$G$38,MAX(1,MIN(IFERROR(MATCH(AF50,Tables!$G$17:$G$38,1),1),ROWS(Tables!$G$17:$G$38)-1))))))))</f>
        <v>4396.166666666667</v>
      </c>
      <c r="AL50" s="181">
        <f>IF(AC50&lt;1000,(INDEX(Tables!$B$43:$B$76,MAX(1,MIN(IFERROR(MATCH(AG50,Tables!$A$43:$A$76,1),1),ROWS(Tables!$A$43:$A$76)-1)))+(AG50-INDEX(Tables!$A$43:$A$76,MAX(1,MIN(IFERROR(MATCH(AG50,Tables!$A$43:$A$76,1),1),ROWS(Tables!$A$43:$A$76)-1))))*(INDEX(Tables!$B$43:$B$76,MAX(1,MIN(IFERROR(MATCH(AG50,Tables!$A$43:$A$76,1),1),ROWS(Tables!$A$43:$A$76)-1))+1)-INDEX(Tables!$B$43:$B$76,MAX(1,MIN(IFERROR(MATCH(AG50,Tables!$A$43:$A$76,1),1),ROWS(Tables!$A$43:$A$76)-1))))/(INDEX(Tables!$A$43:$A$76,MAX(1,MIN(IFERROR(MATCH(AG50,Tables!$A$43:$A$76,1),1),ROWS(Tables!$A$43:$A$76)-1))+1)-INDEX(Tables!$A$43:$A$76,MAX(1,MIN(IFERROR(MATCH(AG50,Tables!$A$43:$A$76,1),1),ROWS(Tables!$A$43:$A$76)-1))))),(INDEX(Tables!$D$43:$D$76,MAX(1,MIN(IFERROR(MATCH(AG50,Tables!$C$43:$C$76,1),1),ROWS(Tables!$C$43:$C$76)-1)))+(AG50-INDEX(Tables!$C$43:$C$76,MAX(1,MIN(IFERROR(MATCH(AG50,Tables!$C$43:$C$76,1),1),ROWS(Tables!$C$43:$C$76)-1))))*(INDEX(Tables!$D$43:$D$76,MAX(1,MIN(IFERROR(MATCH(AG50,Tables!$C$43:$C$76,1),1),ROWS(Tables!$C$43:$C$76)-1))+1)-INDEX(Tables!$D$43:$D$76,MAX(1,MIN(IFERROR(MATCH(AG50,Tables!$C$43:$C$76,1),1),ROWS(Tables!$C$43:$C$76)-1))))/(INDEX(Tables!$C$43:$C$76,MAX(1,MIN(IFERROR(MATCH(AG50,Tables!$C$43:$C$76,1),1),ROWS(Tables!$C$43:$C$76)-1))+1)-INDEX(Tables!$C$43:$C$76,MAX(1,MIN(IFERROR(MATCH(AG50,Tables!$C$43:$C$76,1),1),ROWS(Tables!$C$43:$C$76)-1))))))</f>
        <v>1.0784</v>
      </c>
      <c r="AM50" s="181">
        <f>(INDEX(Tables!$B$80:$B$87,MAX(1,MIN(IFERROR(MATCH(AH50,Tables!$A$80:$A$87,1),1),ROWS(Tables!$A$80:$A$87)-1)))+(AH50-INDEX(Tables!$A$80:$A$87,MAX(1,MIN(IFERROR(MATCH(AH50,Tables!$A$80:$A$87,1),1),ROWS(Tables!$A$80:$A$87)-1))))*(INDEX(Tables!$B$80:$B$87,MAX(1,MIN(IFERROR(MATCH(AH50,Tables!$A$80:$A$87,1),1),ROWS(Tables!$A$80:$A$87)-1))+1)-INDEX(Tables!$B$80:$B$87,MAX(1,MIN(IFERROR(MATCH(AH50,Tables!$A$80:$A$87,1),1),ROWS(Tables!$A$80:$A$87)-1))))/(INDEX(Tables!$A$80:$A$87,MAX(1,MIN(IFERROR(MATCH(AH50,Tables!$A$80:$A$87,1),1),ROWS(Tables!$A$80:$A$87)-1))+1)-INDEX(Tables!$A$80:$A$87,MAX(1,MIN(IFERROR(MATCH(AH50,Tables!$A$80:$A$87,1),1),ROWS(Tables!$A$80:$A$87)-1)))))</f>
        <v>0.89595000000000002</v>
      </c>
      <c r="AN50" s="181">
        <f t="shared" si="39"/>
        <v>14158.477247200004</v>
      </c>
      <c r="AO50" s="181">
        <f>(INDEX(Tables!$B$91:$B$94,MAX(1,MIN(IFERROR(MATCH(P50,Tables!$A$91:$A$94,1),1),ROWS(Tables!$A$91:$A$94)-1)))+(P50-INDEX(Tables!$A$91:$A$94,MAX(1,MIN(IFERROR(MATCH(P50,Tables!$A$91:$A$94,1),1),ROWS(Tables!$A$91:$A$94)-1))))*(INDEX(Tables!$B$91:$B$94,MAX(1,MIN(IFERROR(MATCH(P50,Tables!$A$91:$A$94,1),1),ROWS(Tables!$A$91:$A$94)-1))+1)-INDEX(Tables!$B$91:$B$94,MAX(1,MIN(IFERROR(MATCH(P50,Tables!$A$91:$A$94,1),1),ROWS(Tables!$A$91:$A$94)-1))))/(INDEX(Tables!$A$91:$A$94,MAX(1,MIN(IFERROR(MATCH(P50,Tables!$A$91:$A$94,1),1),ROWS(Tables!$A$91:$A$94)-1))+1)-INDEX(Tables!$A$91:$A$94,MAX(1,MIN(IFERROR(MATCH(P50,Tables!$A$91:$A$94,1),1),ROWS(Tables!$A$91:$A$94)-1)))))</f>
        <v>1</v>
      </c>
      <c r="AP50" s="181">
        <f>IF(AD50=5000,(INDEX(Tables!$B$99:$B$118,MAX(1,MIN(IFERROR(MATCH(AF50,Tables!$A$99:$A$118,1),1),ROWS(Tables!$A$99:$A$118)-1)))+(AF50-INDEX(Tables!$A$99:$A$118,MAX(1,MIN(IFERROR(MATCH(AF50,Tables!$A$99:$A$118,1),1),ROWS(Tables!$A$99:$A$118)-1))))*(INDEX(Tables!$B$99:$B$118,MAX(1,MIN(IFERROR(MATCH(AF50,Tables!$A$99:$A$118,1),1),ROWS(Tables!$A$99:$A$118)-1))+1)-INDEX(Tables!$B$99:$B$118,MAX(1,MIN(IFERROR(MATCH(AF50,Tables!$A$99:$A$118,1),1),ROWS(Tables!$A$99:$A$118)-1))))/(INDEX(Tables!$A$99:$A$118,MAX(1,MIN(IFERROR(MATCH(AF50,Tables!$A$99:$A$118,1),1),ROWS(Tables!$A$99:$A$118)-1))+1)-INDEX(Tables!$A$99:$A$118,MAX(1,MIN(IFERROR(MATCH(AF50,Tables!$A$99:$A$118,1),1),ROWS(Tables!$A$99:$A$118)-1))))),IF(AD50=10000,(INDEX(Tables!$D$99:$D$118,MAX(1,MIN(IFERROR(MATCH(AF50,Tables!$C$99:$C$118,1),1),ROWS(Tables!$C$99:$C$118)-1)))+(AF50-INDEX(Tables!$C$99:$C$118,MAX(1,MIN(IFERROR(MATCH(AF50,Tables!$C$99:$C$118,1),1),ROWS(Tables!$C$99:$C$118)-1))))*(INDEX(Tables!$D$99:$D$118,MAX(1,MIN(IFERROR(MATCH(AF50,Tables!$C$99:$C$118,1),1),ROWS(Tables!$C$99:$C$118)-1))+1)-INDEX(Tables!$D$99:$D$118,MAX(1,MIN(IFERROR(MATCH(AF50,Tables!$C$99:$C$118,1),1),ROWS(Tables!$C$99:$C$118)-1))))/(INDEX(Tables!$C$99:$C$118,MAX(1,MIN(IFERROR(MATCH(AF50,Tables!$C$99:$C$118,1),1),ROWS(Tables!$C$99:$C$118)-1))+1)-INDEX(Tables!$C$99:$C$118,MAX(1,MIN(IFERROR(MATCH(AF50,Tables!$C$99:$C$118,1),1),ROWS(Tables!$C$99:$C$118)-1))))),(INDEX(Tables!$F$99:$F$118,MAX(1,MIN(IFERROR(MATCH(AF50,Tables!$E$99:$E$118,1),1),ROWS(Tables!$E$99:$E$118)-1)))+(AF50-INDEX(Tables!$E$99:$E$118,MAX(1,MIN(IFERROR(MATCH(AF50,Tables!$E$99:$E$118,1),1),ROWS(Tables!$E$99:$E$118)-1))))*(INDEX(Tables!$F$99:$F$118,MAX(1,MIN(IFERROR(MATCH(AF50,Tables!$E$99:$E$118,1),1),ROWS(Tables!$E$99:$E$118)-1))+1)-INDEX(Tables!$F$99:$F$118,MAX(1,MIN(IFERROR(MATCH(AF50,Tables!$E$99:$E$118,1),1),ROWS(Tables!$E$99:$E$118)-1))))/(INDEX(Tables!$E$99:$E$118,MAX(1,MIN(IFERROR(MATCH(AF50,Tables!$E$99:$E$118,1),1),ROWS(Tables!$E$99:$E$118)-1))+1)-INDEX(Tables!$E$99:$E$118,MAX(1,MIN(IFERROR(MATCH(AF50,Tables!$E$99:$E$118,1),1),ROWS(Tables!$E$99:$E$118)-1)))))))</f>
        <v>12.907736434108527</v>
      </c>
      <c r="AQ50" s="181">
        <f>IF(P50&lt;6,(INDEX(Tables!$B$123:$B$138,MAX(1,MIN(IFERROR(MATCH(U50,Tables!$A$123:$A$138,1),1),ROWS(Tables!$A$123:$A$138)-1)))+(U50-INDEX(Tables!$A$123:$A$138,MAX(1,MIN(IFERROR(MATCH(U50,Tables!$A$123:$A$138,1),1),ROWS(Tables!$A$123:$A$138)-1))))*(INDEX(Tables!$B$123:$B$138,MAX(1,MIN(IFERROR(MATCH(U50,Tables!$A$123:$A$138,1),1),ROWS(Tables!$A$123:$A$138)-1))+1)-INDEX(Tables!$B$123:$B$138,MAX(1,MIN(IFERROR(MATCH(U50,Tables!$A$123:$A$138,1),1),ROWS(Tables!$A$123:$A$138)-1))))/(INDEX(Tables!$A$123:$A$138,MAX(1,MIN(IFERROR(MATCH(U50,Tables!$A$123:$A$138,1),1),ROWS(Tables!$A$123:$A$138)-1))+1)-INDEX(Tables!$A$123:$A$138,MAX(1,MIN(IFERROR(MATCH(U50,Tables!$A$123:$A$138,1),1),ROWS(Tables!$A$123:$A$138)-1))))),IF(P50&lt;8,(INDEX(Tables!$D$123:$D$138,MAX(1,MIN(IFERROR(MATCH(U50,Tables!$C$123:$C$138,1),1),ROWS(Tables!$C$123:$C$138)-1)))+(U50-INDEX(Tables!$C$123:$C$138,MAX(1,MIN(IFERROR(MATCH(U50,Tables!$C$123:$C$138,1),1),ROWS(Tables!$C$123:$C$138)-1))))*(INDEX(Tables!$D$123:$D$138,MAX(1,MIN(IFERROR(MATCH(U50,Tables!$C$123:$C$138,1),1),ROWS(Tables!$C$123:$C$138)-1))+1)-INDEX(Tables!$D$123:$D$138,MAX(1,MIN(IFERROR(MATCH(U50,Tables!$C$123:$C$138,1),1),ROWS(Tables!$C$123:$C$138)-1))))/(INDEX(Tables!$C$123:$C$138,MAX(1,MIN(IFERROR(MATCH(U50,Tables!$C$123:$C$138,1),1),ROWS(Tables!$C$123:$C$138)-1))+1)-INDEX(Tables!$C$123:$C$138,MAX(1,MIN(IFERROR(MATCH(U50,Tables!$C$123:$C$138,1),1),ROWS(Tables!$C$123:$C$138)-1))))),IF(P50&lt;10,(INDEX(Tables!$F$123:$F$138,MAX(1,MIN(IFERROR(MATCH(U50,Tables!$E$123:$E$138,1),1),ROWS(Tables!$E$123:$E$138)-1)))+(U50-INDEX(Tables!$E$123:$E$138,MAX(1,MIN(IFERROR(MATCH(U50,Tables!$E$123:$E$138,1),1),ROWS(Tables!$E$123:$E$138)-1))))*(INDEX(Tables!$F$123:$F$138,MAX(1,MIN(IFERROR(MATCH(U50,Tables!$E$123:$E$138,1),1),ROWS(Tables!$E$123:$E$138)-1))+1)-INDEX(Tables!$F$123:$F$138,MAX(1,MIN(IFERROR(MATCH(U50,Tables!$E$123:$E$138,1),1),ROWS(Tables!$E$123:$E$138)-1))))/(INDEX(Tables!$E$123:$E$138,MAX(1,MIN(IFERROR(MATCH(U50,Tables!$E$123:$E$138,1),1),ROWS(Tables!$E$123:$E$138)-1))+1)-INDEX(Tables!$E$123:$E$138,MAX(1,MIN(IFERROR(MATCH(U50,Tables!$E$123:$E$138,1),1),ROWS(Tables!$E$123:$E$138)-1))))),(INDEX(Tables!$H$123:$H$138,MAX(1,MIN(IFERROR(MATCH(U50,Tables!$G$123:$G$138,1),1),ROWS(Tables!$G$123:$G$138)-1)))+(U50-INDEX(Tables!$G$123:$G$138,MAX(1,MIN(IFERROR(MATCH(U50,Tables!$G$123:$G$138,1),1),ROWS(Tables!$G$123:$G$138)-1))))*(INDEX(Tables!$H$123:$H$138,MAX(1,MIN(IFERROR(MATCH(U50,Tables!$G$123:$G$138,1),1),ROWS(Tables!$G$123:$G$138)-1))+1)-INDEX(Tables!$H$123:$H$138,MAX(1,MIN(IFERROR(MATCH(U50,Tables!$G$123:$G$138,1),1),ROWS(Tables!$G$123:$G$138)-1))))/(INDEX(Tables!$G$123:$G$138,MAX(1,MIN(IFERROR(MATCH(U50,Tables!$G$123:$G$138,1),1),ROWS(Tables!$G$123:$G$138)-1))+1)-INDEX(Tables!$G$123:$G$138,MAX(1,MIN(IFERROR(MATCH(U50,Tables!$G$123:$G$138,1),1),ROWS(Tables!$G$123:$G$138)-1))))))))</f>
        <v>0.46899999999999997</v>
      </c>
      <c r="AR50" s="181">
        <f>IF(OR(P50&gt;=4,U50&gt;12),VLOOKUP(R50&amp;" "&amp;S50,Tables!$D$143:$F$148,2,FALSE),VLOOKUP(R50&amp;" "&amp;S50,Tables!$A$143:$C$148,2,FALSE))</f>
        <v>1</v>
      </c>
      <c r="AS50" s="181">
        <f>IF(OR(P50&gt;=4,U50&gt;12),VLOOKUP(R50&amp;" "&amp;S50,Tables!$D$143:$F$148,3,FALSE),VLOOKUP(R50&amp;" "&amp;S50,Tables!$A$143:$C$148,3,FALSE))</f>
        <v>0.65</v>
      </c>
      <c r="AT50" s="181">
        <f t="shared" si="40"/>
        <v>327.91028766149867</v>
      </c>
      <c r="AU50" s="181">
        <f>IF(AD50=5000,(INDEX(Tables!$B$244:$B$263,MAX(1,MIN(IFERROR(MATCH(AF50,Tables!$A$244:$A$263,1),1),ROWS(Tables!$A$244:$A$263)-1)))+(AF50-INDEX(Tables!$A$244:$A$263,MAX(1,MIN(IFERROR(MATCH(AF50,Tables!$A$244:$A$263,1),1),ROWS(Tables!$A$244:$A$263)-1))))*(INDEX(Tables!$B$244:$B$263,MAX(1,MIN(IFERROR(MATCH(AF50,Tables!$A$244:$A$263,1),1),ROWS(Tables!$A$244:$A$263)-1))+1)-INDEX(Tables!$B$244:$B$263,MAX(1,MIN(IFERROR(MATCH(AF50,Tables!$A$244:$A$263,1),1),ROWS(Tables!$A$244:$A$263)-1))))/(INDEX(Tables!$A$244:$A$263,MAX(1,MIN(IFERROR(MATCH(AF50,Tables!$A$244:$A$263,1),1),ROWS(Tables!$A$244:$A$263)-1))+1)-INDEX(Tables!$A$244:$A$263,MAX(1,MIN(IFERROR(MATCH(AF50,Tables!$A$244:$A$263,1),1),ROWS(Tables!$A$244:$A$263)-1))))),IF(AD50=10000,(INDEX(Tables!$D$244:$D$263,MAX(1,MIN(IFERROR(MATCH(AF50,Tables!$C$244:$C$263,1),1),ROWS(Tables!$C$244:$C$263)-1)))+(AF50-INDEX(Tables!$C$244:$C$263,MAX(1,MIN(IFERROR(MATCH(AF50,Tables!$C$244:$C$263,1),1),ROWS(Tables!$C$244:$C$263)-1))))*(INDEX(Tables!$D$244:$D$263,MAX(1,MIN(IFERROR(MATCH(AF50,Tables!$C$244:$C$263,1),1),ROWS(Tables!$C$244:$C$263)-1))+1)-INDEX(Tables!$D$244:$D$263,MAX(1,MIN(IFERROR(MATCH(AF50,Tables!$C$244:$C$263,1),1),ROWS(Tables!$C$244:$C$263)-1))))/(INDEX(Tables!$C$244:$C$263,MAX(1,MIN(IFERROR(MATCH(AF50,Tables!$C$244:$C$263,1),1),ROWS(Tables!$C$244:$C$263)-1))+1)-INDEX(Tables!$C$244:$C$263,MAX(1,MIN(IFERROR(MATCH(AF50,Tables!$C$244:$C$263,1),1),ROWS(Tables!$C$244:$C$263)-1))))),(INDEX(Tables!$F$244:$F$263,MAX(1,MIN(IFERROR(MATCH(AF50,Tables!$E$244:$E$263,1),1),ROWS(Tables!$E$244:$E$263)-1)))+(AF50-INDEX(Tables!$E$244:$E$263,MAX(1,MIN(IFERROR(MATCH(AF50,Tables!$E$244:$E$263,1),1),ROWS(Tables!$E$244:$E$263)-1))))*(INDEX(Tables!$F$244:$F$263,MAX(1,MIN(IFERROR(MATCH(AF50,Tables!$E$244:$E$263,1),1),ROWS(Tables!$E$244:$E$263)-1))+1)-INDEX(Tables!$F$244:$F$263,MAX(1,MIN(IFERROR(MATCH(AF50,Tables!$E$244:$E$263,1),1),ROWS(Tables!$E$244:$E$263)-1))))/(INDEX(Tables!$E$244:$E$263,MAX(1,MIN(IFERROR(MATCH(AF50,Tables!$E$244:$E$263,1),1),ROWS(Tables!$E$244:$E$263)-1))+1)-INDEX(Tables!$E$244:$E$263,MAX(1,MIN(IFERROR(MATCH(AF50,Tables!$E$244:$E$263,1),1),ROWS(Tables!$E$244:$E$263)-1)))))))</f>
        <v>9.7669999999999995</v>
      </c>
      <c r="AV50" s="181">
        <f>IF(P50&lt;6,(INDEX(Tables!$B$260:$B$274,MAX(1,MIN(IFERROR(MATCH(U50,Tables!$A$260:$A$274,1),1),ROWS(Tables!$A$260:$A$274)-1)))+(U50-INDEX(Tables!$A$260:$A$274,MAX(1,MIN(IFERROR(MATCH(U50,Tables!$A$260:$A$274,1),1),ROWS(Tables!$A$260:$A$274)-1))))*(INDEX(Tables!$B$260:$B$274,MAX(1,MIN(IFERROR(MATCH(U50,Tables!$A$260:$A$274,1),1),ROWS(Tables!$A$260:$A$274)-1))+1)-INDEX(Tables!$B$260:$B$274,MAX(1,MIN(IFERROR(MATCH(U50,Tables!$A$260:$A$274,1),1),ROWS(Tables!$A$260:$A$274)-1))))/(INDEX(Tables!$A$260:$A$274,MAX(1,MIN(IFERROR(MATCH(U50,Tables!$A$260:$A$274,1),1),ROWS(Tables!$A$260:$A$274)-1))+1)-INDEX(Tables!$A$260:$A$274,MAX(1,MIN(IFERROR(MATCH(U50,Tables!$A$260:$A$274,1),1),ROWS(Tables!$A$260:$A$274)-1))))),IF(P50&lt;8,(INDEX(Tables!$D$260:$D$274,MAX(1,MIN(IFERROR(MATCH(U50,Tables!$C$260:$C$274,1),1),ROWS(Tables!$C$260:$C$274)-1)))+(U50-INDEX(Tables!$C$260:$C$274,MAX(1,MIN(IFERROR(MATCH(U50,Tables!$C$260:$C$274,1),1),ROWS(Tables!$C$260:$C$274)-1))))*(INDEX(Tables!$D$260:$D$274,MAX(1,MIN(IFERROR(MATCH(U50,Tables!$C$260:$C$274,1),1),ROWS(Tables!$C$260:$C$274)-1))+1)-INDEX(Tables!$D$260:$D$274,MAX(1,MIN(IFERROR(MATCH(U50,Tables!$C$260:$C$274,1),1),ROWS(Tables!$C$260:$C$274)-1))))/(INDEX(Tables!$C$260:$C$274,MAX(1,MIN(IFERROR(MATCH(U50,Tables!$C$260:$C$274,1),1),ROWS(Tables!$C$260:$C$274)-1))+1)-INDEX(Tables!$C$260:$C$274,MAX(1,MIN(IFERROR(MATCH(U50,Tables!$C$260:$C$274,1),1),ROWS(Tables!$C$260:$C$274)-1))))),IF(P50&lt;10,(INDEX(Tables!$F$260:$F$274,MAX(1,MIN(IFERROR(MATCH(U50,Tables!$E$260:$E$274,1),1),ROWS(Tables!$E$260:$E$274)-1)))+(U50-INDEX(Tables!$E$260:$E$274,MAX(1,MIN(IFERROR(MATCH(U50,Tables!$E$260:$E$274,1),1),ROWS(Tables!$E$260:$E$274)-1))))*(INDEX(Tables!$F$260:$F$274,MAX(1,MIN(IFERROR(MATCH(U50,Tables!$E$260:$E$274,1),1),ROWS(Tables!$E$260:$E$274)-1))+1)-INDEX(Tables!$F$260:$F$274,MAX(1,MIN(IFERROR(MATCH(U50,Tables!$E$260:$E$274,1),1),ROWS(Tables!$E$260:$E$274)-1))))/(INDEX(Tables!$E$260:$E$274,MAX(1,MIN(IFERROR(MATCH(U50,Tables!$E$260:$E$274,1),1),ROWS(Tables!$E$260:$E$274)-1))+1)-INDEX(Tables!$E$260:$E$274,MAX(1,MIN(IFERROR(MATCH(U50,Tables!$E$260:$E$274,1),1),ROWS(Tables!$E$260:$E$274)-1))))),(INDEX(Tables!$H$260:$H$274,MAX(1,MIN(IFERROR(MATCH(U50,Tables!$G$260:$G$274,1),1),ROWS(Tables!$G$260:$G$274)-1)))+(U50-INDEX(Tables!$G$260:$G$274,MAX(1,MIN(IFERROR(MATCH(U50,Tables!$G$260:$G$274,1),1),ROWS(Tables!$G$260:$G$274)-1))))*(INDEX(Tables!$H$260:$H$274,MAX(1,MIN(IFERROR(MATCH(U50,Tables!$G$260:$G$274,1),1),ROWS(Tables!$G$260:$G$274)-1))+1)-INDEX(Tables!$H$260:$H$274,MAX(1,MIN(IFERROR(MATCH(U50,Tables!$G$260:$G$274,1),1),ROWS(Tables!$G$260:$G$274)-1))))/(INDEX(Tables!$G$260:$G$274,MAX(1,MIN(IFERROR(MATCH(U50,Tables!$G$260:$G$274,1),1),ROWS(Tables!$G$260:$G$274)-1))+1)-INDEX(Tables!$G$260:$G$274,MAX(1,MIN(IFERROR(MATCH(U50,Tables!$G$260:$G$274,1),1),ROWS(Tables!$G$260:$G$274)-1))))))))</f>
        <v>0.45700000000000002</v>
      </c>
      <c r="AW50" s="181">
        <f t="shared" si="41"/>
        <v>241.77394583333333</v>
      </c>
      <c r="AX50" s="181">
        <f t="shared" si="42"/>
        <v>-699.67500000000007</v>
      </c>
      <c r="AY50" s="181">
        <f t="shared" si="43"/>
        <v>13786.712534861503</v>
      </c>
      <c r="AZ50" s="181">
        <f t="shared" si="44"/>
        <v>4279.4146199933348</v>
      </c>
      <c r="BA50" s="181">
        <f t="shared" si="45"/>
        <v>14.73</v>
      </c>
      <c r="BB50" s="181">
        <f t="shared" si="46"/>
        <v>12211.546820337597</v>
      </c>
      <c r="BC50" s="181">
        <f t="shared" si="47"/>
        <v>46800</v>
      </c>
      <c r="BD50" s="181">
        <f>VLOOKUP(V50&amp;" "&amp;J50,Tables!$A$152:$E$239,4,FALSE)</f>
        <v>12000</v>
      </c>
      <c r="BE50" s="181">
        <f>VLOOKUP(V50&amp;" "&amp;J50,Tables!$A$152:$E$239,5,FALSE)</f>
        <v>23000</v>
      </c>
      <c r="BF50" s="181">
        <f t="shared" si="48"/>
        <v>8640</v>
      </c>
      <c r="BG50" s="181">
        <f t="shared" si="49"/>
        <v>16560</v>
      </c>
      <c r="BH50" s="181">
        <f t="shared" si="50"/>
        <v>-707.04</v>
      </c>
      <c r="BI50" s="181">
        <f t="shared" si="51"/>
        <v>46800</v>
      </c>
      <c r="BJ50" s="181">
        <f t="shared" si="52"/>
        <v>12211.546820337597</v>
      </c>
      <c r="BK50" s="181">
        <f t="shared" si="53"/>
        <v>46800</v>
      </c>
      <c r="BL50" s="181">
        <f t="shared" si="54"/>
        <v>241.77394583333333</v>
      </c>
      <c r="BM50" s="181">
        <f t="shared" si="55"/>
        <v>8640</v>
      </c>
      <c r="BN50" s="181">
        <f t="shared" si="56"/>
        <v>327.91028766149867</v>
      </c>
      <c r="BO50" s="181">
        <f t="shared" si="57"/>
        <v>16560</v>
      </c>
      <c r="BP50" t="str">
        <f t="shared" si="58"/>
        <v>Pass</v>
      </c>
      <c r="BQ50" t="str">
        <f t="shared" si="59"/>
        <v>Pass</v>
      </c>
      <c r="BR50" t="str">
        <f t="shared" si="60"/>
        <v>Pass</v>
      </c>
      <c r="BS50" t="str">
        <f t="shared" si="61"/>
        <v>Pass</v>
      </c>
      <c r="BT50" t="str">
        <f t="shared" si="62"/>
        <v>Pass</v>
      </c>
      <c r="BU50" t="str">
        <f t="shared" si="63"/>
        <v>Effective Stress</v>
      </c>
    </row>
    <row r="51" spans="1:73">
      <c r="A51" t="s">
        <v>643</v>
      </c>
      <c r="B51" s="181">
        <v>49</v>
      </c>
      <c r="C51" t="s">
        <v>594</v>
      </c>
      <c r="D51" s="181">
        <v>6</v>
      </c>
      <c r="E51" s="181">
        <v>0.14699999999999999</v>
      </c>
      <c r="F51" t="s">
        <v>117</v>
      </c>
      <c r="G51" t="s">
        <v>119</v>
      </c>
      <c r="H51" t="s">
        <v>122</v>
      </c>
      <c r="I51" s="181">
        <v>1</v>
      </c>
      <c r="J51" t="s">
        <v>126</v>
      </c>
      <c r="K51" t="s">
        <v>129</v>
      </c>
      <c r="L51" s="181">
        <v>70</v>
      </c>
      <c r="M51" s="181">
        <v>-14.73</v>
      </c>
      <c r="N51" t="s">
        <v>390</v>
      </c>
      <c r="O51" s="181">
        <v>120</v>
      </c>
      <c r="P51" s="181">
        <v>1</v>
      </c>
      <c r="Q51" s="181">
        <v>8.625</v>
      </c>
      <c r="R51" t="s">
        <v>418</v>
      </c>
      <c r="S51" t="s">
        <v>420</v>
      </c>
      <c r="T51" s="181">
        <v>70</v>
      </c>
      <c r="U51" s="181">
        <f>HLOOKUP(D51,'Highway Loading'!$C$155:$AD$156,2,FALSE)</f>
        <v>6.625</v>
      </c>
      <c r="V51" s="181">
        <f>IF(ISBLANK(G51),"",INDEX('Highway Loading'!$C$216:$AG$216,1,MATCH(G51,'Highway Loading'!$C$215:$AG$215,0)))</f>
        <v>65000</v>
      </c>
      <c r="W51" s="181">
        <f>INDEX('Highway Loading'!$I$245:$L$253,MATCH(H51,'Highway Loading'!$H$245:$H$253,0),MATCH(I51,'Highway Loading'!$I$244:$L$244,0))</f>
        <v>0.72</v>
      </c>
      <c r="X51" s="181">
        <f t="shared" si="32"/>
        <v>1</v>
      </c>
      <c r="Y51" s="181">
        <f>VLOOKUP(K51,'Highway Loading'!$B$283:$E$292,2,FALSE)</f>
        <v>29000000</v>
      </c>
      <c r="Z51" s="181">
        <f>VLOOKUP(K51,'Highway Loading'!$B$283:$E$292,3,FALSE)</f>
        <v>0.3</v>
      </c>
      <c r="AA51" s="181">
        <f>VLOOKUP(K51,'Highway Loading'!$B$283:$E$292,4,FALSE)</f>
        <v>6.4999999999999996E-6</v>
      </c>
      <c r="AB51" s="181">
        <f t="shared" si="33"/>
        <v>1</v>
      </c>
      <c r="AC51" s="181">
        <f>VLOOKUP(N51,'Highway Loading'!$B$256:$D$261,2,FALSE)</f>
        <v>1000</v>
      </c>
      <c r="AD51" s="181">
        <f>VLOOKUP(N51,'Highway Loading'!$B$256:$D$261,3,FALSE)</f>
        <v>10000</v>
      </c>
      <c r="AE51" s="181">
        <f>VLOOKUP(S51,'Highway Loading'!$B$340:$C$341,2,FALSE)</f>
        <v>12000</v>
      </c>
      <c r="AF51" s="181">
        <f t="shared" si="34"/>
        <v>2.2188679245283019E-2</v>
      </c>
      <c r="AG51" s="181">
        <f t="shared" si="35"/>
        <v>1.3913043478260869</v>
      </c>
      <c r="AH51" s="181">
        <f t="shared" si="36"/>
        <v>1.3018867924528301</v>
      </c>
      <c r="AI51" s="181">
        <f t="shared" si="37"/>
        <v>-331.92602040816331</v>
      </c>
      <c r="AJ51" s="181">
        <f t="shared" si="38"/>
        <v>46800</v>
      </c>
      <c r="AK51" s="181">
        <f>IF(AC51=200,(INDEX(Tables!$B$17:$B$38,MAX(1,MIN(IFERROR(MATCH(AF51,Tables!$A$17:$A$38,1),1),ROWS(Tables!$A$17:$A$38)-1)))+(AF51-INDEX(Tables!$A$17:$A$38,MAX(1,MIN(IFERROR(MATCH(AF51,Tables!$A$17:$A$38,1),1),ROWS(Tables!$A$17:$A$38)-1))))*(INDEX(Tables!$B$17:$B$38,MAX(1,MIN(IFERROR(MATCH(AF51,Tables!$A$17:$A$38,1),1),ROWS(Tables!$A$17:$A$38)-1))+1)-INDEX(Tables!$B$17:$B$38,MAX(1,MIN(IFERROR(MATCH(AF51,Tables!$A$17:$A$38,1),1),ROWS(Tables!$A$17:$A$38)-1))))/(INDEX(Tables!$A$17:$A$38,MAX(1,MIN(IFERROR(MATCH(AF51,Tables!$A$17:$A$38,1),1),ROWS(Tables!$A$17:$A$38)-1))+1)-INDEX(Tables!$A$17:$A$38,MAX(1,MIN(IFERROR(MATCH(AF51,Tables!$A$17:$A$38,1),1),ROWS(Tables!$A$17:$A$38)-1))))),IF(AC51=500,(INDEX(Tables!$D$17:$D$38,MAX(1,MIN(IFERROR(MATCH(AF51,Tables!$C$17:$C$38,1),1),ROWS(Tables!$C$17:$C$38)-1)))+(AF51-INDEX(Tables!$C$17:$C$38,MAX(1,MIN(IFERROR(MATCH(AF51,Tables!$C$17:$C$38,1),1),ROWS(Tables!$C$17:$C$38)-1))))*(INDEX(Tables!$D$17:$D$38,MAX(1,MIN(IFERROR(MATCH(AF51,Tables!$C$17:$C$38,1),1),ROWS(Tables!$C$17:$C$38)-1))+1)-INDEX(Tables!$D$17:$D$38,MAX(1,MIN(IFERROR(MATCH(AF51,Tables!$C$17:$C$38,1),1),ROWS(Tables!$C$17:$C$38)-1))))/(INDEX(Tables!$C$17:$C$38,MAX(1,MIN(IFERROR(MATCH(AF51,Tables!$C$17:$C$38,1),1),ROWS(Tables!$C$17:$C$38)-1))+1)-INDEX(Tables!$C$17:$C$38,MAX(1,MIN(IFERROR(MATCH(AF51,Tables!$C$17:$C$38,1),1),ROWS(Tables!$C$17:$C$38)-1))))),IF(AC51=1000,(INDEX(Tables!$F$17:$F$38,MAX(1,MIN(IFERROR(MATCH(AF51,Tables!$E$17:$E$38,1),1),ROWS(Tables!$E$17:$E$38)-1)))+(AF51-INDEX(Tables!$E$17:$E$38,MAX(1,MIN(IFERROR(MATCH(AF51,Tables!$E$17:$E$38,1),1),ROWS(Tables!$E$17:$E$38)-1))))*(INDEX(Tables!$F$17:$F$38,MAX(1,MIN(IFERROR(MATCH(AF51,Tables!$E$17:$E$38,1),1),ROWS(Tables!$E$17:$E$38)-1))+1)-INDEX(Tables!$F$17:$F$38,MAX(1,MIN(IFERROR(MATCH(AF51,Tables!$E$17:$E$38,1),1),ROWS(Tables!$E$17:$E$38)-1))))/(INDEX(Tables!$E$17:$E$38,MAX(1,MIN(IFERROR(MATCH(AF51,Tables!$E$17:$E$38,1),1),ROWS(Tables!$E$17:$E$38)-1))+1)-INDEX(Tables!$E$17:$E$38,MAX(1,MIN(IFERROR(MATCH(AF51,Tables!$E$17:$E$38,1),1),ROWS(Tables!$E$17:$E$38)-1))))),(INDEX(Tables!$H$17:$H$38,MAX(1,MIN(IFERROR(MATCH(AF51,Tables!$G$17:$G$38,1),1),ROWS(Tables!$G$17:$G$38)-1)))+(AF51-INDEX(Tables!$G$17:$G$38,MAX(1,MIN(IFERROR(MATCH(AF51,Tables!$G$17:$G$38,1),1),ROWS(Tables!$G$17:$G$38)-1))))*(INDEX(Tables!$H$17:$H$38,MAX(1,MIN(IFERROR(MATCH(AF51,Tables!$G$17:$G$38,1),1),ROWS(Tables!$G$17:$G$38)-1))+1)-INDEX(Tables!$H$17:$H$38,MAX(1,MIN(IFERROR(MATCH(AF51,Tables!$G$17:$G$38,1),1),ROWS(Tables!$G$17:$G$38)-1))))/(INDEX(Tables!$G$17:$G$38,MAX(1,MIN(IFERROR(MATCH(AF51,Tables!$G$17:$G$38,1),1),ROWS(Tables!$G$17:$G$38)-1))+1)-INDEX(Tables!$G$17:$G$38,MAX(1,MIN(IFERROR(MATCH(AF51,Tables!$G$17:$G$38,1),1),ROWS(Tables!$G$17:$G$38)-1))))))))</f>
        <v>1965.011320754717</v>
      </c>
      <c r="AL51" s="181">
        <f>IF(AC51&lt;1000,(INDEX(Tables!$B$43:$B$76,MAX(1,MIN(IFERROR(MATCH(AG51,Tables!$A$43:$A$76,1),1),ROWS(Tables!$A$43:$A$76)-1)))+(AG51-INDEX(Tables!$A$43:$A$76,MAX(1,MIN(IFERROR(MATCH(AG51,Tables!$A$43:$A$76,1),1),ROWS(Tables!$A$43:$A$76)-1))))*(INDEX(Tables!$B$43:$B$76,MAX(1,MIN(IFERROR(MATCH(AG51,Tables!$A$43:$A$76,1),1),ROWS(Tables!$A$43:$A$76)-1))+1)-INDEX(Tables!$B$43:$B$76,MAX(1,MIN(IFERROR(MATCH(AG51,Tables!$A$43:$A$76,1),1),ROWS(Tables!$A$43:$A$76)-1))))/(INDEX(Tables!$A$43:$A$76,MAX(1,MIN(IFERROR(MATCH(AG51,Tables!$A$43:$A$76,1),1),ROWS(Tables!$A$43:$A$76)-1))+1)-INDEX(Tables!$A$43:$A$76,MAX(1,MIN(IFERROR(MATCH(AG51,Tables!$A$43:$A$76,1),1),ROWS(Tables!$A$43:$A$76)-1))))),(INDEX(Tables!$D$43:$D$76,MAX(1,MIN(IFERROR(MATCH(AG51,Tables!$C$43:$C$76,1),1),ROWS(Tables!$C$43:$C$76)-1)))+(AG51-INDEX(Tables!$C$43:$C$76,MAX(1,MIN(IFERROR(MATCH(AG51,Tables!$C$43:$C$76,1),1),ROWS(Tables!$C$43:$C$76)-1))))*(INDEX(Tables!$D$43:$D$76,MAX(1,MIN(IFERROR(MATCH(AG51,Tables!$C$43:$C$76,1),1),ROWS(Tables!$C$43:$C$76)-1))+1)-INDEX(Tables!$D$43:$D$76,MAX(1,MIN(IFERROR(MATCH(AG51,Tables!$C$43:$C$76,1),1),ROWS(Tables!$C$43:$C$76)-1))))/(INDEX(Tables!$C$43:$C$76,MAX(1,MIN(IFERROR(MATCH(AG51,Tables!$C$43:$C$76,1),1),ROWS(Tables!$C$43:$C$76)-1))+1)-INDEX(Tables!$C$43:$C$76,MAX(1,MIN(IFERROR(MATCH(AG51,Tables!$C$43:$C$76,1),1),ROWS(Tables!$C$43:$C$76)-1))))))</f>
        <v>0.44230434782608696</v>
      </c>
      <c r="AM51" s="181">
        <f>(INDEX(Tables!$B$80:$B$87,MAX(1,MIN(IFERROR(MATCH(AH51,Tables!$A$80:$A$87,1),1),ROWS(Tables!$A$80:$A$87)-1)))+(AH51-INDEX(Tables!$A$80:$A$87,MAX(1,MIN(IFERROR(MATCH(AH51,Tables!$A$80:$A$87,1),1),ROWS(Tables!$A$80:$A$87)-1))))*(INDEX(Tables!$B$80:$B$87,MAX(1,MIN(IFERROR(MATCH(AH51,Tables!$A$80:$A$87,1),1),ROWS(Tables!$A$80:$A$87)-1))+1)-INDEX(Tables!$B$80:$B$87,MAX(1,MIN(IFERROR(MATCH(AH51,Tables!$A$80:$A$87,1),1),ROWS(Tables!$A$80:$A$87)-1))))/(INDEX(Tables!$A$80:$A$87,MAX(1,MIN(IFERROR(MATCH(AH51,Tables!$A$80:$A$87,1),1),ROWS(Tables!$A$80:$A$87)-1))+1)-INDEX(Tables!$A$80:$A$87,MAX(1,MIN(IFERROR(MATCH(AH51,Tables!$A$80:$A$87,1),1),ROWS(Tables!$A$80:$A$87)-1)))))</f>
        <v>1.403996226415094</v>
      </c>
      <c r="AN51" s="181">
        <f t="shared" si="39"/>
        <v>561.40412102323614</v>
      </c>
      <c r="AO51" s="181">
        <f>(INDEX(Tables!$B$91:$B$94,MAX(1,MIN(IFERROR(MATCH(P51,Tables!$A$91:$A$94,1),1),ROWS(Tables!$A$91:$A$94)-1)))+(P51-INDEX(Tables!$A$91:$A$94,MAX(1,MIN(IFERROR(MATCH(P51,Tables!$A$91:$A$94,1),1),ROWS(Tables!$A$91:$A$94)-1))))*(INDEX(Tables!$B$91:$B$94,MAX(1,MIN(IFERROR(MATCH(P51,Tables!$A$91:$A$94,1),1),ROWS(Tables!$A$91:$A$94)-1))+1)-INDEX(Tables!$B$91:$B$94,MAX(1,MIN(IFERROR(MATCH(P51,Tables!$A$91:$A$94,1),1),ROWS(Tables!$A$91:$A$94)-1))))/(INDEX(Tables!$A$91:$A$94,MAX(1,MIN(IFERROR(MATCH(P51,Tables!$A$91:$A$94,1),1),ROWS(Tables!$A$91:$A$94)-1))+1)-INDEX(Tables!$A$91:$A$94,MAX(1,MIN(IFERROR(MATCH(P51,Tables!$A$91:$A$94,1),1),ROWS(Tables!$A$91:$A$94)-1)))))</f>
        <v>1.5</v>
      </c>
      <c r="AP51" s="181">
        <f>IF(AD51=5000,(INDEX(Tables!$B$99:$B$118,MAX(1,MIN(IFERROR(MATCH(AF51,Tables!$A$99:$A$118,1),1),ROWS(Tables!$A$99:$A$118)-1)))+(AF51-INDEX(Tables!$A$99:$A$118,MAX(1,MIN(IFERROR(MATCH(AF51,Tables!$A$99:$A$118,1),1),ROWS(Tables!$A$99:$A$118)-1))))*(INDEX(Tables!$B$99:$B$118,MAX(1,MIN(IFERROR(MATCH(AF51,Tables!$A$99:$A$118,1),1),ROWS(Tables!$A$99:$A$118)-1))+1)-INDEX(Tables!$B$99:$B$118,MAX(1,MIN(IFERROR(MATCH(AF51,Tables!$A$99:$A$118,1),1),ROWS(Tables!$A$99:$A$118)-1))))/(INDEX(Tables!$A$99:$A$118,MAX(1,MIN(IFERROR(MATCH(AF51,Tables!$A$99:$A$118,1),1),ROWS(Tables!$A$99:$A$118)-1))+1)-INDEX(Tables!$A$99:$A$118,MAX(1,MIN(IFERROR(MATCH(AF51,Tables!$A$99:$A$118,1),1),ROWS(Tables!$A$99:$A$118)-1))))),IF(AD51=10000,(INDEX(Tables!$D$99:$D$118,MAX(1,MIN(IFERROR(MATCH(AF51,Tables!$C$99:$C$118,1),1),ROWS(Tables!$C$99:$C$118)-1)))+(AF51-INDEX(Tables!$C$99:$C$118,MAX(1,MIN(IFERROR(MATCH(AF51,Tables!$C$99:$C$118,1),1),ROWS(Tables!$C$99:$C$118)-1))))*(INDEX(Tables!$D$99:$D$118,MAX(1,MIN(IFERROR(MATCH(AF51,Tables!$C$99:$C$118,1),1),ROWS(Tables!$C$99:$C$118)-1))+1)-INDEX(Tables!$D$99:$D$118,MAX(1,MIN(IFERROR(MATCH(AF51,Tables!$C$99:$C$118,1),1),ROWS(Tables!$C$99:$C$118)-1))))/(INDEX(Tables!$C$99:$C$118,MAX(1,MIN(IFERROR(MATCH(AF51,Tables!$C$99:$C$118,1),1),ROWS(Tables!$C$99:$C$118)-1))+1)-INDEX(Tables!$C$99:$C$118,MAX(1,MIN(IFERROR(MATCH(AF51,Tables!$C$99:$C$118,1),1),ROWS(Tables!$C$99:$C$118)-1))))),(INDEX(Tables!$F$99:$F$118,MAX(1,MIN(IFERROR(MATCH(AF51,Tables!$E$99:$E$118,1),1),ROWS(Tables!$E$99:$E$118)-1)))+(AF51-INDEX(Tables!$E$99:$E$118,MAX(1,MIN(IFERROR(MATCH(AF51,Tables!$E$99:$E$118,1),1),ROWS(Tables!$E$99:$E$118)-1))))*(INDEX(Tables!$F$99:$F$118,MAX(1,MIN(IFERROR(MATCH(AF51,Tables!$E$99:$E$118,1),1),ROWS(Tables!$E$99:$E$118)-1))+1)-INDEX(Tables!$F$99:$F$118,MAX(1,MIN(IFERROR(MATCH(AF51,Tables!$E$99:$E$118,1),1),ROWS(Tables!$E$99:$E$118)-1))))/(INDEX(Tables!$E$99:$E$118,MAX(1,MIN(IFERROR(MATCH(AF51,Tables!$E$99:$E$118,1),1),ROWS(Tables!$E$99:$E$118)-1))+1)-INDEX(Tables!$E$99:$E$118,MAX(1,MIN(IFERROR(MATCH(AF51,Tables!$E$99:$E$118,1),1),ROWS(Tables!$E$99:$E$118)-1)))))))</f>
        <v>13.310853692457467</v>
      </c>
      <c r="AQ51" s="181">
        <f>IF(P51&lt;6,(INDEX(Tables!$B$123:$B$138,MAX(1,MIN(IFERROR(MATCH(U51,Tables!$A$123:$A$138,1),1),ROWS(Tables!$A$123:$A$138)-1)))+(U51-INDEX(Tables!$A$123:$A$138,MAX(1,MIN(IFERROR(MATCH(U51,Tables!$A$123:$A$138,1),1),ROWS(Tables!$A$123:$A$138)-1))))*(INDEX(Tables!$B$123:$B$138,MAX(1,MIN(IFERROR(MATCH(U51,Tables!$A$123:$A$138,1),1),ROWS(Tables!$A$123:$A$138)-1))+1)-INDEX(Tables!$B$123:$B$138,MAX(1,MIN(IFERROR(MATCH(U51,Tables!$A$123:$A$138,1),1),ROWS(Tables!$A$123:$A$138)-1))))/(INDEX(Tables!$A$123:$A$138,MAX(1,MIN(IFERROR(MATCH(U51,Tables!$A$123:$A$138,1),1),ROWS(Tables!$A$123:$A$138)-1))+1)-INDEX(Tables!$A$123:$A$138,MAX(1,MIN(IFERROR(MATCH(U51,Tables!$A$123:$A$138,1),1),ROWS(Tables!$A$123:$A$138)-1))))),IF(P51&lt;8,(INDEX(Tables!$D$123:$D$138,MAX(1,MIN(IFERROR(MATCH(U51,Tables!$C$123:$C$138,1),1),ROWS(Tables!$C$123:$C$138)-1)))+(U51-INDEX(Tables!$C$123:$C$138,MAX(1,MIN(IFERROR(MATCH(U51,Tables!$C$123:$C$138,1),1),ROWS(Tables!$C$123:$C$138)-1))))*(INDEX(Tables!$D$123:$D$138,MAX(1,MIN(IFERROR(MATCH(U51,Tables!$C$123:$C$138,1),1),ROWS(Tables!$C$123:$C$138)-1))+1)-INDEX(Tables!$D$123:$D$138,MAX(1,MIN(IFERROR(MATCH(U51,Tables!$C$123:$C$138,1),1),ROWS(Tables!$C$123:$C$138)-1))))/(INDEX(Tables!$C$123:$C$138,MAX(1,MIN(IFERROR(MATCH(U51,Tables!$C$123:$C$138,1),1),ROWS(Tables!$C$123:$C$138)-1))+1)-INDEX(Tables!$C$123:$C$138,MAX(1,MIN(IFERROR(MATCH(U51,Tables!$C$123:$C$138,1),1),ROWS(Tables!$C$123:$C$138)-1))))),IF(P51&lt;10,(INDEX(Tables!$F$123:$F$138,MAX(1,MIN(IFERROR(MATCH(U51,Tables!$E$123:$E$138,1),1),ROWS(Tables!$E$123:$E$138)-1)))+(U51-INDEX(Tables!$E$123:$E$138,MAX(1,MIN(IFERROR(MATCH(U51,Tables!$E$123:$E$138,1),1),ROWS(Tables!$E$123:$E$138)-1))))*(INDEX(Tables!$F$123:$F$138,MAX(1,MIN(IFERROR(MATCH(U51,Tables!$E$123:$E$138,1),1),ROWS(Tables!$E$123:$E$138)-1))+1)-INDEX(Tables!$F$123:$F$138,MAX(1,MIN(IFERROR(MATCH(U51,Tables!$E$123:$E$138,1),1),ROWS(Tables!$E$123:$E$138)-1))))/(INDEX(Tables!$E$123:$E$138,MAX(1,MIN(IFERROR(MATCH(U51,Tables!$E$123:$E$138,1),1),ROWS(Tables!$E$123:$E$138)-1))+1)-INDEX(Tables!$E$123:$E$138,MAX(1,MIN(IFERROR(MATCH(U51,Tables!$E$123:$E$138,1),1),ROWS(Tables!$E$123:$E$138)-1))))),(INDEX(Tables!$H$123:$H$138,MAX(1,MIN(IFERROR(MATCH(U51,Tables!$G$123:$G$138,1),1),ROWS(Tables!$G$123:$G$138)-1)))+(U51-INDEX(Tables!$G$123:$G$138,MAX(1,MIN(IFERROR(MATCH(U51,Tables!$G$123:$G$138,1),1),ROWS(Tables!$G$123:$G$138)-1))))*(INDEX(Tables!$H$123:$H$138,MAX(1,MIN(IFERROR(MATCH(U51,Tables!$G$123:$G$138,1),1),ROWS(Tables!$G$123:$G$138)-1))+1)-INDEX(Tables!$H$123:$H$138,MAX(1,MIN(IFERROR(MATCH(U51,Tables!$G$123:$G$138,1),1),ROWS(Tables!$G$123:$G$138)-1))))/(INDEX(Tables!$G$123:$G$138,MAX(1,MIN(IFERROR(MATCH(U51,Tables!$G$123:$G$138,1),1),ROWS(Tables!$G$123:$G$138)-1))+1)-INDEX(Tables!$G$123:$G$138,MAX(1,MIN(IFERROR(MATCH(U51,Tables!$G$123:$G$138,1),1),ROWS(Tables!$G$123:$G$138)-1))))))))</f>
        <v>1.4501250000000001</v>
      </c>
      <c r="AR51" s="181">
        <f>IF(OR(P51&gt;=4,U51&gt;12),VLOOKUP(R51&amp;" "&amp;S51,Tables!$D$143:$F$148,2,FALSE),VLOOKUP(R51&amp;" "&amp;S51,Tables!$A$143:$C$148,2,FALSE))</f>
        <v>0.9</v>
      </c>
      <c r="AS51" s="181">
        <f>IF(OR(P51&gt;=4,U51&gt;12),VLOOKUP(R51&amp;" "&amp;S51,Tables!$D$143:$F$148,3,FALSE),VLOOKUP(R51&amp;" "&amp;S51,Tables!$A$143:$C$148,3,FALSE))</f>
        <v>0.65</v>
      </c>
      <c r="AT51" s="181">
        <f t="shared" si="40"/>
        <v>1411.4881251004135</v>
      </c>
      <c r="AU51" s="181">
        <f>IF(AD51=5000,(INDEX(Tables!$B$244:$B$263,MAX(1,MIN(IFERROR(MATCH(AF51,Tables!$A$244:$A$263,1),1),ROWS(Tables!$A$244:$A$263)-1)))+(AF51-INDEX(Tables!$A$244:$A$263,MAX(1,MIN(IFERROR(MATCH(AF51,Tables!$A$244:$A$263,1),1),ROWS(Tables!$A$244:$A$263)-1))))*(INDEX(Tables!$B$244:$B$263,MAX(1,MIN(IFERROR(MATCH(AF51,Tables!$A$244:$A$263,1),1),ROWS(Tables!$A$244:$A$263)-1))+1)-INDEX(Tables!$B$244:$B$263,MAX(1,MIN(IFERROR(MATCH(AF51,Tables!$A$244:$A$263,1),1),ROWS(Tables!$A$244:$A$263)-1))))/(INDEX(Tables!$A$244:$A$263,MAX(1,MIN(IFERROR(MATCH(AF51,Tables!$A$244:$A$263,1),1),ROWS(Tables!$A$244:$A$263)-1))+1)-INDEX(Tables!$A$244:$A$263,MAX(1,MIN(IFERROR(MATCH(AF51,Tables!$A$244:$A$263,1),1),ROWS(Tables!$A$244:$A$263)-1))))),IF(AD51=10000,(INDEX(Tables!$D$244:$D$263,MAX(1,MIN(IFERROR(MATCH(AF51,Tables!$C$244:$C$263,1),1),ROWS(Tables!$C$244:$C$263)-1)))+(AF51-INDEX(Tables!$C$244:$C$263,MAX(1,MIN(IFERROR(MATCH(AF51,Tables!$C$244:$C$263,1),1),ROWS(Tables!$C$244:$C$263)-1))))*(INDEX(Tables!$D$244:$D$263,MAX(1,MIN(IFERROR(MATCH(AF51,Tables!$C$244:$C$263,1),1),ROWS(Tables!$C$244:$C$263)-1))+1)-INDEX(Tables!$D$244:$D$263,MAX(1,MIN(IFERROR(MATCH(AF51,Tables!$C$244:$C$263,1),1),ROWS(Tables!$C$244:$C$263)-1))))/(INDEX(Tables!$C$244:$C$263,MAX(1,MIN(IFERROR(MATCH(AF51,Tables!$C$244:$C$263,1),1),ROWS(Tables!$C$244:$C$263)-1))+1)-INDEX(Tables!$C$244:$C$263,MAX(1,MIN(IFERROR(MATCH(AF51,Tables!$C$244:$C$263,1),1),ROWS(Tables!$C$244:$C$263)-1))))),(INDEX(Tables!$F$244:$F$263,MAX(1,MIN(IFERROR(MATCH(AF51,Tables!$E$244:$E$263,1),1),ROWS(Tables!$E$244:$E$263)-1)))+(AF51-INDEX(Tables!$E$244:$E$263,MAX(1,MIN(IFERROR(MATCH(AF51,Tables!$E$244:$E$263,1),1),ROWS(Tables!$E$244:$E$263)-1))))*(INDEX(Tables!$F$244:$F$263,MAX(1,MIN(IFERROR(MATCH(AF51,Tables!$E$244:$E$263,1),1),ROWS(Tables!$E$244:$E$263)-1))+1)-INDEX(Tables!$F$244:$F$263,MAX(1,MIN(IFERROR(MATCH(AF51,Tables!$E$244:$E$263,1),1),ROWS(Tables!$E$244:$E$263)-1))))/(INDEX(Tables!$E$244:$E$263,MAX(1,MIN(IFERROR(MATCH(AF51,Tables!$E$244:$E$263,1),1),ROWS(Tables!$E$244:$E$263)-1))+1)-INDEX(Tables!$E$244:$E$263,MAX(1,MIN(IFERROR(MATCH(AF51,Tables!$E$244:$E$263,1),1),ROWS(Tables!$E$244:$E$263)-1)))))))</f>
        <v>9.5004188679245285</v>
      </c>
      <c r="AV51" s="181">
        <f>IF(P51&lt;6,(INDEX(Tables!$B$260:$B$274,MAX(1,MIN(IFERROR(MATCH(U51,Tables!$A$260:$A$274,1),1),ROWS(Tables!$A$260:$A$274)-1)))+(U51-INDEX(Tables!$A$260:$A$274,MAX(1,MIN(IFERROR(MATCH(U51,Tables!$A$260:$A$274,1),1),ROWS(Tables!$A$260:$A$274)-1))))*(INDEX(Tables!$B$260:$B$274,MAX(1,MIN(IFERROR(MATCH(U51,Tables!$A$260:$A$274,1),1),ROWS(Tables!$A$260:$A$274)-1))+1)-INDEX(Tables!$B$260:$B$274,MAX(1,MIN(IFERROR(MATCH(U51,Tables!$A$260:$A$274,1),1),ROWS(Tables!$A$260:$A$274)-1))))/(INDEX(Tables!$A$260:$A$274,MAX(1,MIN(IFERROR(MATCH(U51,Tables!$A$260:$A$274,1),1),ROWS(Tables!$A$260:$A$274)-1))+1)-INDEX(Tables!$A$260:$A$274,MAX(1,MIN(IFERROR(MATCH(U51,Tables!$A$260:$A$274,1),1),ROWS(Tables!$A$260:$A$274)-1))))),IF(P51&lt;8,(INDEX(Tables!$D$260:$D$274,MAX(1,MIN(IFERROR(MATCH(U51,Tables!$C$260:$C$274,1),1),ROWS(Tables!$C$260:$C$274)-1)))+(U51-INDEX(Tables!$C$260:$C$274,MAX(1,MIN(IFERROR(MATCH(U51,Tables!$C$260:$C$274,1),1),ROWS(Tables!$C$260:$C$274)-1))))*(INDEX(Tables!$D$260:$D$274,MAX(1,MIN(IFERROR(MATCH(U51,Tables!$C$260:$C$274,1),1),ROWS(Tables!$C$260:$C$274)-1))+1)-INDEX(Tables!$D$260:$D$274,MAX(1,MIN(IFERROR(MATCH(U51,Tables!$C$260:$C$274,1),1),ROWS(Tables!$C$260:$C$274)-1))))/(INDEX(Tables!$C$260:$C$274,MAX(1,MIN(IFERROR(MATCH(U51,Tables!$C$260:$C$274,1),1),ROWS(Tables!$C$260:$C$274)-1))+1)-INDEX(Tables!$C$260:$C$274,MAX(1,MIN(IFERROR(MATCH(U51,Tables!$C$260:$C$274,1),1),ROWS(Tables!$C$260:$C$274)-1))))),IF(P51&lt;10,(INDEX(Tables!$F$260:$F$274,MAX(1,MIN(IFERROR(MATCH(U51,Tables!$E$260:$E$274,1),1),ROWS(Tables!$E$260:$E$274)-1)))+(U51-INDEX(Tables!$E$260:$E$274,MAX(1,MIN(IFERROR(MATCH(U51,Tables!$E$260:$E$274,1),1),ROWS(Tables!$E$260:$E$274)-1))))*(INDEX(Tables!$F$260:$F$274,MAX(1,MIN(IFERROR(MATCH(U51,Tables!$E$260:$E$274,1),1),ROWS(Tables!$E$260:$E$274)-1))+1)-INDEX(Tables!$F$260:$F$274,MAX(1,MIN(IFERROR(MATCH(U51,Tables!$E$260:$E$274,1),1),ROWS(Tables!$E$260:$E$274)-1))))/(INDEX(Tables!$E$260:$E$274,MAX(1,MIN(IFERROR(MATCH(U51,Tables!$E$260:$E$274,1),1),ROWS(Tables!$E$260:$E$274)-1))+1)-INDEX(Tables!$E$260:$E$274,MAX(1,MIN(IFERROR(MATCH(U51,Tables!$E$260:$E$274,1),1),ROWS(Tables!$E$260:$E$274)-1))))),(INDEX(Tables!$H$260:$H$274,MAX(1,MIN(IFERROR(MATCH(U51,Tables!$G$260:$G$274,1),1),ROWS(Tables!$G$260:$G$274)-1)))+(U51-INDEX(Tables!$G$260:$G$274,MAX(1,MIN(IFERROR(MATCH(U51,Tables!$G$260:$G$274,1),1),ROWS(Tables!$G$260:$G$274)-1))))*(INDEX(Tables!$H$260:$H$274,MAX(1,MIN(IFERROR(MATCH(U51,Tables!$G$260:$G$274,1),1),ROWS(Tables!$G$260:$G$274)-1))+1)-INDEX(Tables!$H$260:$H$274,MAX(1,MIN(IFERROR(MATCH(U51,Tables!$G$260:$G$274,1),1),ROWS(Tables!$G$260:$G$274)-1))))/(INDEX(Tables!$G$260:$G$274,MAX(1,MIN(IFERROR(MATCH(U51,Tables!$G$260:$G$274,1),1),ROWS(Tables!$G$260:$G$274)-1))+1)-INDEX(Tables!$G$260:$G$274,MAX(1,MIN(IFERROR(MATCH(U51,Tables!$G$260:$G$274,1),1),ROWS(Tables!$G$260:$G$274)-1))))))))</f>
        <v>1.4965000000000002</v>
      </c>
      <c r="AW51" s="181">
        <f t="shared" si="41"/>
        <v>1039.6456811214625</v>
      </c>
      <c r="AX51" s="181">
        <f t="shared" si="42"/>
        <v>-324.5610204081633</v>
      </c>
      <c r="AY51" s="181">
        <f t="shared" si="43"/>
        <v>1648.3312257154864</v>
      </c>
      <c r="AZ51" s="181">
        <f t="shared" si="44"/>
        <v>1110.6986113059843</v>
      </c>
      <c r="BA51" s="181">
        <f t="shared" si="45"/>
        <v>14.73</v>
      </c>
      <c r="BB51" s="181">
        <f t="shared" si="46"/>
        <v>1442.0209758710002</v>
      </c>
      <c r="BC51" s="181">
        <f t="shared" si="47"/>
        <v>46800</v>
      </c>
      <c r="BD51" s="181">
        <f>VLOOKUP(V51&amp;" "&amp;J51,Tables!$A$152:$E$239,4,FALSE)</f>
        <v>12000</v>
      </c>
      <c r="BE51" s="181">
        <f>VLOOKUP(V51&amp;" "&amp;J51,Tables!$A$152:$E$239,5,FALSE)</f>
        <v>23000</v>
      </c>
      <c r="BF51" s="181">
        <f t="shared" si="48"/>
        <v>8640</v>
      </c>
      <c r="BG51" s="181">
        <f t="shared" si="49"/>
        <v>16560</v>
      </c>
      <c r="BH51" s="181">
        <f t="shared" si="50"/>
        <v>-331.92602040816331</v>
      </c>
      <c r="BI51" s="181">
        <f t="shared" si="51"/>
        <v>46800</v>
      </c>
      <c r="BJ51" s="181">
        <f t="shared" si="52"/>
        <v>1442.0209758710002</v>
      </c>
      <c r="BK51" s="181">
        <f t="shared" si="53"/>
        <v>46800</v>
      </c>
      <c r="BL51" s="181">
        <f t="shared" si="54"/>
        <v>1039.6456811214625</v>
      </c>
      <c r="BM51" s="181">
        <f t="shared" si="55"/>
        <v>8640</v>
      </c>
      <c r="BN51" s="181">
        <f t="shared" si="56"/>
        <v>1411.4881251004135</v>
      </c>
      <c r="BO51" s="181">
        <f t="shared" si="57"/>
        <v>16560</v>
      </c>
      <c r="BP51" t="str">
        <f t="shared" si="58"/>
        <v>Pass</v>
      </c>
      <c r="BQ51" t="str">
        <f t="shared" si="59"/>
        <v>Pass</v>
      </c>
      <c r="BR51" t="str">
        <f t="shared" si="60"/>
        <v>Pass</v>
      </c>
      <c r="BS51" t="str">
        <f t="shared" si="61"/>
        <v>Pass</v>
      </c>
      <c r="BT51" t="str">
        <f t="shared" si="62"/>
        <v>Pass</v>
      </c>
      <c r="BU51" t="str">
        <f t="shared" si="63"/>
        <v>Girth Weld Stress</v>
      </c>
    </row>
    <row r="52" spans="1:73">
      <c r="A52" t="s">
        <v>644</v>
      </c>
      <c r="B52" s="181">
        <v>50</v>
      </c>
      <c r="C52" t="s">
        <v>594</v>
      </c>
      <c r="D52" s="181">
        <v>8</v>
      </c>
      <c r="E52" s="181">
        <v>0.161</v>
      </c>
      <c r="F52" t="s">
        <v>117</v>
      </c>
      <c r="G52" t="s">
        <v>119</v>
      </c>
      <c r="H52" t="s">
        <v>122</v>
      </c>
      <c r="I52" s="181">
        <v>1</v>
      </c>
      <c r="J52" t="s">
        <v>126</v>
      </c>
      <c r="K52" t="s">
        <v>129</v>
      </c>
      <c r="L52" s="181">
        <v>70</v>
      </c>
      <c r="M52" s="181">
        <v>-14.73</v>
      </c>
      <c r="N52" t="s">
        <v>391</v>
      </c>
      <c r="O52" s="181">
        <v>120</v>
      </c>
      <c r="P52" s="181">
        <v>3</v>
      </c>
      <c r="Q52" s="181">
        <v>10.625</v>
      </c>
      <c r="R52" t="s">
        <v>418</v>
      </c>
      <c r="S52" t="s">
        <v>420</v>
      </c>
      <c r="T52" s="181">
        <v>70</v>
      </c>
      <c r="U52" s="181">
        <f>HLOOKUP(D52,'Highway Loading'!$C$155:$AD$156,2,FALSE)</f>
        <v>8.625</v>
      </c>
      <c r="V52" s="181">
        <f>IF(ISBLANK(G52),"",INDEX('Highway Loading'!$C$216:$AG$216,1,MATCH(G52,'Highway Loading'!$C$215:$AG$215,0)))</f>
        <v>65000</v>
      </c>
      <c r="W52" s="181">
        <f>INDEX('Highway Loading'!$I$245:$L$253,MATCH(H52,'Highway Loading'!$H$245:$H$253,0),MATCH(I52,'Highway Loading'!$I$244:$L$244,0))</f>
        <v>0.72</v>
      </c>
      <c r="X52" s="181">
        <f t="shared" si="32"/>
        <v>1</v>
      </c>
      <c r="Y52" s="181">
        <f>VLOOKUP(K52,'Highway Loading'!$B$283:$E$292,2,FALSE)</f>
        <v>29000000</v>
      </c>
      <c r="Z52" s="181">
        <f>VLOOKUP(K52,'Highway Loading'!$B$283:$E$292,3,FALSE)</f>
        <v>0.3</v>
      </c>
      <c r="AA52" s="181">
        <f>VLOOKUP(K52,'Highway Loading'!$B$283:$E$292,4,FALSE)</f>
        <v>6.4999999999999996E-6</v>
      </c>
      <c r="AB52" s="181">
        <f t="shared" si="33"/>
        <v>1</v>
      </c>
      <c r="AC52" s="181">
        <f>VLOOKUP(N52,'Highway Loading'!$B$256:$D$261,2,FALSE)</f>
        <v>1000</v>
      </c>
      <c r="AD52" s="181">
        <f>VLOOKUP(N52,'Highway Loading'!$B$256:$D$261,3,FALSE)</f>
        <v>10000</v>
      </c>
      <c r="AE52" s="181">
        <f>VLOOKUP(S52,'Highway Loading'!$B$340:$C$341,2,FALSE)</f>
        <v>12000</v>
      </c>
      <c r="AF52" s="181">
        <f t="shared" si="34"/>
        <v>1.8666666666666668E-2</v>
      </c>
      <c r="AG52" s="181">
        <f t="shared" si="35"/>
        <v>3.388235294117647</v>
      </c>
      <c r="AH52" s="181">
        <f t="shared" si="36"/>
        <v>1.2318840579710144</v>
      </c>
      <c r="AI52" s="181">
        <f t="shared" si="37"/>
        <v>-394.55357142857144</v>
      </c>
      <c r="AJ52" s="181">
        <f t="shared" si="38"/>
        <v>46800</v>
      </c>
      <c r="AK52" s="181">
        <f>IF(AC52=200,(INDEX(Tables!$B$17:$B$38,MAX(1,MIN(IFERROR(MATCH(AF52,Tables!$A$17:$A$38,1),1),ROWS(Tables!$A$17:$A$38)-1)))+(AF52-INDEX(Tables!$A$17:$A$38,MAX(1,MIN(IFERROR(MATCH(AF52,Tables!$A$17:$A$38,1),1),ROWS(Tables!$A$17:$A$38)-1))))*(INDEX(Tables!$B$17:$B$38,MAX(1,MIN(IFERROR(MATCH(AF52,Tables!$A$17:$A$38,1),1),ROWS(Tables!$A$17:$A$38)-1))+1)-INDEX(Tables!$B$17:$B$38,MAX(1,MIN(IFERROR(MATCH(AF52,Tables!$A$17:$A$38,1),1),ROWS(Tables!$A$17:$A$38)-1))))/(INDEX(Tables!$A$17:$A$38,MAX(1,MIN(IFERROR(MATCH(AF52,Tables!$A$17:$A$38,1),1),ROWS(Tables!$A$17:$A$38)-1))+1)-INDEX(Tables!$A$17:$A$38,MAX(1,MIN(IFERROR(MATCH(AF52,Tables!$A$17:$A$38,1),1),ROWS(Tables!$A$17:$A$38)-1))))),IF(AC52=500,(INDEX(Tables!$D$17:$D$38,MAX(1,MIN(IFERROR(MATCH(AF52,Tables!$C$17:$C$38,1),1),ROWS(Tables!$C$17:$C$38)-1)))+(AF52-INDEX(Tables!$C$17:$C$38,MAX(1,MIN(IFERROR(MATCH(AF52,Tables!$C$17:$C$38,1),1),ROWS(Tables!$C$17:$C$38)-1))))*(INDEX(Tables!$D$17:$D$38,MAX(1,MIN(IFERROR(MATCH(AF52,Tables!$C$17:$C$38,1),1),ROWS(Tables!$C$17:$C$38)-1))+1)-INDEX(Tables!$D$17:$D$38,MAX(1,MIN(IFERROR(MATCH(AF52,Tables!$C$17:$C$38,1),1),ROWS(Tables!$C$17:$C$38)-1))))/(INDEX(Tables!$C$17:$C$38,MAX(1,MIN(IFERROR(MATCH(AF52,Tables!$C$17:$C$38,1),1),ROWS(Tables!$C$17:$C$38)-1))+1)-INDEX(Tables!$C$17:$C$38,MAX(1,MIN(IFERROR(MATCH(AF52,Tables!$C$17:$C$38,1),1),ROWS(Tables!$C$17:$C$38)-1))))),IF(AC52=1000,(INDEX(Tables!$F$17:$F$38,MAX(1,MIN(IFERROR(MATCH(AF52,Tables!$E$17:$E$38,1),1),ROWS(Tables!$E$17:$E$38)-1)))+(AF52-INDEX(Tables!$E$17:$E$38,MAX(1,MIN(IFERROR(MATCH(AF52,Tables!$E$17:$E$38,1),1),ROWS(Tables!$E$17:$E$38)-1))))*(INDEX(Tables!$F$17:$F$38,MAX(1,MIN(IFERROR(MATCH(AF52,Tables!$E$17:$E$38,1),1),ROWS(Tables!$E$17:$E$38)-1))+1)-INDEX(Tables!$F$17:$F$38,MAX(1,MIN(IFERROR(MATCH(AF52,Tables!$E$17:$E$38,1),1),ROWS(Tables!$E$17:$E$38)-1))))/(INDEX(Tables!$E$17:$E$38,MAX(1,MIN(IFERROR(MATCH(AF52,Tables!$E$17:$E$38,1),1),ROWS(Tables!$E$17:$E$38)-1))+1)-INDEX(Tables!$E$17:$E$38,MAX(1,MIN(IFERROR(MATCH(AF52,Tables!$E$17:$E$38,1),1),ROWS(Tables!$E$17:$E$38)-1))))),(INDEX(Tables!$H$17:$H$38,MAX(1,MIN(IFERROR(MATCH(AF52,Tables!$G$17:$G$38,1),1),ROWS(Tables!$G$17:$G$38)-1)))+(AF52-INDEX(Tables!$G$17:$G$38,MAX(1,MIN(IFERROR(MATCH(AF52,Tables!$G$17:$G$38,1),1),ROWS(Tables!$G$17:$G$38)-1))))*(INDEX(Tables!$H$17:$H$38,MAX(1,MIN(IFERROR(MATCH(AF52,Tables!$G$17:$G$38,1),1),ROWS(Tables!$G$17:$G$38)-1))+1)-INDEX(Tables!$H$17:$H$38,MAX(1,MIN(IFERROR(MATCH(AF52,Tables!$G$17:$G$38,1),1),ROWS(Tables!$G$17:$G$38)-1))))/(INDEX(Tables!$G$17:$G$38,MAX(1,MIN(IFERROR(MATCH(AF52,Tables!$G$17:$G$38,1),1),ROWS(Tables!$G$17:$G$38)-1))+1)-INDEX(Tables!$G$17:$G$38,MAX(1,MIN(IFERROR(MATCH(AF52,Tables!$G$17:$G$38,1),1),ROWS(Tables!$G$17:$G$38)-1))))))))</f>
        <v>2558.1333333333332</v>
      </c>
      <c r="AL52" s="181">
        <f>IF(AC52&lt;1000,(INDEX(Tables!$B$43:$B$76,MAX(1,MIN(IFERROR(MATCH(AG52,Tables!$A$43:$A$76,1),1),ROWS(Tables!$A$43:$A$76)-1)))+(AG52-INDEX(Tables!$A$43:$A$76,MAX(1,MIN(IFERROR(MATCH(AG52,Tables!$A$43:$A$76,1),1),ROWS(Tables!$A$43:$A$76)-1))))*(INDEX(Tables!$B$43:$B$76,MAX(1,MIN(IFERROR(MATCH(AG52,Tables!$A$43:$A$76,1),1),ROWS(Tables!$A$43:$A$76)-1))+1)-INDEX(Tables!$B$43:$B$76,MAX(1,MIN(IFERROR(MATCH(AG52,Tables!$A$43:$A$76,1),1),ROWS(Tables!$A$43:$A$76)-1))))/(INDEX(Tables!$A$43:$A$76,MAX(1,MIN(IFERROR(MATCH(AG52,Tables!$A$43:$A$76,1),1),ROWS(Tables!$A$43:$A$76)-1))+1)-INDEX(Tables!$A$43:$A$76,MAX(1,MIN(IFERROR(MATCH(AG52,Tables!$A$43:$A$76,1),1),ROWS(Tables!$A$43:$A$76)-1))))),(INDEX(Tables!$D$43:$D$76,MAX(1,MIN(IFERROR(MATCH(AG52,Tables!$C$43:$C$76,1),1),ROWS(Tables!$C$43:$C$76)-1)))+(AG52-INDEX(Tables!$C$43:$C$76,MAX(1,MIN(IFERROR(MATCH(AG52,Tables!$C$43:$C$76,1),1),ROWS(Tables!$C$43:$C$76)-1))))*(INDEX(Tables!$D$43:$D$76,MAX(1,MIN(IFERROR(MATCH(AG52,Tables!$C$43:$C$76,1),1),ROWS(Tables!$C$43:$C$76)-1))+1)-INDEX(Tables!$D$43:$D$76,MAX(1,MIN(IFERROR(MATCH(AG52,Tables!$C$43:$C$76,1),1),ROWS(Tables!$C$43:$C$76)-1))))/(INDEX(Tables!$C$43:$C$76,MAX(1,MIN(IFERROR(MATCH(AG52,Tables!$C$43:$C$76,1),1),ROWS(Tables!$C$43:$C$76)-1))+1)-INDEX(Tables!$C$43:$C$76,MAX(1,MIN(IFERROR(MATCH(AG52,Tables!$C$43:$C$76,1),1),ROWS(Tables!$C$43:$C$76)-1))))))</f>
        <v>0.82142352941176466</v>
      </c>
      <c r="AM52" s="181">
        <f>(INDEX(Tables!$B$80:$B$87,MAX(1,MIN(IFERROR(MATCH(AH52,Tables!$A$80:$A$87,1),1),ROWS(Tables!$A$80:$A$87)-1)))+(AH52-INDEX(Tables!$A$80:$A$87,MAX(1,MIN(IFERROR(MATCH(AH52,Tables!$A$80:$A$87,1),1),ROWS(Tables!$A$80:$A$87)-1))))*(INDEX(Tables!$B$80:$B$87,MAX(1,MIN(IFERROR(MATCH(AH52,Tables!$A$80:$A$87,1),1),ROWS(Tables!$A$80:$A$87)-1))+1)-INDEX(Tables!$B$80:$B$87,MAX(1,MIN(IFERROR(MATCH(AH52,Tables!$A$80:$A$87,1),1),ROWS(Tables!$A$80:$A$87)-1))))/(INDEX(Tables!$A$80:$A$87,MAX(1,MIN(IFERROR(MATCH(AH52,Tables!$A$80:$A$87,1),1),ROWS(Tables!$A$80:$A$87)-1))+1)-INDEX(Tables!$A$80:$A$87,MAX(1,MIN(IFERROR(MATCH(AH52,Tables!$A$80:$A$87,1),1),ROWS(Tables!$A$80:$A$87)-1)))))</f>
        <v>1.2567086956521738</v>
      </c>
      <c r="AN52" s="181">
        <f t="shared" si="39"/>
        <v>1581.6906504058738</v>
      </c>
      <c r="AO52" s="181">
        <f>(INDEX(Tables!$B$91:$B$94,MAX(1,MIN(IFERROR(MATCH(P52,Tables!$A$91:$A$94,1),1),ROWS(Tables!$A$91:$A$94)-1)))+(P52-INDEX(Tables!$A$91:$A$94,MAX(1,MIN(IFERROR(MATCH(P52,Tables!$A$91:$A$94,1),1),ROWS(Tables!$A$91:$A$94)-1))))*(INDEX(Tables!$B$91:$B$94,MAX(1,MIN(IFERROR(MATCH(P52,Tables!$A$91:$A$94,1),1),ROWS(Tables!$A$91:$A$94)-1))+1)-INDEX(Tables!$B$91:$B$94,MAX(1,MIN(IFERROR(MATCH(P52,Tables!$A$91:$A$94,1),1),ROWS(Tables!$A$91:$A$94)-1))))/(INDEX(Tables!$A$91:$A$94,MAX(1,MIN(IFERROR(MATCH(P52,Tables!$A$91:$A$94,1),1),ROWS(Tables!$A$91:$A$94)-1))+1)-INDEX(Tables!$A$91:$A$94,MAX(1,MIN(IFERROR(MATCH(P52,Tables!$A$91:$A$94,1),1),ROWS(Tables!$A$91:$A$94)-1)))))</f>
        <v>1.5</v>
      </c>
      <c r="AP52" s="181">
        <f>IF(AD52=5000,(INDEX(Tables!$B$99:$B$118,MAX(1,MIN(IFERROR(MATCH(AF52,Tables!$A$99:$A$118,1),1),ROWS(Tables!$A$99:$A$118)-1)))+(AF52-INDEX(Tables!$A$99:$A$118,MAX(1,MIN(IFERROR(MATCH(AF52,Tables!$A$99:$A$118,1),1),ROWS(Tables!$A$99:$A$118)-1))))*(INDEX(Tables!$B$99:$B$118,MAX(1,MIN(IFERROR(MATCH(AF52,Tables!$A$99:$A$118,1),1),ROWS(Tables!$A$99:$A$118)-1))+1)-INDEX(Tables!$B$99:$B$118,MAX(1,MIN(IFERROR(MATCH(AF52,Tables!$A$99:$A$118,1),1),ROWS(Tables!$A$99:$A$118)-1))))/(INDEX(Tables!$A$99:$A$118,MAX(1,MIN(IFERROR(MATCH(AF52,Tables!$A$99:$A$118,1),1),ROWS(Tables!$A$99:$A$118)-1))+1)-INDEX(Tables!$A$99:$A$118,MAX(1,MIN(IFERROR(MATCH(AF52,Tables!$A$99:$A$118,1),1),ROWS(Tables!$A$99:$A$118)-1))))),IF(AD52=10000,(INDEX(Tables!$D$99:$D$118,MAX(1,MIN(IFERROR(MATCH(AF52,Tables!$C$99:$C$118,1),1),ROWS(Tables!$C$99:$C$118)-1)))+(AF52-INDEX(Tables!$C$99:$C$118,MAX(1,MIN(IFERROR(MATCH(AF52,Tables!$C$99:$C$118,1),1),ROWS(Tables!$C$99:$C$118)-1))))*(INDEX(Tables!$D$99:$D$118,MAX(1,MIN(IFERROR(MATCH(AF52,Tables!$C$99:$C$118,1),1),ROWS(Tables!$C$99:$C$118)-1))+1)-INDEX(Tables!$D$99:$D$118,MAX(1,MIN(IFERROR(MATCH(AF52,Tables!$C$99:$C$118,1),1),ROWS(Tables!$C$99:$C$118)-1))))/(INDEX(Tables!$C$99:$C$118,MAX(1,MIN(IFERROR(MATCH(AF52,Tables!$C$99:$C$118,1),1),ROWS(Tables!$C$99:$C$118)-1))+1)-INDEX(Tables!$C$99:$C$118,MAX(1,MIN(IFERROR(MATCH(AF52,Tables!$C$99:$C$118,1),1),ROWS(Tables!$C$99:$C$118)-1))))),(INDEX(Tables!$F$99:$F$118,MAX(1,MIN(IFERROR(MATCH(AF52,Tables!$E$99:$E$118,1),1),ROWS(Tables!$E$99:$E$118)-1)))+(AF52-INDEX(Tables!$E$99:$E$118,MAX(1,MIN(IFERROR(MATCH(AF52,Tables!$E$99:$E$118,1),1),ROWS(Tables!$E$99:$E$118)-1))))*(INDEX(Tables!$F$99:$F$118,MAX(1,MIN(IFERROR(MATCH(AF52,Tables!$E$99:$E$118,1),1),ROWS(Tables!$E$99:$E$118)-1))+1)-INDEX(Tables!$F$99:$F$118,MAX(1,MIN(IFERROR(MATCH(AF52,Tables!$E$99:$E$118,1),1),ROWS(Tables!$E$99:$E$118)-1))))/(INDEX(Tables!$E$99:$E$118,MAX(1,MIN(IFERROR(MATCH(AF52,Tables!$E$99:$E$118,1),1),ROWS(Tables!$E$99:$E$118)-1))+1)-INDEX(Tables!$E$99:$E$118,MAX(1,MIN(IFERROR(MATCH(AF52,Tables!$E$99:$E$118,1),1),ROWS(Tables!$E$99:$E$118)-1)))))))</f>
        <v>14.383768166089965</v>
      </c>
      <c r="AQ52" s="181">
        <f>IF(P52&lt;6,(INDEX(Tables!$B$123:$B$138,MAX(1,MIN(IFERROR(MATCH(U52,Tables!$A$123:$A$138,1),1),ROWS(Tables!$A$123:$A$138)-1)))+(U52-INDEX(Tables!$A$123:$A$138,MAX(1,MIN(IFERROR(MATCH(U52,Tables!$A$123:$A$138,1),1),ROWS(Tables!$A$123:$A$138)-1))))*(INDEX(Tables!$B$123:$B$138,MAX(1,MIN(IFERROR(MATCH(U52,Tables!$A$123:$A$138,1),1),ROWS(Tables!$A$123:$A$138)-1))+1)-INDEX(Tables!$B$123:$B$138,MAX(1,MIN(IFERROR(MATCH(U52,Tables!$A$123:$A$138,1),1),ROWS(Tables!$A$123:$A$138)-1))))/(INDEX(Tables!$A$123:$A$138,MAX(1,MIN(IFERROR(MATCH(U52,Tables!$A$123:$A$138,1),1),ROWS(Tables!$A$123:$A$138)-1))+1)-INDEX(Tables!$A$123:$A$138,MAX(1,MIN(IFERROR(MATCH(U52,Tables!$A$123:$A$138,1),1),ROWS(Tables!$A$123:$A$138)-1))))),IF(P52&lt;8,(INDEX(Tables!$D$123:$D$138,MAX(1,MIN(IFERROR(MATCH(U52,Tables!$C$123:$C$138,1),1),ROWS(Tables!$C$123:$C$138)-1)))+(U52-INDEX(Tables!$C$123:$C$138,MAX(1,MIN(IFERROR(MATCH(U52,Tables!$C$123:$C$138,1),1),ROWS(Tables!$C$123:$C$138)-1))))*(INDEX(Tables!$D$123:$D$138,MAX(1,MIN(IFERROR(MATCH(U52,Tables!$C$123:$C$138,1),1),ROWS(Tables!$C$123:$C$138)-1))+1)-INDEX(Tables!$D$123:$D$138,MAX(1,MIN(IFERROR(MATCH(U52,Tables!$C$123:$C$138,1),1),ROWS(Tables!$C$123:$C$138)-1))))/(INDEX(Tables!$C$123:$C$138,MAX(1,MIN(IFERROR(MATCH(U52,Tables!$C$123:$C$138,1),1),ROWS(Tables!$C$123:$C$138)-1))+1)-INDEX(Tables!$C$123:$C$138,MAX(1,MIN(IFERROR(MATCH(U52,Tables!$C$123:$C$138,1),1),ROWS(Tables!$C$123:$C$138)-1))))),IF(P52&lt;10,(INDEX(Tables!$F$123:$F$138,MAX(1,MIN(IFERROR(MATCH(U52,Tables!$E$123:$E$138,1),1),ROWS(Tables!$E$123:$E$138)-1)))+(U52-INDEX(Tables!$E$123:$E$138,MAX(1,MIN(IFERROR(MATCH(U52,Tables!$E$123:$E$138,1),1),ROWS(Tables!$E$123:$E$138)-1))))*(INDEX(Tables!$F$123:$F$138,MAX(1,MIN(IFERROR(MATCH(U52,Tables!$E$123:$E$138,1),1),ROWS(Tables!$E$123:$E$138)-1))+1)-INDEX(Tables!$F$123:$F$138,MAX(1,MIN(IFERROR(MATCH(U52,Tables!$E$123:$E$138,1),1),ROWS(Tables!$E$123:$E$138)-1))))/(INDEX(Tables!$E$123:$E$138,MAX(1,MIN(IFERROR(MATCH(U52,Tables!$E$123:$E$138,1),1),ROWS(Tables!$E$123:$E$138)-1))+1)-INDEX(Tables!$E$123:$E$138,MAX(1,MIN(IFERROR(MATCH(U52,Tables!$E$123:$E$138,1),1),ROWS(Tables!$E$123:$E$138)-1))))),(INDEX(Tables!$H$123:$H$138,MAX(1,MIN(IFERROR(MATCH(U52,Tables!$G$123:$G$138,1),1),ROWS(Tables!$G$123:$G$138)-1)))+(U52-INDEX(Tables!$G$123:$G$138,MAX(1,MIN(IFERROR(MATCH(U52,Tables!$G$123:$G$138,1),1),ROWS(Tables!$G$123:$G$138)-1))))*(INDEX(Tables!$H$123:$H$138,MAX(1,MIN(IFERROR(MATCH(U52,Tables!$G$123:$G$138,1),1),ROWS(Tables!$G$123:$G$138)-1))+1)-INDEX(Tables!$H$123:$H$138,MAX(1,MIN(IFERROR(MATCH(U52,Tables!$G$123:$G$138,1),1),ROWS(Tables!$G$123:$G$138)-1))))/(INDEX(Tables!$G$123:$G$138,MAX(1,MIN(IFERROR(MATCH(U52,Tables!$G$123:$G$138,1),1),ROWS(Tables!$G$123:$G$138)-1))+1)-INDEX(Tables!$G$123:$G$138,MAX(1,MIN(IFERROR(MATCH(U52,Tables!$G$123:$G$138,1),1),ROWS(Tables!$G$123:$G$138)-1))))))))</f>
        <v>1.389875</v>
      </c>
      <c r="AR52" s="181">
        <f>IF(OR(P52&gt;=4,U52&gt;12),VLOOKUP(R52&amp;" "&amp;S52,Tables!$D$143:$F$148,2,FALSE),VLOOKUP(R52&amp;" "&amp;S52,Tables!$A$143:$C$148,2,FALSE))</f>
        <v>0.9</v>
      </c>
      <c r="AS52" s="181">
        <f>IF(OR(P52&gt;=4,U52&gt;12),VLOOKUP(R52&amp;" "&amp;S52,Tables!$D$143:$F$148,3,FALSE),VLOOKUP(R52&amp;" "&amp;S52,Tables!$A$143:$C$148,3,FALSE))</f>
        <v>0.65</v>
      </c>
      <c r="AT52" s="181">
        <f t="shared" si="40"/>
        <v>1461.8886589011138</v>
      </c>
      <c r="AU52" s="181">
        <f>IF(AD52=5000,(INDEX(Tables!$B$244:$B$263,MAX(1,MIN(IFERROR(MATCH(AF52,Tables!$A$244:$A$263,1),1),ROWS(Tables!$A$244:$A$263)-1)))+(AF52-INDEX(Tables!$A$244:$A$263,MAX(1,MIN(IFERROR(MATCH(AF52,Tables!$A$244:$A$263,1),1),ROWS(Tables!$A$244:$A$263)-1))))*(INDEX(Tables!$B$244:$B$263,MAX(1,MIN(IFERROR(MATCH(AF52,Tables!$A$244:$A$263,1),1),ROWS(Tables!$A$244:$A$263)-1))+1)-INDEX(Tables!$B$244:$B$263,MAX(1,MIN(IFERROR(MATCH(AF52,Tables!$A$244:$A$263,1),1),ROWS(Tables!$A$244:$A$263)-1))))/(INDEX(Tables!$A$244:$A$263,MAX(1,MIN(IFERROR(MATCH(AF52,Tables!$A$244:$A$263,1),1),ROWS(Tables!$A$244:$A$263)-1))+1)-INDEX(Tables!$A$244:$A$263,MAX(1,MIN(IFERROR(MATCH(AF52,Tables!$A$244:$A$263,1),1),ROWS(Tables!$A$244:$A$263)-1))))),IF(AD52=10000,(INDEX(Tables!$D$244:$D$263,MAX(1,MIN(IFERROR(MATCH(AF52,Tables!$C$244:$C$263,1),1),ROWS(Tables!$C$244:$C$263)-1)))+(AF52-INDEX(Tables!$C$244:$C$263,MAX(1,MIN(IFERROR(MATCH(AF52,Tables!$C$244:$C$263,1),1),ROWS(Tables!$C$244:$C$263)-1))))*(INDEX(Tables!$D$244:$D$263,MAX(1,MIN(IFERROR(MATCH(AF52,Tables!$C$244:$C$263,1),1),ROWS(Tables!$C$244:$C$263)-1))+1)-INDEX(Tables!$D$244:$D$263,MAX(1,MIN(IFERROR(MATCH(AF52,Tables!$C$244:$C$263,1),1),ROWS(Tables!$C$244:$C$263)-1))))/(INDEX(Tables!$C$244:$C$263,MAX(1,MIN(IFERROR(MATCH(AF52,Tables!$C$244:$C$263,1),1),ROWS(Tables!$C$244:$C$263)-1))+1)-INDEX(Tables!$C$244:$C$263,MAX(1,MIN(IFERROR(MATCH(AF52,Tables!$C$244:$C$263,1),1),ROWS(Tables!$C$244:$C$263)-1))))),(INDEX(Tables!$F$244:$F$263,MAX(1,MIN(IFERROR(MATCH(AF52,Tables!$E$244:$E$263,1),1),ROWS(Tables!$E$244:$E$263)-1)))+(AF52-INDEX(Tables!$E$244:$E$263,MAX(1,MIN(IFERROR(MATCH(AF52,Tables!$E$244:$E$263,1),1),ROWS(Tables!$E$244:$E$263)-1))))*(INDEX(Tables!$F$244:$F$263,MAX(1,MIN(IFERROR(MATCH(AF52,Tables!$E$244:$E$263,1),1),ROWS(Tables!$E$244:$E$263)-1))+1)-INDEX(Tables!$F$244:$F$263,MAX(1,MIN(IFERROR(MATCH(AF52,Tables!$E$244:$E$263,1),1),ROWS(Tables!$E$244:$E$263)-1))))/(INDEX(Tables!$E$244:$E$263,MAX(1,MIN(IFERROR(MATCH(AF52,Tables!$E$244:$E$263,1),1),ROWS(Tables!$E$244:$E$263)-1))+1)-INDEX(Tables!$E$244:$E$263,MAX(1,MIN(IFERROR(MATCH(AF52,Tables!$E$244:$E$263,1),1),ROWS(Tables!$E$244:$E$263)-1)))))))</f>
        <v>9.8291333333333331</v>
      </c>
      <c r="AV52" s="181">
        <f>IF(P52&lt;6,(INDEX(Tables!$B$260:$B$274,MAX(1,MIN(IFERROR(MATCH(U52,Tables!$A$260:$A$274,1),1),ROWS(Tables!$A$260:$A$274)-1)))+(U52-INDEX(Tables!$A$260:$A$274,MAX(1,MIN(IFERROR(MATCH(U52,Tables!$A$260:$A$274,1),1),ROWS(Tables!$A$260:$A$274)-1))))*(INDEX(Tables!$B$260:$B$274,MAX(1,MIN(IFERROR(MATCH(U52,Tables!$A$260:$A$274,1),1),ROWS(Tables!$A$260:$A$274)-1))+1)-INDEX(Tables!$B$260:$B$274,MAX(1,MIN(IFERROR(MATCH(U52,Tables!$A$260:$A$274,1),1),ROWS(Tables!$A$260:$A$274)-1))))/(INDEX(Tables!$A$260:$A$274,MAX(1,MIN(IFERROR(MATCH(U52,Tables!$A$260:$A$274,1),1),ROWS(Tables!$A$260:$A$274)-1))+1)-INDEX(Tables!$A$260:$A$274,MAX(1,MIN(IFERROR(MATCH(U52,Tables!$A$260:$A$274,1),1),ROWS(Tables!$A$260:$A$274)-1))))),IF(P52&lt;8,(INDEX(Tables!$D$260:$D$274,MAX(1,MIN(IFERROR(MATCH(U52,Tables!$C$260:$C$274,1),1),ROWS(Tables!$C$260:$C$274)-1)))+(U52-INDEX(Tables!$C$260:$C$274,MAX(1,MIN(IFERROR(MATCH(U52,Tables!$C$260:$C$274,1),1),ROWS(Tables!$C$260:$C$274)-1))))*(INDEX(Tables!$D$260:$D$274,MAX(1,MIN(IFERROR(MATCH(U52,Tables!$C$260:$C$274,1),1),ROWS(Tables!$C$260:$C$274)-1))+1)-INDEX(Tables!$D$260:$D$274,MAX(1,MIN(IFERROR(MATCH(U52,Tables!$C$260:$C$274,1),1),ROWS(Tables!$C$260:$C$274)-1))))/(INDEX(Tables!$C$260:$C$274,MAX(1,MIN(IFERROR(MATCH(U52,Tables!$C$260:$C$274,1),1),ROWS(Tables!$C$260:$C$274)-1))+1)-INDEX(Tables!$C$260:$C$274,MAX(1,MIN(IFERROR(MATCH(U52,Tables!$C$260:$C$274,1),1),ROWS(Tables!$C$260:$C$274)-1))))),IF(P52&lt;10,(INDEX(Tables!$F$260:$F$274,MAX(1,MIN(IFERROR(MATCH(U52,Tables!$E$260:$E$274,1),1),ROWS(Tables!$E$260:$E$274)-1)))+(U52-INDEX(Tables!$E$260:$E$274,MAX(1,MIN(IFERROR(MATCH(U52,Tables!$E$260:$E$274,1),1),ROWS(Tables!$E$260:$E$274)-1))))*(INDEX(Tables!$F$260:$F$274,MAX(1,MIN(IFERROR(MATCH(U52,Tables!$E$260:$E$274,1),1),ROWS(Tables!$E$260:$E$274)-1))+1)-INDEX(Tables!$F$260:$F$274,MAX(1,MIN(IFERROR(MATCH(U52,Tables!$E$260:$E$274,1),1),ROWS(Tables!$E$260:$E$274)-1))))/(INDEX(Tables!$E$260:$E$274,MAX(1,MIN(IFERROR(MATCH(U52,Tables!$E$260:$E$274,1),1),ROWS(Tables!$E$260:$E$274)-1))+1)-INDEX(Tables!$E$260:$E$274,MAX(1,MIN(IFERROR(MATCH(U52,Tables!$E$260:$E$274,1),1),ROWS(Tables!$E$260:$E$274)-1))))),(INDEX(Tables!$H$260:$H$274,MAX(1,MIN(IFERROR(MATCH(U52,Tables!$G$260:$G$274,1),1),ROWS(Tables!$G$260:$G$274)-1)))+(U52-INDEX(Tables!$G$260:$G$274,MAX(1,MIN(IFERROR(MATCH(U52,Tables!$G$260:$G$274,1),1),ROWS(Tables!$G$260:$G$274)-1))))*(INDEX(Tables!$H$260:$H$274,MAX(1,MIN(IFERROR(MATCH(U52,Tables!$G$260:$G$274,1),1),ROWS(Tables!$G$260:$G$274)-1))+1)-INDEX(Tables!$H$260:$H$274,MAX(1,MIN(IFERROR(MATCH(U52,Tables!$G$260:$G$274,1),1),ROWS(Tables!$G$260:$G$274)-1))))/(INDEX(Tables!$G$260:$G$274,MAX(1,MIN(IFERROR(MATCH(U52,Tables!$G$260:$G$274,1),1),ROWS(Tables!$G$260:$G$274)-1))+1)-INDEX(Tables!$G$260:$G$274,MAX(1,MIN(IFERROR(MATCH(U52,Tables!$G$260:$G$274,1),1),ROWS(Tables!$G$260:$G$274)-1))))))))</f>
        <v>1.3123750000000001</v>
      </c>
      <c r="AW52" s="181">
        <f t="shared" si="41"/>
        <v>943.27658526562493</v>
      </c>
      <c r="AX52" s="181">
        <f t="shared" si="42"/>
        <v>-387.18857142857144</v>
      </c>
      <c r="AY52" s="181">
        <f t="shared" si="43"/>
        <v>2656.3907378784165</v>
      </c>
      <c r="AZ52" s="181">
        <f t="shared" si="44"/>
        <v>1301.6272089588156</v>
      </c>
      <c r="BA52" s="181">
        <f t="shared" si="45"/>
        <v>14.73</v>
      </c>
      <c r="BB52" s="181">
        <f t="shared" si="46"/>
        <v>2287.9969514583081</v>
      </c>
      <c r="BC52" s="181">
        <f t="shared" si="47"/>
        <v>46800</v>
      </c>
      <c r="BD52" s="181">
        <f>VLOOKUP(V52&amp;" "&amp;J52,Tables!$A$152:$E$239,4,FALSE)</f>
        <v>12000</v>
      </c>
      <c r="BE52" s="181">
        <f>VLOOKUP(V52&amp;" "&amp;J52,Tables!$A$152:$E$239,5,FALSE)</f>
        <v>23000</v>
      </c>
      <c r="BF52" s="181">
        <f t="shared" si="48"/>
        <v>8640</v>
      </c>
      <c r="BG52" s="181">
        <f t="shared" si="49"/>
        <v>16560</v>
      </c>
      <c r="BH52" s="181">
        <f t="shared" si="50"/>
        <v>-394.55357142857144</v>
      </c>
      <c r="BI52" s="181">
        <f t="shared" si="51"/>
        <v>46800</v>
      </c>
      <c r="BJ52" s="181">
        <f t="shared" si="52"/>
        <v>2287.9969514583081</v>
      </c>
      <c r="BK52" s="181">
        <f t="shared" si="53"/>
        <v>46800</v>
      </c>
      <c r="BL52" s="181">
        <f t="shared" si="54"/>
        <v>943.27658526562493</v>
      </c>
      <c r="BM52" s="181">
        <f t="shared" si="55"/>
        <v>8640</v>
      </c>
      <c r="BN52" s="181">
        <f t="shared" si="56"/>
        <v>1461.8886589011138</v>
      </c>
      <c r="BO52" s="181">
        <f t="shared" si="57"/>
        <v>16560</v>
      </c>
      <c r="BP52" t="str">
        <f t="shared" si="58"/>
        <v>Pass</v>
      </c>
      <c r="BQ52" t="str">
        <f t="shared" si="59"/>
        <v>Pass</v>
      </c>
      <c r="BR52" t="str">
        <f t="shared" si="60"/>
        <v>Pass</v>
      </c>
      <c r="BS52" t="str">
        <f t="shared" si="61"/>
        <v>Pass</v>
      </c>
      <c r="BT52" t="str">
        <f t="shared" si="62"/>
        <v>Pass</v>
      </c>
      <c r="BU52" t="str">
        <f t="shared" si="63"/>
        <v>Girth Weld Stress</v>
      </c>
    </row>
    <row r="53" spans="1:73">
      <c r="A53" t="s">
        <v>645</v>
      </c>
      <c r="B53" s="181">
        <v>51</v>
      </c>
      <c r="C53" t="s">
        <v>594</v>
      </c>
      <c r="D53" s="181">
        <v>12</v>
      </c>
      <c r="E53" s="181">
        <v>0.193</v>
      </c>
      <c r="F53" t="s">
        <v>117</v>
      </c>
      <c r="G53" t="s">
        <v>119</v>
      </c>
      <c r="H53" t="s">
        <v>122</v>
      </c>
      <c r="I53" s="181">
        <v>1</v>
      </c>
      <c r="J53" t="s">
        <v>126</v>
      </c>
      <c r="K53" t="s">
        <v>129</v>
      </c>
      <c r="L53" s="181">
        <v>70</v>
      </c>
      <c r="M53" s="181">
        <v>0</v>
      </c>
      <c r="N53" t="s">
        <v>391</v>
      </c>
      <c r="O53" s="181">
        <v>120</v>
      </c>
      <c r="P53" s="181">
        <v>6</v>
      </c>
      <c r="Q53" s="181">
        <v>14.75</v>
      </c>
      <c r="R53" t="s">
        <v>418</v>
      </c>
      <c r="S53" t="s">
        <v>420</v>
      </c>
      <c r="T53" s="181">
        <v>70</v>
      </c>
      <c r="U53" s="181">
        <f>HLOOKUP(D53,'Highway Loading'!$C$155:$AD$156,2,FALSE)</f>
        <v>12.75</v>
      </c>
      <c r="V53" s="181">
        <f>IF(ISBLANK(G53),"",INDEX('Highway Loading'!$C$216:$AG$216,1,MATCH(G53,'Highway Loading'!$C$215:$AG$215,0)))</f>
        <v>65000</v>
      </c>
      <c r="W53" s="181">
        <f>INDEX('Highway Loading'!$I$245:$L$253,MATCH(H53,'Highway Loading'!$H$245:$H$253,0),MATCH(I53,'Highway Loading'!$I$244:$L$244,0))</f>
        <v>0.72</v>
      </c>
      <c r="X53" s="181">
        <f t="shared" si="32"/>
        <v>1</v>
      </c>
      <c r="Y53" s="181">
        <f>VLOOKUP(K53,'Highway Loading'!$B$283:$E$292,2,FALSE)</f>
        <v>29000000</v>
      </c>
      <c r="Z53" s="181">
        <f>VLOOKUP(K53,'Highway Loading'!$B$283:$E$292,3,FALSE)</f>
        <v>0.3</v>
      </c>
      <c r="AA53" s="181">
        <f>VLOOKUP(K53,'Highway Loading'!$B$283:$E$292,4,FALSE)</f>
        <v>6.4999999999999996E-6</v>
      </c>
      <c r="AB53" s="181">
        <f t="shared" si="33"/>
        <v>1</v>
      </c>
      <c r="AC53" s="181">
        <f>VLOOKUP(N53,'Highway Loading'!$B$256:$D$261,2,FALSE)</f>
        <v>1000</v>
      </c>
      <c r="AD53" s="181">
        <f>VLOOKUP(N53,'Highway Loading'!$B$256:$D$261,3,FALSE)</f>
        <v>10000</v>
      </c>
      <c r="AE53" s="181">
        <f>VLOOKUP(S53,'Highway Loading'!$B$340:$C$341,2,FALSE)</f>
        <v>12000</v>
      </c>
      <c r="AF53" s="181">
        <f t="shared" si="34"/>
        <v>1.5137254901960785E-2</v>
      </c>
      <c r="AG53" s="181">
        <f t="shared" si="35"/>
        <v>4.8813559322033901</v>
      </c>
      <c r="AH53" s="181">
        <f t="shared" si="36"/>
        <v>1.1568627450980393</v>
      </c>
      <c r="AI53" s="181">
        <f t="shared" si="37"/>
        <v>0</v>
      </c>
      <c r="AJ53" s="181">
        <f t="shared" si="38"/>
        <v>46800</v>
      </c>
      <c r="AK53" s="181">
        <f>IF(AC53=200,(INDEX(Tables!$B$17:$B$38,MAX(1,MIN(IFERROR(MATCH(AF53,Tables!$A$17:$A$38,1),1),ROWS(Tables!$A$17:$A$38)-1)))+(AF53-INDEX(Tables!$A$17:$A$38,MAX(1,MIN(IFERROR(MATCH(AF53,Tables!$A$17:$A$38,1),1),ROWS(Tables!$A$17:$A$38)-1))))*(INDEX(Tables!$B$17:$B$38,MAX(1,MIN(IFERROR(MATCH(AF53,Tables!$A$17:$A$38,1),1),ROWS(Tables!$A$17:$A$38)-1))+1)-INDEX(Tables!$B$17:$B$38,MAX(1,MIN(IFERROR(MATCH(AF53,Tables!$A$17:$A$38,1),1),ROWS(Tables!$A$17:$A$38)-1))))/(INDEX(Tables!$A$17:$A$38,MAX(1,MIN(IFERROR(MATCH(AF53,Tables!$A$17:$A$38,1),1),ROWS(Tables!$A$17:$A$38)-1))+1)-INDEX(Tables!$A$17:$A$38,MAX(1,MIN(IFERROR(MATCH(AF53,Tables!$A$17:$A$38,1),1),ROWS(Tables!$A$17:$A$38)-1))))),IF(AC53=500,(INDEX(Tables!$D$17:$D$38,MAX(1,MIN(IFERROR(MATCH(AF53,Tables!$C$17:$C$38,1),1),ROWS(Tables!$C$17:$C$38)-1)))+(AF53-INDEX(Tables!$C$17:$C$38,MAX(1,MIN(IFERROR(MATCH(AF53,Tables!$C$17:$C$38,1),1),ROWS(Tables!$C$17:$C$38)-1))))*(INDEX(Tables!$D$17:$D$38,MAX(1,MIN(IFERROR(MATCH(AF53,Tables!$C$17:$C$38,1),1),ROWS(Tables!$C$17:$C$38)-1))+1)-INDEX(Tables!$D$17:$D$38,MAX(1,MIN(IFERROR(MATCH(AF53,Tables!$C$17:$C$38,1),1),ROWS(Tables!$C$17:$C$38)-1))))/(INDEX(Tables!$C$17:$C$38,MAX(1,MIN(IFERROR(MATCH(AF53,Tables!$C$17:$C$38,1),1),ROWS(Tables!$C$17:$C$38)-1))+1)-INDEX(Tables!$C$17:$C$38,MAX(1,MIN(IFERROR(MATCH(AF53,Tables!$C$17:$C$38,1),1),ROWS(Tables!$C$17:$C$38)-1))))),IF(AC53=1000,(INDEX(Tables!$F$17:$F$38,MAX(1,MIN(IFERROR(MATCH(AF53,Tables!$E$17:$E$38,1),1),ROWS(Tables!$E$17:$E$38)-1)))+(AF53-INDEX(Tables!$E$17:$E$38,MAX(1,MIN(IFERROR(MATCH(AF53,Tables!$E$17:$E$38,1),1),ROWS(Tables!$E$17:$E$38)-1))))*(INDEX(Tables!$F$17:$F$38,MAX(1,MIN(IFERROR(MATCH(AF53,Tables!$E$17:$E$38,1),1),ROWS(Tables!$E$17:$E$38)-1))+1)-INDEX(Tables!$F$17:$F$38,MAX(1,MIN(IFERROR(MATCH(AF53,Tables!$E$17:$E$38,1),1),ROWS(Tables!$E$17:$E$38)-1))))/(INDEX(Tables!$E$17:$E$38,MAX(1,MIN(IFERROR(MATCH(AF53,Tables!$E$17:$E$38,1),1),ROWS(Tables!$E$17:$E$38)-1))+1)-INDEX(Tables!$E$17:$E$38,MAX(1,MIN(IFERROR(MATCH(AF53,Tables!$E$17:$E$38,1),1),ROWS(Tables!$E$17:$E$38)-1))))),(INDEX(Tables!$H$17:$H$38,MAX(1,MIN(IFERROR(MATCH(AF53,Tables!$G$17:$G$38,1),1),ROWS(Tables!$G$17:$G$38)-1)))+(AF53-INDEX(Tables!$G$17:$G$38,MAX(1,MIN(IFERROR(MATCH(AF53,Tables!$G$17:$G$38,1),1),ROWS(Tables!$G$17:$G$38)-1))))*(INDEX(Tables!$H$17:$H$38,MAX(1,MIN(IFERROR(MATCH(AF53,Tables!$G$17:$G$38,1),1),ROWS(Tables!$G$17:$G$38)-1))+1)-INDEX(Tables!$H$17:$H$38,MAX(1,MIN(IFERROR(MATCH(AF53,Tables!$G$17:$G$38,1),1),ROWS(Tables!$G$17:$G$38)-1))))/(INDEX(Tables!$G$17:$G$38,MAX(1,MIN(IFERROR(MATCH(AF53,Tables!$G$17:$G$38,1),1),ROWS(Tables!$G$17:$G$38)-1))+1)-INDEX(Tables!$G$17:$G$38,MAX(1,MIN(IFERROR(MATCH(AF53,Tables!$G$17:$G$38,1),1),ROWS(Tables!$G$17:$G$38)-1))))))))</f>
        <v>3235.1960784313724</v>
      </c>
      <c r="AL53" s="181">
        <f>IF(AC53&lt;1000,(INDEX(Tables!$B$43:$B$76,MAX(1,MIN(IFERROR(MATCH(AG53,Tables!$A$43:$A$76,1),1),ROWS(Tables!$A$43:$A$76)-1)))+(AG53-INDEX(Tables!$A$43:$A$76,MAX(1,MIN(IFERROR(MATCH(AG53,Tables!$A$43:$A$76,1),1),ROWS(Tables!$A$43:$A$76)-1))))*(INDEX(Tables!$B$43:$B$76,MAX(1,MIN(IFERROR(MATCH(AG53,Tables!$A$43:$A$76,1),1),ROWS(Tables!$A$43:$A$76)-1))+1)-INDEX(Tables!$B$43:$B$76,MAX(1,MIN(IFERROR(MATCH(AG53,Tables!$A$43:$A$76,1),1),ROWS(Tables!$A$43:$A$76)-1))))/(INDEX(Tables!$A$43:$A$76,MAX(1,MIN(IFERROR(MATCH(AG53,Tables!$A$43:$A$76,1),1),ROWS(Tables!$A$43:$A$76)-1))+1)-INDEX(Tables!$A$43:$A$76,MAX(1,MIN(IFERROR(MATCH(AG53,Tables!$A$43:$A$76,1),1),ROWS(Tables!$A$43:$A$76)-1))))),(INDEX(Tables!$D$43:$D$76,MAX(1,MIN(IFERROR(MATCH(AG53,Tables!$C$43:$C$76,1),1),ROWS(Tables!$C$43:$C$76)-1)))+(AG53-INDEX(Tables!$C$43:$C$76,MAX(1,MIN(IFERROR(MATCH(AG53,Tables!$C$43:$C$76,1),1),ROWS(Tables!$C$43:$C$76)-1))))*(INDEX(Tables!$D$43:$D$76,MAX(1,MIN(IFERROR(MATCH(AG53,Tables!$C$43:$C$76,1),1),ROWS(Tables!$C$43:$C$76)-1))+1)-INDEX(Tables!$D$43:$D$76,MAX(1,MIN(IFERROR(MATCH(AG53,Tables!$C$43:$C$76,1),1),ROWS(Tables!$C$43:$C$76)-1))))/(INDEX(Tables!$C$43:$C$76,MAX(1,MIN(IFERROR(MATCH(AG53,Tables!$C$43:$C$76,1),1),ROWS(Tables!$C$43:$C$76)-1))+1)-INDEX(Tables!$C$43:$C$76,MAX(1,MIN(IFERROR(MATCH(AG53,Tables!$C$43:$C$76,1),1),ROWS(Tables!$C$43:$C$76)-1))))))</f>
        <v>0.95557627118644062</v>
      </c>
      <c r="AM53" s="181">
        <f>(INDEX(Tables!$B$80:$B$87,MAX(1,MIN(IFERROR(MATCH(AH53,Tables!$A$80:$A$87,1),1),ROWS(Tables!$A$80:$A$87)-1)))+(AH53-INDEX(Tables!$A$80:$A$87,MAX(1,MIN(IFERROR(MATCH(AH53,Tables!$A$80:$A$87,1),1),ROWS(Tables!$A$80:$A$87)-1))))*(INDEX(Tables!$B$80:$B$87,MAX(1,MIN(IFERROR(MATCH(AH53,Tables!$A$80:$A$87,1),1),ROWS(Tables!$A$80:$A$87)-1))+1)-INDEX(Tables!$B$80:$B$87,MAX(1,MIN(IFERROR(MATCH(AH53,Tables!$A$80:$A$87,1),1),ROWS(Tables!$A$80:$A$87)-1))))/(INDEX(Tables!$A$80:$A$87,MAX(1,MIN(IFERROR(MATCH(AH53,Tables!$A$80:$A$87,1),1),ROWS(Tables!$A$80:$A$87)-1))+1)-INDEX(Tables!$A$80:$A$87,MAX(1,MIN(IFERROR(MATCH(AH53,Tables!$A$80:$A$87,1),1),ROWS(Tables!$A$80:$A$87)-1)))))</f>
        <v>1.1041078431372553</v>
      </c>
      <c r="AN53" s="181">
        <f t="shared" si="39"/>
        <v>3022.2135746464178</v>
      </c>
      <c r="AO53" s="181">
        <f>(INDEX(Tables!$B$91:$B$94,MAX(1,MIN(IFERROR(MATCH(P53,Tables!$A$91:$A$94,1),1),ROWS(Tables!$A$91:$A$94)-1)))+(P53-INDEX(Tables!$A$91:$A$94,MAX(1,MIN(IFERROR(MATCH(P53,Tables!$A$91:$A$94,1),1),ROWS(Tables!$A$91:$A$94)-1))))*(INDEX(Tables!$B$91:$B$94,MAX(1,MIN(IFERROR(MATCH(P53,Tables!$A$91:$A$94,1),1),ROWS(Tables!$A$91:$A$94)-1))+1)-INDEX(Tables!$B$91:$B$94,MAX(1,MIN(IFERROR(MATCH(P53,Tables!$A$91:$A$94,1),1),ROWS(Tables!$A$91:$A$94)-1))))/(INDEX(Tables!$A$91:$A$94,MAX(1,MIN(IFERROR(MATCH(P53,Tables!$A$91:$A$94,1),1),ROWS(Tables!$A$91:$A$94)-1))+1)-INDEX(Tables!$A$91:$A$94,MAX(1,MIN(IFERROR(MATCH(P53,Tables!$A$91:$A$94,1),1),ROWS(Tables!$A$91:$A$94)-1)))))</f>
        <v>1.476219512195122</v>
      </c>
      <c r="AP53" s="181">
        <f>IF(AD53=5000,(INDEX(Tables!$B$99:$B$118,MAX(1,MIN(IFERROR(MATCH(AF53,Tables!$A$99:$A$118,1),1),ROWS(Tables!$A$99:$A$118)-1)))+(AF53-INDEX(Tables!$A$99:$A$118,MAX(1,MIN(IFERROR(MATCH(AF53,Tables!$A$99:$A$118,1),1),ROWS(Tables!$A$99:$A$118)-1))))*(INDEX(Tables!$B$99:$B$118,MAX(1,MIN(IFERROR(MATCH(AF53,Tables!$A$99:$A$118,1),1),ROWS(Tables!$A$99:$A$118)-1))+1)-INDEX(Tables!$B$99:$B$118,MAX(1,MIN(IFERROR(MATCH(AF53,Tables!$A$99:$A$118,1),1),ROWS(Tables!$A$99:$A$118)-1))))/(INDEX(Tables!$A$99:$A$118,MAX(1,MIN(IFERROR(MATCH(AF53,Tables!$A$99:$A$118,1),1),ROWS(Tables!$A$99:$A$118)-1))+1)-INDEX(Tables!$A$99:$A$118,MAX(1,MIN(IFERROR(MATCH(AF53,Tables!$A$99:$A$118,1),1),ROWS(Tables!$A$99:$A$118)-1))))),IF(AD53=10000,(INDEX(Tables!$D$99:$D$118,MAX(1,MIN(IFERROR(MATCH(AF53,Tables!$C$99:$C$118,1),1),ROWS(Tables!$C$99:$C$118)-1)))+(AF53-INDEX(Tables!$C$99:$C$118,MAX(1,MIN(IFERROR(MATCH(AF53,Tables!$C$99:$C$118,1),1),ROWS(Tables!$C$99:$C$118)-1))))*(INDEX(Tables!$D$99:$D$118,MAX(1,MIN(IFERROR(MATCH(AF53,Tables!$C$99:$C$118,1),1),ROWS(Tables!$C$99:$C$118)-1))+1)-INDEX(Tables!$D$99:$D$118,MAX(1,MIN(IFERROR(MATCH(AF53,Tables!$C$99:$C$118,1),1),ROWS(Tables!$C$99:$C$118)-1))))/(INDEX(Tables!$C$99:$C$118,MAX(1,MIN(IFERROR(MATCH(AF53,Tables!$C$99:$C$118,1),1),ROWS(Tables!$C$99:$C$118)-1))+1)-INDEX(Tables!$C$99:$C$118,MAX(1,MIN(IFERROR(MATCH(AF53,Tables!$C$99:$C$118,1),1),ROWS(Tables!$C$99:$C$118)-1))))),(INDEX(Tables!$F$99:$F$118,MAX(1,MIN(IFERROR(MATCH(AF53,Tables!$E$99:$E$118,1),1),ROWS(Tables!$E$99:$E$118)-1)))+(AF53-INDEX(Tables!$E$99:$E$118,MAX(1,MIN(IFERROR(MATCH(AF53,Tables!$E$99:$E$118,1),1),ROWS(Tables!$E$99:$E$118)-1))))*(INDEX(Tables!$F$99:$F$118,MAX(1,MIN(IFERROR(MATCH(AF53,Tables!$E$99:$E$118,1),1),ROWS(Tables!$E$99:$E$118)-1))+1)-INDEX(Tables!$F$99:$F$118,MAX(1,MIN(IFERROR(MATCH(AF53,Tables!$E$99:$E$118,1),1),ROWS(Tables!$E$99:$E$118)-1))))/(INDEX(Tables!$E$99:$E$118,MAX(1,MIN(IFERROR(MATCH(AF53,Tables!$E$99:$E$118,1),1),ROWS(Tables!$E$99:$E$118)-1))+1)-INDEX(Tables!$E$99:$E$118,MAX(1,MIN(IFERROR(MATCH(AF53,Tables!$E$99:$E$118,1),1),ROWS(Tables!$E$99:$E$118)-1)))))))</f>
        <v>14.719467653728158</v>
      </c>
      <c r="AQ53" s="181">
        <f>IF(P53&lt;6,(INDEX(Tables!$B$123:$B$138,MAX(1,MIN(IFERROR(MATCH(U53,Tables!$A$123:$A$138,1),1),ROWS(Tables!$A$123:$A$138)-1)))+(U53-INDEX(Tables!$A$123:$A$138,MAX(1,MIN(IFERROR(MATCH(U53,Tables!$A$123:$A$138,1),1),ROWS(Tables!$A$123:$A$138)-1))))*(INDEX(Tables!$B$123:$B$138,MAX(1,MIN(IFERROR(MATCH(U53,Tables!$A$123:$A$138,1),1),ROWS(Tables!$A$123:$A$138)-1))+1)-INDEX(Tables!$B$123:$B$138,MAX(1,MIN(IFERROR(MATCH(U53,Tables!$A$123:$A$138,1),1),ROWS(Tables!$A$123:$A$138)-1))))/(INDEX(Tables!$A$123:$A$138,MAX(1,MIN(IFERROR(MATCH(U53,Tables!$A$123:$A$138,1),1),ROWS(Tables!$A$123:$A$138)-1))+1)-INDEX(Tables!$A$123:$A$138,MAX(1,MIN(IFERROR(MATCH(U53,Tables!$A$123:$A$138,1),1),ROWS(Tables!$A$123:$A$138)-1))))),IF(P53&lt;8,(INDEX(Tables!$D$123:$D$138,MAX(1,MIN(IFERROR(MATCH(U53,Tables!$C$123:$C$138,1),1),ROWS(Tables!$C$123:$C$138)-1)))+(U53-INDEX(Tables!$C$123:$C$138,MAX(1,MIN(IFERROR(MATCH(U53,Tables!$C$123:$C$138,1),1),ROWS(Tables!$C$123:$C$138)-1))))*(INDEX(Tables!$D$123:$D$138,MAX(1,MIN(IFERROR(MATCH(U53,Tables!$C$123:$C$138,1),1),ROWS(Tables!$C$123:$C$138)-1))+1)-INDEX(Tables!$D$123:$D$138,MAX(1,MIN(IFERROR(MATCH(U53,Tables!$C$123:$C$138,1),1),ROWS(Tables!$C$123:$C$138)-1))))/(INDEX(Tables!$C$123:$C$138,MAX(1,MIN(IFERROR(MATCH(U53,Tables!$C$123:$C$138,1),1),ROWS(Tables!$C$123:$C$138)-1))+1)-INDEX(Tables!$C$123:$C$138,MAX(1,MIN(IFERROR(MATCH(U53,Tables!$C$123:$C$138,1),1),ROWS(Tables!$C$123:$C$138)-1))))),IF(P53&lt;10,(INDEX(Tables!$F$123:$F$138,MAX(1,MIN(IFERROR(MATCH(U53,Tables!$E$123:$E$138,1),1),ROWS(Tables!$E$123:$E$138)-1)))+(U53-INDEX(Tables!$E$123:$E$138,MAX(1,MIN(IFERROR(MATCH(U53,Tables!$E$123:$E$138,1),1),ROWS(Tables!$E$123:$E$138)-1))))*(INDEX(Tables!$F$123:$F$138,MAX(1,MIN(IFERROR(MATCH(U53,Tables!$E$123:$E$138,1),1),ROWS(Tables!$E$123:$E$138)-1))+1)-INDEX(Tables!$F$123:$F$138,MAX(1,MIN(IFERROR(MATCH(U53,Tables!$E$123:$E$138,1),1),ROWS(Tables!$E$123:$E$138)-1))))/(INDEX(Tables!$E$123:$E$138,MAX(1,MIN(IFERROR(MATCH(U53,Tables!$E$123:$E$138,1),1),ROWS(Tables!$E$123:$E$138)-1))+1)-INDEX(Tables!$E$123:$E$138,MAX(1,MIN(IFERROR(MATCH(U53,Tables!$E$123:$E$138,1),1),ROWS(Tables!$E$123:$E$138)-1))))),(INDEX(Tables!$H$123:$H$138,MAX(1,MIN(IFERROR(MATCH(U53,Tables!$G$123:$G$138,1),1),ROWS(Tables!$G$123:$G$138)-1)))+(U53-INDEX(Tables!$G$123:$G$138,MAX(1,MIN(IFERROR(MATCH(U53,Tables!$G$123:$G$138,1),1),ROWS(Tables!$G$123:$G$138)-1))))*(INDEX(Tables!$H$123:$H$138,MAX(1,MIN(IFERROR(MATCH(U53,Tables!$G$123:$G$138,1),1),ROWS(Tables!$G$123:$G$138)-1))+1)-INDEX(Tables!$H$123:$H$138,MAX(1,MIN(IFERROR(MATCH(U53,Tables!$G$123:$G$138,1),1),ROWS(Tables!$G$123:$G$138)-1))))/(INDEX(Tables!$G$123:$G$138,MAX(1,MIN(IFERROR(MATCH(U53,Tables!$G$123:$G$138,1),1),ROWS(Tables!$G$123:$G$138)-1))+1)-INDEX(Tables!$G$123:$G$138,MAX(1,MIN(IFERROR(MATCH(U53,Tables!$G$123:$G$138,1),1),ROWS(Tables!$G$123:$G$138)-1))))))))</f>
        <v>1.01675</v>
      </c>
      <c r="AR53" s="181">
        <f>IF(OR(P53&gt;=4,U53&gt;12),VLOOKUP(R53&amp;" "&amp;S53,Tables!$D$143:$F$148,2,FALSE),VLOOKUP(R53&amp;" "&amp;S53,Tables!$A$143:$C$148,2,FALSE))</f>
        <v>0.9</v>
      </c>
      <c r="AS53" s="181">
        <f>IF(OR(P53&gt;=4,U53&gt;12),VLOOKUP(R53&amp;" "&amp;S53,Tables!$D$143:$F$148,3,FALSE),VLOOKUP(R53&amp;" "&amp;S53,Tables!$A$143:$C$148,3,FALSE))</f>
        <v>0.65</v>
      </c>
      <c r="AT53" s="181">
        <f t="shared" si="40"/>
        <v>1077.0400328673893</v>
      </c>
      <c r="AU53" s="181">
        <f>IF(AD53=5000,(INDEX(Tables!$B$244:$B$263,MAX(1,MIN(IFERROR(MATCH(AF53,Tables!$A$244:$A$263,1),1),ROWS(Tables!$A$244:$A$263)-1)))+(AF53-INDEX(Tables!$A$244:$A$263,MAX(1,MIN(IFERROR(MATCH(AF53,Tables!$A$244:$A$263,1),1),ROWS(Tables!$A$244:$A$263)-1))))*(INDEX(Tables!$B$244:$B$263,MAX(1,MIN(IFERROR(MATCH(AF53,Tables!$A$244:$A$263,1),1),ROWS(Tables!$A$244:$A$263)-1))+1)-INDEX(Tables!$B$244:$B$263,MAX(1,MIN(IFERROR(MATCH(AF53,Tables!$A$244:$A$263,1),1),ROWS(Tables!$A$244:$A$263)-1))))/(INDEX(Tables!$A$244:$A$263,MAX(1,MIN(IFERROR(MATCH(AF53,Tables!$A$244:$A$263,1),1),ROWS(Tables!$A$244:$A$263)-1))+1)-INDEX(Tables!$A$244:$A$263,MAX(1,MIN(IFERROR(MATCH(AF53,Tables!$A$244:$A$263,1),1),ROWS(Tables!$A$244:$A$263)-1))))),IF(AD53=10000,(INDEX(Tables!$D$244:$D$263,MAX(1,MIN(IFERROR(MATCH(AF53,Tables!$C$244:$C$263,1),1),ROWS(Tables!$C$244:$C$263)-1)))+(AF53-INDEX(Tables!$C$244:$C$263,MAX(1,MIN(IFERROR(MATCH(AF53,Tables!$C$244:$C$263,1),1),ROWS(Tables!$C$244:$C$263)-1))))*(INDEX(Tables!$D$244:$D$263,MAX(1,MIN(IFERROR(MATCH(AF53,Tables!$C$244:$C$263,1),1),ROWS(Tables!$C$244:$C$263)-1))+1)-INDEX(Tables!$D$244:$D$263,MAX(1,MIN(IFERROR(MATCH(AF53,Tables!$C$244:$C$263,1),1),ROWS(Tables!$C$244:$C$263)-1))))/(INDEX(Tables!$C$244:$C$263,MAX(1,MIN(IFERROR(MATCH(AF53,Tables!$C$244:$C$263,1),1),ROWS(Tables!$C$244:$C$263)-1))+1)-INDEX(Tables!$C$244:$C$263,MAX(1,MIN(IFERROR(MATCH(AF53,Tables!$C$244:$C$263,1),1),ROWS(Tables!$C$244:$C$263)-1))))),(INDEX(Tables!$F$244:$F$263,MAX(1,MIN(IFERROR(MATCH(AF53,Tables!$E$244:$E$263,1),1),ROWS(Tables!$E$244:$E$263)-1)))+(AF53-INDEX(Tables!$E$244:$E$263,MAX(1,MIN(IFERROR(MATCH(AF53,Tables!$E$244:$E$263,1),1),ROWS(Tables!$E$244:$E$263)-1))))*(INDEX(Tables!$F$244:$F$263,MAX(1,MIN(IFERROR(MATCH(AF53,Tables!$E$244:$E$263,1),1),ROWS(Tables!$E$244:$E$263)-1))+1)-INDEX(Tables!$F$244:$F$263,MAX(1,MIN(IFERROR(MATCH(AF53,Tables!$E$244:$E$263,1),1),ROWS(Tables!$E$244:$E$263)-1))))/(INDEX(Tables!$E$244:$E$263,MAX(1,MIN(IFERROR(MATCH(AF53,Tables!$E$244:$E$263,1),1),ROWS(Tables!$E$244:$E$263)-1))+1)-INDEX(Tables!$E$244:$E$263,MAX(1,MIN(IFERROR(MATCH(AF53,Tables!$E$244:$E$263,1),1),ROWS(Tables!$E$244:$E$263)-1)))))))</f>
        <v>9.9936039215686279</v>
      </c>
      <c r="AV53" s="181">
        <f>IF(P53&lt;6,(INDEX(Tables!$B$260:$B$274,MAX(1,MIN(IFERROR(MATCH(U53,Tables!$A$260:$A$274,1),1),ROWS(Tables!$A$260:$A$274)-1)))+(U53-INDEX(Tables!$A$260:$A$274,MAX(1,MIN(IFERROR(MATCH(U53,Tables!$A$260:$A$274,1),1),ROWS(Tables!$A$260:$A$274)-1))))*(INDEX(Tables!$B$260:$B$274,MAX(1,MIN(IFERROR(MATCH(U53,Tables!$A$260:$A$274,1),1),ROWS(Tables!$A$260:$A$274)-1))+1)-INDEX(Tables!$B$260:$B$274,MAX(1,MIN(IFERROR(MATCH(U53,Tables!$A$260:$A$274,1),1),ROWS(Tables!$A$260:$A$274)-1))))/(INDEX(Tables!$A$260:$A$274,MAX(1,MIN(IFERROR(MATCH(U53,Tables!$A$260:$A$274,1),1),ROWS(Tables!$A$260:$A$274)-1))+1)-INDEX(Tables!$A$260:$A$274,MAX(1,MIN(IFERROR(MATCH(U53,Tables!$A$260:$A$274,1),1),ROWS(Tables!$A$260:$A$274)-1))))),IF(P53&lt;8,(INDEX(Tables!$D$260:$D$274,MAX(1,MIN(IFERROR(MATCH(U53,Tables!$C$260:$C$274,1),1),ROWS(Tables!$C$260:$C$274)-1)))+(U53-INDEX(Tables!$C$260:$C$274,MAX(1,MIN(IFERROR(MATCH(U53,Tables!$C$260:$C$274,1),1),ROWS(Tables!$C$260:$C$274)-1))))*(INDEX(Tables!$D$260:$D$274,MAX(1,MIN(IFERROR(MATCH(U53,Tables!$C$260:$C$274,1),1),ROWS(Tables!$C$260:$C$274)-1))+1)-INDEX(Tables!$D$260:$D$274,MAX(1,MIN(IFERROR(MATCH(U53,Tables!$C$260:$C$274,1),1),ROWS(Tables!$C$260:$C$274)-1))))/(INDEX(Tables!$C$260:$C$274,MAX(1,MIN(IFERROR(MATCH(U53,Tables!$C$260:$C$274,1),1),ROWS(Tables!$C$260:$C$274)-1))+1)-INDEX(Tables!$C$260:$C$274,MAX(1,MIN(IFERROR(MATCH(U53,Tables!$C$260:$C$274,1),1),ROWS(Tables!$C$260:$C$274)-1))))),IF(P53&lt;10,(INDEX(Tables!$F$260:$F$274,MAX(1,MIN(IFERROR(MATCH(U53,Tables!$E$260:$E$274,1),1),ROWS(Tables!$E$260:$E$274)-1)))+(U53-INDEX(Tables!$E$260:$E$274,MAX(1,MIN(IFERROR(MATCH(U53,Tables!$E$260:$E$274,1),1),ROWS(Tables!$E$260:$E$274)-1))))*(INDEX(Tables!$F$260:$F$274,MAX(1,MIN(IFERROR(MATCH(U53,Tables!$E$260:$E$274,1),1),ROWS(Tables!$E$260:$E$274)-1))+1)-INDEX(Tables!$F$260:$F$274,MAX(1,MIN(IFERROR(MATCH(U53,Tables!$E$260:$E$274,1),1),ROWS(Tables!$E$260:$E$274)-1))))/(INDEX(Tables!$E$260:$E$274,MAX(1,MIN(IFERROR(MATCH(U53,Tables!$E$260:$E$274,1),1),ROWS(Tables!$E$260:$E$274)-1))+1)-INDEX(Tables!$E$260:$E$274,MAX(1,MIN(IFERROR(MATCH(U53,Tables!$E$260:$E$274,1),1),ROWS(Tables!$E$260:$E$274)-1))))),(INDEX(Tables!$H$260:$H$274,MAX(1,MIN(IFERROR(MATCH(U53,Tables!$G$260:$G$274,1),1),ROWS(Tables!$G$260:$G$274)-1)))+(U53-INDEX(Tables!$G$260:$G$274,MAX(1,MIN(IFERROR(MATCH(U53,Tables!$G$260:$G$274,1),1),ROWS(Tables!$G$260:$G$274)-1))))*(INDEX(Tables!$H$260:$H$274,MAX(1,MIN(IFERROR(MATCH(U53,Tables!$G$260:$G$274,1),1),ROWS(Tables!$G$260:$G$274)-1))+1)-INDEX(Tables!$H$260:$H$274,MAX(1,MIN(IFERROR(MATCH(U53,Tables!$G$260:$G$274,1),1),ROWS(Tables!$G$260:$G$274)-1))))/(INDEX(Tables!$G$260:$G$274,MAX(1,MIN(IFERROR(MATCH(U53,Tables!$G$260:$G$274,1),1),ROWS(Tables!$G$260:$G$274)-1))+1)-INDEX(Tables!$G$260:$G$274,MAX(1,MIN(IFERROR(MATCH(U53,Tables!$G$260:$G$274,1),1),ROWS(Tables!$G$260:$G$274)-1))))))))</f>
        <v>1.0024999999999999</v>
      </c>
      <c r="AW53" s="181">
        <f t="shared" si="41"/>
        <v>720.9947057105677</v>
      </c>
      <c r="AX53" s="181">
        <f t="shared" si="42"/>
        <v>0</v>
      </c>
      <c r="AY53" s="181">
        <f t="shared" si="43"/>
        <v>4099.2536075138069</v>
      </c>
      <c r="AZ53" s="181">
        <f t="shared" si="44"/>
        <v>1627.658778104493</v>
      </c>
      <c r="BA53" s="181">
        <f t="shared" si="45"/>
        <v>0</v>
      </c>
      <c r="BB53" s="181">
        <f t="shared" si="46"/>
        <v>3575.0478484503133</v>
      </c>
      <c r="BC53" s="181">
        <f t="shared" si="47"/>
        <v>46800</v>
      </c>
      <c r="BD53" s="181">
        <f>VLOOKUP(V53&amp;" "&amp;J53,Tables!$A$152:$E$239,4,FALSE)</f>
        <v>12000</v>
      </c>
      <c r="BE53" s="181">
        <f>VLOOKUP(V53&amp;" "&amp;J53,Tables!$A$152:$E$239,5,FALSE)</f>
        <v>23000</v>
      </c>
      <c r="BF53" s="181">
        <f t="shared" si="48"/>
        <v>8640</v>
      </c>
      <c r="BG53" s="181">
        <f t="shared" si="49"/>
        <v>16560</v>
      </c>
      <c r="BH53" s="181">
        <f t="shared" si="50"/>
        <v>0</v>
      </c>
      <c r="BI53" s="181">
        <f t="shared" si="51"/>
        <v>46800</v>
      </c>
      <c r="BJ53" s="181">
        <f t="shared" si="52"/>
        <v>3575.0478484503133</v>
      </c>
      <c r="BK53" s="181">
        <f t="shared" si="53"/>
        <v>46800</v>
      </c>
      <c r="BL53" s="181">
        <f t="shared" si="54"/>
        <v>720.9947057105677</v>
      </c>
      <c r="BM53" s="181">
        <f t="shared" si="55"/>
        <v>8640</v>
      </c>
      <c r="BN53" s="181">
        <f t="shared" si="56"/>
        <v>1077.0400328673893</v>
      </c>
      <c r="BO53" s="181">
        <f t="shared" si="57"/>
        <v>16560</v>
      </c>
      <c r="BP53" t="str">
        <f t="shared" si="58"/>
        <v>Pass</v>
      </c>
      <c r="BQ53" t="str">
        <f t="shared" si="59"/>
        <v>Pass</v>
      </c>
      <c r="BR53" t="str">
        <f t="shared" si="60"/>
        <v>Pass</v>
      </c>
      <c r="BS53" t="str">
        <f t="shared" si="61"/>
        <v>Pass</v>
      </c>
      <c r="BT53" t="str">
        <f t="shared" si="62"/>
        <v>Pass</v>
      </c>
      <c r="BU53" t="str">
        <f t="shared" si="63"/>
        <v>Girth Weld Stress</v>
      </c>
    </row>
    <row r="54" spans="1:73">
      <c r="A54" t="s">
        <v>646</v>
      </c>
      <c r="B54" s="181">
        <v>52</v>
      </c>
      <c r="C54" t="s">
        <v>594</v>
      </c>
      <c r="D54" s="181">
        <v>16</v>
      </c>
      <c r="E54" s="181">
        <v>0.20100000000000001</v>
      </c>
      <c r="F54" t="s">
        <v>117</v>
      </c>
      <c r="G54" t="s">
        <v>119</v>
      </c>
      <c r="H54" t="s">
        <v>122</v>
      </c>
      <c r="I54" s="181">
        <v>1</v>
      </c>
      <c r="J54" t="s">
        <v>126</v>
      </c>
      <c r="K54" t="s">
        <v>129</v>
      </c>
      <c r="L54" s="181">
        <v>70</v>
      </c>
      <c r="M54" s="181">
        <v>0</v>
      </c>
      <c r="N54" t="s">
        <v>391</v>
      </c>
      <c r="O54" s="181">
        <v>120</v>
      </c>
      <c r="P54" s="181">
        <v>8</v>
      </c>
      <c r="Q54" s="181">
        <v>18</v>
      </c>
      <c r="R54" t="s">
        <v>418</v>
      </c>
      <c r="S54" t="s">
        <v>420</v>
      </c>
      <c r="T54" s="181">
        <v>70</v>
      </c>
      <c r="U54" s="181">
        <f>HLOOKUP(D54,'Highway Loading'!$C$155:$AD$156,2,FALSE)</f>
        <v>16</v>
      </c>
      <c r="V54" s="181">
        <f>IF(ISBLANK(G54),"",INDEX('Highway Loading'!$C$216:$AG$216,1,MATCH(G54,'Highway Loading'!$C$215:$AG$215,0)))</f>
        <v>65000</v>
      </c>
      <c r="W54" s="181">
        <f>INDEX('Highway Loading'!$I$245:$L$253,MATCH(H54,'Highway Loading'!$H$245:$H$253,0),MATCH(I54,'Highway Loading'!$I$244:$L$244,0))</f>
        <v>0.72</v>
      </c>
      <c r="X54" s="181">
        <f t="shared" si="32"/>
        <v>1</v>
      </c>
      <c r="Y54" s="181">
        <f>VLOOKUP(K54,'Highway Loading'!$B$283:$E$292,2,FALSE)</f>
        <v>29000000</v>
      </c>
      <c r="Z54" s="181">
        <f>VLOOKUP(K54,'Highway Loading'!$B$283:$E$292,3,FALSE)</f>
        <v>0.3</v>
      </c>
      <c r="AA54" s="181">
        <f>VLOOKUP(K54,'Highway Loading'!$B$283:$E$292,4,FALSE)</f>
        <v>6.4999999999999996E-6</v>
      </c>
      <c r="AB54" s="181">
        <f t="shared" si="33"/>
        <v>1</v>
      </c>
      <c r="AC54" s="181">
        <f>VLOOKUP(N54,'Highway Loading'!$B$256:$D$261,2,FALSE)</f>
        <v>1000</v>
      </c>
      <c r="AD54" s="181">
        <f>VLOOKUP(N54,'Highway Loading'!$B$256:$D$261,3,FALSE)</f>
        <v>10000</v>
      </c>
      <c r="AE54" s="181">
        <f>VLOOKUP(S54,'Highway Loading'!$B$340:$C$341,2,FALSE)</f>
        <v>12000</v>
      </c>
      <c r="AF54" s="181">
        <f t="shared" si="34"/>
        <v>1.2562500000000001E-2</v>
      </c>
      <c r="AG54" s="181">
        <f t="shared" si="35"/>
        <v>5.333333333333333</v>
      </c>
      <c r="AH54" s="181">
        <f t="shared" si="36"/>
        <v>1.125</v>
      </c>
      <c r="AI54" s="181">
        <f t="shared" si="37"/>
        <v>0</v>
      </c>
      <c r="AJ54" s="181">
        <f t="shared" si="38"/>
        <v>46800</v>
      </c>
      <c r="AK54" s="181">
        <f>IF(AC54=200,(INDEX(Tables!$B$17:$B$38,MAX(1,MIN(IFERROR(MATCH(AF54,Tables!$A$17:$A$38,1),1),ROWS(Tables!$A$17:$A$38)-1)))+(AF54-INDEX(Tables!$A$17:$A$38,MAX(1,MIN(IFERROR(MATCH(AF54,Tables!$A$17:$A$38,1),1),ROWS(Tables!$A$17:$A$38)-1))))*(INDEX(Tables!$B$17:$B$38,MAX(1,MIN(IFERROR(MATCH(AF54,Tables!$A$17:$A$38,1),1),ROWS(Tables!$A$17:$A$38)-1))+1)-INDEX(Tables!$B$17:$B$38,MAX(1,MIN(IFERROR(MATCH(AF54,Tables!$A$17:$A$38,1),1),ROWS(Tables!$A$17:$A$38)-1))))/(INDEX(Tables!$A$17:$A$38,MAX(1,MIN(IFERROR(MATCH(AF54,Tables!$A$17:$A$38,1),1),ROWS(Tables!$A$17:$A$38)-1))+1)-INDEX(Tables!$A$17:$A$38,MAX(1,MIN(IFERROR(MATCH(AF54,Tables!$A$17:$A$38,1),1),ROWS(Tables!$A$17:$A$38)-1))))),IF(AC54=500,(INDEX(Tables!$D$17:$D$38,MAX(1,MIN(IFERROR(MATCH(AF54,Tables!$C$17:$C$38,1),1),ROWS(Tables!$C$17:$C$38)-1)))+(AF54-INDEX(Tables!$C$17:$C$38,MAX(1,MIN(IFERROR(MATCH(AF54,Tables!$C$17:$C$38,1),1),ROWS(Tables!$C$17:$C$38)-1))))*(INDEX(Tables!$D$17:$D$38,MAX(1,MIN(IFERROR(MATCH(AF54,Tables!$C$17:$C$38,1),1),ROWS(Tables!$C$17:$C$38)-1))+1)-INDEX(Tables!$D$17:$D$38,MAX(1,MIN(IFERROR(MATCH(AF54,Tables!$C$17:$C$38,1),1),ROWS(Tables!$C$17:$C$38)-1))))/(INDEX(Tables!$C$17:$C$38,MAX(1,MIN(IFERROR(MATCH(AF54,Tables!$C$17:$C$38,1),1),ROWS(Tables!$C$17:$C$38)-1))+1)-INDEX(Tables!$C$17:$C$38,MAX(1,MIN(IFERROR(MATCH(AF54,Tables!$C$17:$C$38,1),1),ROWS(Tables!$C$17:$C$38)-1))))),IF(AC54=1000,(INDEX(Tables!$F$17:$F$38,MAX(1,MIN(IFERROR(MATCH(AF54,Tables!$E$17:$E$38,1),1),ROWS(Tables!$E$17:$E$38)-1)))+(AF54-INDEX(Tables!$E$17:$E$38,MAX(1,MIN(IFERROR(MATCH(AF54,Tables!$E$17:$E$38,1),1),ROWS(Tables!$E$17:$E$38)-1))))*(INDEX(Tables!$F$17:$F$38,MAX(1,MIN(IFERROR(MATCH(AF54,Tables!$E$17:$E$38,1),1),ROWS(Tables!$E$17:$E$38)-1))+1)-INDEX(Tables!$F$17:$F$38,MAX(1,MIN(IFERROR(MATCH(AF54,Tables!$E$17:$E$38,1),1),ROWS(Tables!$E$17:$E$38)-1))))/(INDEX(Tables!$E$17:$E$38,MAX(1,MIN(IFERROR(MATCH(AF54,Tables!$E$17:$E$38,1),1),ROWS(Tables!$E$17:$E$38)-1))+1)-INDEX(Tables!$E$17:$E$38,MAX(1,MIN(IFERROR(MATCH(AF54,Tables!$E$17:$E$38,1),1),ROWS(Tables!$E$17:$E$38)-1))))),(INDEX(Tables!$H$17:$H$38,MAX(1,MIN(IFERROR(MATCH(AF54,Tables!$G$17:$G$38,1),1),ROWS(Tables!$G$17:$G$38)-1)))+(AF54-INDEX(Tables!$G$17:$G$38,MAX(1,MIN(IFERROR(MATCH(AF54,Tables!$G$17:$G$38,1),1),ROWS(Tables!$G$17:$G$38)-1))))*(INDEX(Tables!$H$17:$H$38,MAX(1,MIN(IFERROR(MATCH(AF54,Tables!$G$17:$G$38,1),1),ROWS(Tables!$G$17:$G$38)-1))+1)-INDEX(Tables!$H$17:$H$38,MAX(1,MIN(IFERROR(MATCH(AF54,Tables!$G$17:$G$38,1),1),ROWS(Tables!$G$17:$G$38)-1))))/(INDEX(Tables!$G$17:$G$38,MAX(1,MIN(IFERROR(MATCH(AF54,Tables!$G$17:$G$38,1),1),ROWS(Tables!$G$17:$G$38)-1))+1)-INDEX(Tables!$G$17:$G$38,MAX(1,MIN(IFERROR(MATCH(AF54,Tables!$G$17:$G$38,1),1),ROWS(Tables!$G$17:$G$38)-1))))))))</f>
        <v>3866.4749999999999</v>
      </c>
      <c r="AL54" s="181">
        <f>IF(AC54&lt;1000,(INDEX(Tables!$B$43:$B$76,MAX(1,MIN(IFERROR(MATCH(AG54,Tables!$A$43:$A$76,1),1),ROWS(Tables!$A$43:$A$76)-1)))+(AG54-INDEX(Tables!$A$43:$A$76,MAX(1,MIN(IFERROR(MATCH(AG54,Tables!$A$43:$A$76,1),1),ROWS(Tables!$A$43:$A$76)-1))))*(INDEX(Tables!$B$43:$B$76,MAX(1,MIN(IFERROR(MATCH(AG54,Tables!$A$43:$A$76,1),1),ROWS(Tables!$A$43:$A$76)-1))+1)-INDEX(Tables!$B$43:$B$76,MAX(1,MIN(IFERROR(MATCH(AG54,Tables!$A$43:$A$76,1),1),ROWS(Tables!$A$43:$A$76)-1))))/(INDEX(Tables!$A$43:$A$76,MAX(1,MIN(IFERROR(MATCH(AG54,Tables!$A$43:$A$76,1),1),ROWS(Tables!$A$43:$A$76)-1))+1)-INDEX(Tables!$A$43:$A$76,MAX(1,MIN(IFERROR(MATCH(AG54,Tables!$A$43:$A$76,1),1),ROWS(Tables!$A$43:$A$76)-1))))),(INDEX(Tables!$D$43:$D$76,MAX(1,MIN(IFERROR(MATCH(AG54,Tables!$C$43:$C$76,1),1),ROWS(Tables!$C$43:$C$76)-1)))+(AG54-INDEX(Tables!$C$43:$C$76,MAX(1,MIN(IFERROR(MATCH(AG54,Tables!$C$43:$C$76,1),1),ROWS(Tables!$C$43:$C$76)-1))))*(INDEX(Tables!$D$43:$D$76,MAX(1,MIN(IFERROR(MATCH(AG54,Tables!$C$43:$C$76,1),1),ROWS(Tables!$C$43:$C$76)-1))+1)-INDEX(Tables!$D$43:$D$76,MAX(1,MIN(IFERROR(MATCH(AG54,Tables!$C$43:$C$76,1),1),ROWS(Tables!$C$43:$C$76)-1))))/(INDEX(Tables!$C$43:$C$76,MAX(1,MIN(IFERROR(MATCH(AG54,Tables!$C$43:$C$76,1),1),ROWS(Tables!$C$43:$C$76)-1))+1)-INDEX(Tables!$C$43:$C$76,MAX(1,MIN(IFERROR(MATCH(AG54,Tables!$C$43:$C$76,1),1),ROWS(Tables!$C$43:$C$76)-1))))))</f>
        <v>0.98666666666666658</v>
      </c>
      <c r="AM54" s="181">
        <f>(INDEX(Tables!$B$80:$B$87,MAX(1,MIN(IFERROR(MATCH(AH54,Tables!$A$80:$A$87,1),1),ROWS(Tables!$A$80:$A$87)-1)))+(AH54-INDEX(Tables!$A$80:$A$87,MAX(1,MIN(IFERROR(MATCH(AH54,Tables!$A$80:$A$87,1),1),ROWS(Tables!$A$80:$A$87)-1))))*(INDEX(Tables!$B$80:$B$87,MAX(1,MIN(IFERROR(MATCH(AH54,Tables!$A$80:$A$87,1),1),ROWS(Tables!$A$80:$A$87)-1))+1)-INDEX(Tables!$B$80:$B$87,MAX(1,MIN(IFERROR(MATCH(AH54,Tables!$A$80:$A$87,1),1),ROWS(Tables!$A$80:$A$87)-1))))/(INDEX(Tables!$A$80:$A$87,MAX(1,MIN(IFERROR(MATCH(AH54,Tables!$A$80:$A$87,1),1),ROWS(Tables!$A$80:$A$87)-1))+1)-INDEX(Tables!$A$80:$A$87,MAX(1,MIN(IFERROR(MATCH(AH54,Tables!$A$80:$A$87,1),1),ROWS(Tables!$A$80:$A$87)-1)))))</f>
        <v>1.04345</v>
      </c>
      <c r="AN54" s="181">
        <f t="shared" si="39"/>
        <v>4422.9781787777774</v>
      </c>
      <c r="AO54" s="181">
        <f>(INDEX(Tables!$B$91:$B$94,MAX(1,MIN(IFERROR(MATCH(P54,Tables!$A$91:$A$94,1),1),ROWS(Tables!$A$91:$A$94)-1)))+(P54-INDEX(Tables!$A$91:$A$94,MAX(1,MIN(IFERROR(MATCH(P54,Tables!$A$91:$A$94,1),1),ROWS(Tables!$A$91:$A$94)-1))))*(INDEX(Tables!$B$91:$B$94,MAX(1,MIN(IFERROR(MATCH(P54,Tables!$A$91:$A$94,1),1),ROWS(Tables!$A$91:$A$94)-1))+1)-INDEX(Tables!$B$91:$B$94,MAX(1,MIN(IFERROR(MATCH(P54,Tables!$A$91:$A$94,1),1),ROWS(Tables!$A$91:$A$94)-1))))/(INDEX(Tables!$A$91:$A$94,MAX(1,MIN(IFERROR(MATCH(P54,Tables!$A$91:$A$94,1),1),ROWS(Tables!$A$91:$A$94)-1))+1)-INDEX(Tables!$A$91:$A$94,MAX(1,MIN(IFERROR(MATCH(P54,Tables!$A$91:$A$94,1),1),ROWS(Tables!$A$91:$A$94)-1)))))</f>
        <v>1.4152439024390244</v>
      </c>
      <c r="AP54" s="181">
        <f>IF(AD54=5000,(INDEX(Tables!$B$99:$B$118,MAX(1,MIN(IFERROR(MATCH(AF54,Tables!$A$99:$A$118,1),1),ROWS(Tables!$A$99:$A$118)-1)))+(AF54-INDEX(Tables!$A$99:$A$118,MAX(1,MIN(IFERROR(MATCH(AF54,Tables!$A$99:$A$118,1),1),ROWS(Tables!$A$99:$A$118)-1))))*(INDEX(Tables!$B$99:$B$118,MAX(1,MIN(IFERROR(MATCH(AF54,Tables!$A$99:$A$118,1),1),ROWS(Tables!$A$99:$A$118)-1))+1)-INDEX(Tables!$B$99:$B$118,MAX(1,MIN(IFERROR(MATCH(AF54,Tables!$A$99:$A$118,1),1),ROWS(Tables!$A$99:$A$118)-1))))/(INDEX(Tables!$A$99:$A$118,MAX(1,MIN(IFERROR(MATCH(AF54,Tables!$A$99:$A$118,1),1),ROWS(Tables!$A$99:$A$118)-1))+1)-INDEX(Tables!$A$99:$A$118,MAX(1,MIN(IFERROR(MATCH(AF54,Tables!$A$99:$A$118,1),1),ROWS(Tables!$A$99:$A$118)-1))))),IF(AD54=10000,(INDEX(Tables!$D$99:$D$118,MAX(1,MIN(IFERROR(MATCH(AF54,Tables!$C$99:$C$118,1),1),ROWS(Tables!$C$99:$C$118)-1)))+(AF54-INDEX(Tables!$C$99:$C$118,MAX(1,MIN(IFERROR(MATCH(AF54,Tables!$C$99:$C$118,1),1),ROWS(Tables!$C$99:$C$118)-1))))*(INDEX(Tables!$D$99:$D$118,MAX(1,MIN(IFERROR(MATCH(AF54,Tables!$C$99:$C$118,1),1),ROWS(Tables!$C$99:$C$118)-1))+1)-INDEX(Tables!$D$99:$D$118,MAX(1,MIN(IFERROR(MATCH(AF54,Tables!$C$99:$C$118,1),1),ROWS(Tables!$C$99:$C$118)-1))))/(INDEX(Tables!$C$99:$C$118,MAX(1,MIN(IFERROR(MATCH(AF54,Tables!$C$99:$C$118,1),1),ROWS(Tables!$C$99:$C$118)-1))+1)-INDEX(Tables!$C$99:$C$118,MAX(1,MIN(IFERROR(MATCH(AF54,Tables!$C$99:$C$118,1),1),ROWS(Tables!$C$99:$C$118)-1))))),(INDEX(Tables!$F$99:$F$118,MAX(1,MIN(IFERROR(MATCH(AF54,Tables!$E$99:$E$118,1),1),ROWS(Tables!$E$99:$E$118)-1)))+(AF54-INDEX(Tables!$E$99:$E$118,MAX(1,MIN(IFERROR(MATCH(AF54,Tables!$E$99:$E$118,1),1),ROWS(Tables!$E$99:$E$118)-1))))*(INDEX(Tables!$F$99:$F$118,MAX(1,MIN(IFERROR(MATCH(AF54,Tables!$E$99:$E$118,1),1),ROWS(Tables!$E$99:$E$118)-1))+1)-INDEX(Tables!$F$99:$F$118,MAX(1,MIN(IFERROR(MATCH(AF54,Tables!$E$99:$E$118,1),1),ROWS(Tables!$E$99:$E$118)-1))))/(INDEX(Tables!$E$99:$E$118,MAX(1,MIN(IFERROR(MATCH(AF54,Tables!$E$99:$E$118,1),1),ROWS(Tables!$E$99:$E$118)-1))+1)-INDEX(Tables!$E$99:$E$118,MAX(1,MIN(IFERROR(MATCH(AF54,Tables!$E$99:$E$118,1),1),ROWS(Tables!$E$99:$E$118)-1)))))))</f>
        <v>14.196524590163936</v>
      </c>
      <c r="AQ54" s="181">
        <f>IF(P54&lt;6,(INDEX(Tables!$B$123:$B$138,MAX(1,MIN(IFERROR(MATCH(U54,Tables!$A$123:$A$138,1),1),ROWS(Tables!$A$123:$A$138)-1)))+(U54-INDEX(Tables!$A$123:$A$138,MAX(1,MIN(IFERROR(MATCH(U54,Tables!$A$123:$A$138,1),1),ROWS(Tables!$A$123:$A$138)-1))))*(INDEX(Tables!$B$123:$B$138,MAX(1,MIN(IFERROR(MATCH(U54,Tables!$A$123:$A$138,1),1),ROWS(Tables!$A$123:$A$138)-1))+1)-INDEX(Tables!$B$123:$B$138,MAX(1,MIN(IFERROR(MATCH(U54,Tables!$A$123:$A$138,1),1),ROWS(Tables!$A$123:$A$138)-1))))/(INDEX(Tables!$A$123:$A$138,MAX(1,MIN(IFERROR(MATCH(U54,Tables!$A$123:$A$138,1),1),ROWS(Tables!$A$123:$A$138)-1))+1)-INDEX(Tables!$A$123:$A$138,MAX(1,MIN(IFERROR(MATCH(U54,Tables!$A$123:$A$138,1),1),ROWS(Tables!$A$123:$A$138)-1))))),IF(P54&lt;8,(INDEX(Tables!$D$123:$D$138,MAX(1,MIN(IFERROR(MATCH(U54,Tables!$C$123:$C$138,1),1),ROWS(Tables!$C$123:$C$138)-1)))+(U54-INDEX(Tables!$C$123:$C$138,MAX(1,MIN(IFERROR(MATCH(U54,Tables!$C$123:$C$138,1),1),ROWS(Tables!$C$123:$C$138)-1))))*(INDEX(Tables!$D$123:$D$138,MAX(1,MIN(IFERROR(MATCH(U54,Tables!$C$123:$C$138,1),1),ROWS(Tables!$C$123:$C$138)-1))+1)-INDEX(Tables!$D$123:$D$138,MAX(1,MIN(IFERROR(MATCH(U54,Tables!$C$123:$C$138,1),1),ROWS(Tables!$C$123:$C$138)-1))))/(INDEX(Tables!$C$123:$C$138,MAX(1,MIN(IFERROR(MATCH(U54,Tables!$C$123:$C$138,1),1),ROWS(Tables!$C$123:$C$138)-1))+1)-INDEX(Tables!$C$123:$C$138,MAX(1,MIN(IFERROR(MATCH(U54,Tables!$C$123:$C$138,1),1),ROWS(Tables!$C$123:$C$138)-1))))),IF(P54&lt;10,(INDEX(Tables!$F$123:$F$138,MAX(1,MIN(IFERROR(MATCH(U54,Tables!$E$123:$E$138,1),1),ROWS(Tables!$E$123:$E$138)-1)))+(U54-INDEX(Tables!$E$123:$E$138,MAX(1,MIN(IFERROR(MATCH(U54,Tables!$E$123:$E$138,1),1),ROWS(Tables!$E$123:$E$138)-1))))*(INDEX(Tables!$F$123:$F$138,MAX(1,MIN(IFERROR(MATCH(U54,Tables!$E$123:$E$138,1),1),ROWS(Tables!$E$123:$E$138)-1))+1)-INDEX(Tables!$F$123:$F$138,MAX(1,MIN(IFERROR(MATCH(U54,Tables!$E$123:$E$138,1),1),ROWS(Tables!$E$123:$E$138)-1))))/(INDEX(Tables!$E$123:$E$138,MAX(1,MIN(IFERROR(MATCH(U54,Tables!$E$123:$E$138,1),1),ROWS(Tables!$E$123:$E$138)-1))+1)-INDEX(Tables!$E$123:$E$138,MAX(1,MIN(IFERROR(MATCH(U54,Tables!$E$123:$E$138,1),1),ROWS(Tables!$E$123:$E$138)-1))))),(INDEX(Tables!$H$123:$H$138,MAX(1,MIN(IFERROR(MATCH(U54,Tables!$G$123:$G$138,1),1),ROWS(Tables!$G$123:$G$138)-1)))+(U54-INDEX(Tables!$G$123:$G$138,MAX(1,MIN(IFERROR(MATCH(U54,Tables!$G$123:$G$138,1),1),ROWS(Tables!$G$123:$G$138)-1))))*(INDEX(Tables!$H$123:$H$138,MAX(1,MIN(IFERROR(MATCH(U54,Tables!$G$123:$G$138,1),1),ROWS(Tables!$G$123:$G$138)-1))+1)-INDEX(Tables!$H$123:$H$138,MAX(1,MIN(IFERROR(MATCH(U54,Tables!$G$123:$G$138,1),1),ROWS(Tables!$G$123:$G$138)-1))))/(INDEX(Tables!$G$123:$G$138,MAX(1,MIN(IFERROR(MATCH(U54,Tables!$G$123:$G$138,1),1),ROWS(Tables!$G$123:$G$138)-1))+1)-INDEX(Tables!$G$123:$G$138,MAX(1,MIN(IFERROR(MATCH(U54,Tables!$G$123:$G$138,1),1),ROWS(Tables!$G$123:$G$138)-1))))))))</f>
        <v>0.79200000000000004</v>
      </c>
      <c r="AR54" s="181">
        <f>IF(OR(P54&gt;=4,U54&gt;12),VLOOKUP(R54&amp;" "&amp;S54,Tables!$D$143:$F$148,2,FALSE),VLOOKUP(R54&amp;" "&amp;S54,Tables!$A$143:$C$148,2,FALSE))</f>
        <v>0.9</v>
      </c>
      <c r="AS54" s="181">
        <f>IF(OR(P54&gt;=4,U54&gt;12),VLOOKUP(R54&amp;" "&amp;S54,Tables!$D$143:$F$148,3,FALSE),VLOOKUP(R54&amp;" "&amp;S54,Tables!$A$143:$C$148,3,FALSE))</f>
        <v>0.65</v>
      </c>
      <c r="AT54" s="181">
        <f t="shared" si="40"/>
        <v>775.73454712395051</v>
      </c>
      <c r="AU54" s="181">
        <f>IF(AD54=5000,(INDEX(Tables!$B$244:$B$263,MAX(1,MIN(IFERROR(MATCH(AF54,Tables!$A$244:$A$263,1),1),ROWS(Tables!$A$244:$A$263)-1)))+(AF54-INDEX(Tables!$A$244:$A$263,MAX(1,MIN(IFERROR(MATCH(AF54,Tables!$A$244:$A$263,1),1),ROWS(Tables!$A$244:$A$263)-1))))*(INDEX(Tables!$B$244:$B$263,MAX(1,MIN(IFERROR(MATCH(AF54,Tables!$A$244:$A$263,1),1),ROWS(Tables!$A$244:$A$263)-1))+1)-INDEX(Tables!$B$244:$B$263,MAX(1,MIN(IFERROR(MATCH(AF54,Tables!$A$244:$A$263,1),1),ROWS(Tables!$A$244:$A$263)-1))))/(INDEX(Tables!$A$244:$A$263,MAX(1,MIN(IFERROR(MATCH(AF54,Tables!$A$244:$A$263,1),1),ROWS(Tables!$A$244:$A$263)-1))+1)-INDEX(Tables!$A$244:$A$263,MAX(1,MIN(IFERROR(MATCH(AF54,Tables!$A$244:$A$263,1),1),ROWS(Tables!$A$244:$A$263)-1))))),IF(AD54=10000,(INDEX(Tables!$D$244:$D$263,MAX(1,MIN(IFERROR(MATCH(AF54,Tables!$C$244:$C$263,1),1),ROWS(Tables!$C$244:$C$263)-1)))+(AF54-INDEX(Tables!$C$244:$C$263,MAX(1,MIN(IFERROR(MATCH(AF54,Tables!$C$244:$C$263,1),1),ROWS(Tables!$C$244:$C$263)-1))))*(INDEX(Tables!$D$244:$D$263,MAX(1,MIN(IFERROR(MATCH(AF54,Tables!$C$244:$C$263,1),1),ROWS(Tables!$C$244:$C$263)-1))+1)-INDEX(Tables!$D$244:$D$263,MAX(1,MIN(IFERROR(MATCH(AF54,Tables!$C$244:$C$263,1),1),ROWS(Tables!$C$244:$C$263)-1))))/(INDEX(Tables!$C$244:$C$263,MAX(1,MIN(IFERROR(MATCH(AF54,Tables!$C$244:$C$263,1),1),ROWS(Tables!$C$244:$C$263)-1))+1)-INDEX(Tables!$C$244:$C$263,MAX(1,MIN(IFERROR(MATCH(AF54,Tables!$C$244:$C$263,1),1),ROWS(Tables!$C$244:$C$263)-1))))),(INDEX(Tables!$F$244:$F$263,MAX(1,MIN(IFERROR(MATCH(AF54,Tables!$E$244:$E$263,1),1),ROWS(Tables!$E$244:$E$263)-1)))+(AF54-INDEX(Tables!$E$244:$E$263,MAX(1,MIN(IFERROR(MATCH(AF54,Tables!$E$244:$E$263,1),1),ROWS(Tables!$E$244:$E$263)-1))))*(INDEX(Tables!$F$244:$F$263,MAX(1,MIN(IFERROR(MATCH(AF54,Tables!$E$244:$E$263,1),1),ROWS(Tables!$E$244:$E$263)-1))+1)-INDEX(Tables!$F$244:$F$263,MAX(1,MIN(IFERROR(MATCH(AF54,Tables!$E$244:$E$263,1),1),ROWS(Tables!$E$244:$E$263)-1))))/(INDEX(Tables!$E$244:$E$263,MAX(1,MIN(IFERROR(MATCH(AF54,Tables!$E$244:$E$263,1),1),ROWS(Tables!$E$244:$E$263)-1))+1)-INDEX(Tables!$E$244:$E$263,MAX(1,MIN(IFERROR(MATCH(AF54,Tables!$E$244:$E$263,1),1),ROWS(Tables!$E$244:$E$263)-1)))))))</f>
        <v>9.8737916666666656</v>
      </c>
      <c r="AV54" s="181">
        <f>IF(P54&lt;6,(INDEX(Tables!$B$260:$B$274,MAX(1,MIN(IFERROR(MATCH(U54,Tables!$A$260:$A$274,1),1),ROWS(Tables!$A$260:$A$274)-1)))+(U54-INDEX(Tables!$A$260:$A$274,MAX(1,MIN(IFERROR(MATCH(U54,Tables!$A$260:$A$274,1),1),ROWS(Tables!$A$260:$A$274)-1))))*(INDEX(Tables!$B$260:$B$274,MAX(1,MIN(IFERROR(MATCH(U54,Tables!$A$260:$A$274,1),1),ROWS(Tables!$A$260:$A$274)-1))+1)-INDEX(Tables!$B$260:$B$274,MAX(1,MIN(IFERROR(MATCH(U54,Tables!$A$260:$A$274,1),1),ROWS(Tables!$A$260:$A$274)-1))))/(INDEX(Tables!$A$260:$A$274,MAX(1,MIN(IFERROR(MATCH(U54,Tables!$A$260:$A$274,1),1),ROWS(Tables!$A$260:$A$274)-1))+1)-INDEX(Tables!$A$260:$A$274,MAX(1,MIN(IFERROR(MATCH(U54,Tables!$A$260:$A$274,1),1),ROWS(Tables!$A$260:$A$274)-1))))),IF(P54&lt;8,(INDEX(Tables!$D$260:$D$274,MAX(1,MIN(IFERROR(MATCH(U54,Tables!$C$260:$C$274,1),1),ROWS(Tables!$C$260:$C$274)-1)))+(U54-INDEX(Tables!$C$260:$C$274,MAX(1,MIN(IFERROR(MATCH(U54,Tables!$C$260:$C$274,1),1),ROWS(Tables!$C$260:$C$274)-1))))*(INDEX(Tables!$D$260:$D$274,MAX(1,MIN(IFERROR(MATCH(U54,Tables!$C$260:$C$274,1),1),ROWS(Tables!$C$260:$C$274)-1))+1)-INDEX(Tables!$D$260:$D$274,MAX(1,MIN(IFERROR(MATCH(U54,Tables!$C$260:$C$274,1),1),ROWS(Tables!$C$260:$C$274)-1))))/(INDEX(Tables!$C$260:$C$274,MAX(1,MIN(IFERROR(MATCH(U54,Tables!$C$260:$C$274,1),1),ROWS(Tables!$C$260:$C$274)-1))+1)-INDEX(Tables!$C$260:$C$274,MAX(1,MIN(IFERROR(MATCH(U54,Tables!$C$260:$C$274,1),1),ROWS(Tables!$C$260:$C$274)-1))))),IF(P54&lt;10,(INDEX(Tables!$F$260:$F$274,MAX(1,MIN(IFERROR(MATCH(U54,Tables!$E$260:$E$274,1),1),ROWS(Tables!$E$260:$E$274)-1)))+(U54-INDEX(Tables!$E$260:$E$274,MAX(1,MIN(IFERROR(MATCH(U54,Tables!$E$260:$E$274,1),1),ROWS(Tables!$E$260:$E$274)-1))))*(INDEX(Tables!$F$260:$F$274,MAX(1,MIN(IFERROR(MATCH(U54,Tables!$E$260:$E$274,1),1),ROWS(Tables!$E$260:$E$274)-1))+1)-INDEX(Tables!$F$260:$F$274,MAX(1,MIN(IFERROR(MATCH(U54,Tables!$E$260:$E$274,1),1),ROWS(Tables!$E$260:$E$274)-1))))/(INDEX(Tables!$E$260:$E$274,MAX(1,MIN(IFERROR(MATCH(U54,Tables!$E$260:$E$274,1),1),ROWS(Tables!$E$260:$E$274)-1))+1)-INDEX(Tables!$E$260:$E$274,MAX(1,MIN(IFERROR(MATCH(U54,Tables!$E$260:$E$274,1),1),ROWS(Tables!$E$260:$E$274)-1))))),(INDEX(Tables!$H$260:$H$274,MAX(1,MIN(IFERROR(MATCH(U54,Tables!$G$260:$G$274,1),1),ROWS(Tables!$G$260:$G$274)-1)))+(U54-INDEX(Tables!$G$260:$G$274,MAX(1,MIN(IFERROR(MATCH(U54,Tables!$G$260:$G$274,1),1),ROWS(Tables!$G$260:$G$274)-1))))*(INDEX(Tables!$H$260:$H$274,MAX(1,MIN(IFERROR(MATCH(U54,Tables!$G$260:$G$274,1),1),ROWS(Tables!$G$260:$G$274)-1))+1)-INDEX(Tables!$H$260:$H$274,MAX(1,MIN(IFERROR(MATCH(U54,Tables!$G$260:$G$274,1),1),ROWS(Tables!$G$260:$G$274)-1))))/(INDEX(Tables!$G$260:$G$274,MAX(1,MIN(IFERROR(MATCH(U54,Tables!$G$260:$G$274,1),1),ROWS(Tables!$G$260:$G$274)-1))+1)-INDEX(Tables!$G$260:$G$274,MAX(1,MIN(IFERROR(MATCH(U54,Tables!$G$260:$G$274,1),1),ROWS(Tables!$G$260:$G$274)-1))))))))</f>
        <v>0.84099999999999997</v>
      </c>
      <c r="AW54" s="181">
        <f t="shared" si="41"/>
        <v>572.90929417902043</v>
      </c>
      <c r="AX54" s="181">
        <f t="shared" si="42"/>
        <v>0</v>
      </c>
      <c r="AY54" s="181">
        <f t="shared" si="43"/>
        <v>5198.7127259017279</v>
      </c>
      <c r="AZ54" s="181">
        <f t="shared" si="44"/>
        <v>1899.8027478123536</v>
      </c>
      <c r="BA54" s="181">
        <f t="shared" si="45"/>
        <v>0</v>
      </c>
      <c r="BB54" s="181">
        <f t="shared" si="46"/>
        <v>4556.2414077057847</v>
      </c>
      <c r="BC54" s="181">
        <f t="shared" si="47"/>
        <v>46800</v>
      </c>
      <c r="BD54" s="181">
        <f>VLOOKUP(V54&amp;" "&amp;J54,Tables!$A$152:$E$239,4,FALSE)</f>
        <v>12000</v>
      </c>
      <c r="BE54" s="181">
        <f>VLOOKUP(V54&amp;" "&amp;J54,Tables!$A$152:$E$239,5,FALSE)</f>
        <v>23000</v>
      </c>
      <c r="BF54" s="181">
        <f t="shared" si="48"/>
        <v>8640</v>
      </c>
      <c r="BG54" s="181">
        <f t="shared" si="49"/>
        <v>16560</v>
      </c>
      <c r="BH54" s="181">
        <f t="shared" si="50"/>
        <v>0</v>
      </c>
      <c r="BI54" s="181">
        <f t="shared" si="51"/>
        <v>46800</v>
      </c>
      <c r="BJ54" s="181">
        <f t="shared" si="52"/>
        <v>4556.2414077057847</v>
      </c>
      <c r="BK54" s="181">
        <f t="shared" si="53"/>
        <v>46800</v>
      </c>
      <c r="BL54" s="181">
        <f t="shared" si="54"/>
        <v>572.90929417902043</v>
      </c>
      <c r="BM54" s="181">
        <f t="shared" si="55"/>
        <v>8640</v>
      </c>
      <c r="BN54" s="181">
        <f t="shared" si="56"/>
        <v>775.73454712395051</v>
      </c>
      <c r="BO54" s="181">
        <f t="shared" si="57"/>
        <v>16560</v>
      </c>
      <c r="BP54" t="str">
        <f t="shared" si="58"/>
        <v>Pass</v>
      </c>
      <c r="BQ54" t="str">
        <f t="shared" si="59"/>
        <v>Pass</v>
      </c>
      <c r="BR54" t="str">
        <f t="shared" si="60"/>
        <v>Pass</v>
      </c>
      <c r="BS54" t="str">
        <f t="shared" si="61"/>
        <v>Pass</v>
      </c>
      <c r="BT54" t="str">
        <f t="shared" si="62"/>
        <v>Pass</v>
      </c>
      <c r="BU54" t="str">
        <f t="shared" si="63"/>
        <v>Effective Stress</v>
      </c>
    </row>
    <row r="55" spans="1:73">
      <c r="A55" t="s">
        <v>647</v>
      </c>
      <c r="B55" s="181">
        <v>53</v>
      </c>
      <c r="C55" t="s">
        <v>594</v>
      </c>
      <c r="D55" s="181">
        <v>24</v>
      </c>
      <c r="E55" s="181">
        <v>0.26300000000000001</v>
      </c>
      <c r="F55" t="s">
        <v>117</v>
      </c>
      <c r="G55" t="s">
        <v>119</v>
      </c>
      <c r="H55" t="s">
        <v>122</v>
      </c>
      <c r="I55" s="181">
        <v>1</v>
      </c>
      <c r="J55" t="s">
        <v>126</v>
      </c>
      <c r="K55" t="s">
        <v>129</v>
      </c>
      <c r="L55" s="181">
        <v>70</v>
      </c>
      <c r="M55" s="181">
        <v>0</v>
      </c>
      <c r="N55" t="s">
        <v>391</v>
      </c>
      <c r="O55" s="181">
        <v>120</v>
      </c>
      <c r="P55" s="181">
        <v>10</v>
      </c>
      <c r="Q55" s="181">
        <v>26</v>
      </c>
      <c r="R55" t="s">
        <v>418</v>
      </c>
      <c r="S55" t="s">
        <v>420</v>
      </c>
      <c r="T55" s="181">
        <v>70</v>
      </c>
      <c r="U55" s="181">
        <f>HLOOKUP(D55,'Highway Loading'!$C$155:$AD$156,2,FALSE)</f>
        <v>24</v>
      </c>
      <c r="V55" s="181">
        <f>IF(ISBLANK(G55),"",INDEX('Highway Loading'!$C$216:$AG$216,1,MATCH(G55,'Highway Loading'!$C$215:$AG$215,0)))</f>
        <v>65000</v>
      </c>
      <c r="W55" s="181">
        <f>INDEX('Highway Loading'!$I$245:$L$253,MATCH(H55,'Highway Loading'!$H$245:$H$253,0),MATCH(I55,'Highway Loading'!$I$244:$L$244,0))</f>
        <v>0.72</v>
      </c>
      <c r="X55" s="181">
        <f t="shared" si="32"/>
        <v>1</v>
      </c>
      <c r="Y55" s="181">
        <f>VLOOKUP(K55,'Highway Loading'!$B$283:$E$292,2,FALSE)</f>
        <v>29000000</v>
      </c>
      <c r="Z55" s="181">
        <f>VLOOKUP(K55,'Highway Loading'!$B$283:$E$292,3,FALSE)</f>
        <v>0.3</v>
      </c>
      <c r="AA55" s="181">
        <f>VLOOKUP(K55,'Highway Loading'!$B$283:$E$292,4,FALSE)</f>
        <v>6.4999999999999996E-6</v>
      </c>
      <c r="AB55" s="181">
        <f t="shared" si="33"/>
        <v>1</v>
      </c>
      <c r="AC55" s="181">
        <f>VLOOKUP(N55,'Highway Loading'!$B$256:$D$261,2,FALSE)</f>
        <v>1000</v>
      </c>
      <c r="AD55" s="181">
        <f>VLOOKUP(N55,'Highway Loading'!$B$256:$D$261,3,FALSE)</f>
        <v>10000</v>
      </c>
      <c r="AE55" s="181">
        <f>VLOOKUP(S55,'Highway Loading'!$B$340:$C$341,2,FALSE)</f>
        <v>12000</v>
      </c>
      <c r="AF55" s="181">
        <f t="shared" si="34"/>
        <v>1.0958333333333334E-2</v>
      </c>
      <c r="AG55" s="181">
        <f t="shared" si="35"/>
        <v>4.615384615384615</v>
      </c>
      <c r="AH55" s="181">
        <f t="shared" si="36"/>
        <v>1.0833333333333333</v>
      </c>
      <c r="AI55" s="181">
        <f t="shared" si="37"/>
        <v>0</v>
      </c>
      <c r="AJ55" s="181">
        <f t="shared" si="38"/>
        <v>46800</v>
      </c>
      <c r="AK55" s="181">
        <f>IF(AC55=200,(INDEX(Tables!$B$17:$B$38,MAX(1,MIN(IFERROR(MATCH(AF55,Tables!$A$17:$A$38,1),1),ROWS(Tables!$A$17:$A$38)-1)))+(AF55-INDEX(Tables!$A$17:$A$38,MAX(1,MIN(IFERROR(MATCH(AF55,Tables!$A$17:$A$38,1),1),ROWS(Tables!$A$17:$A$38)-1))))*(INDEX(Tables!$B$17:$B$38,MAX(1,MIN(IFERROR(MATCH(AF55,Tables!$A$17:$A$38,1),1),ROWS(Tables!$A$17:$A$38)-1))+1)-INDEX(Tables!$B$17:$B$38,MAX(1,MIN(IFERROR(MATCH(AF55,Tables!$A$17:$A$38,1),1),ROWS(Tables!$A$17:$A$38)-1))))/(INDEX(Tables!$A$17:$A$38,MAX(1,MIN(IFERROR(MATCH(AF55,Tables!$A$17:$A$38,1),1),ROWS(Tables!$A$17:$A$38)-1))+1)-INDEX(Tables!$A$17:$A$38,MAX(1,MIN(IFERROR(MATCH(AF55,Tables!$A$17:$A$38,1),1),ROWS(Tables!$A$17:$A$38)-1))))),IF(AC55=500,(INDEX(Tables!$D$17:$D$38,MAX(1,MIN(IFERROR(MATCH(AF55,Tables!$C$17:$C$38,1),1),ROWS(Tables!$C$17:$C$38)-1)))+(AF55-INDEX(Tables!$C$17:$C$38,MAX(1,MIN(IFERROR(MATCH(AF55,Tables!$C$17:$C$38,1),1),ROWS(Tables!$C$17:$C$38)-1))))*(INDEX(Tables!$D$17:$D$38,MAX(1,MIN(IFERROR(MATCH(AF55,Tables!$C$17:$C$38,1),1),ROWS(Tables!$C$17:$C$38)-1))+1)-INDEX(Tables!$D$17:$D$38,MAX(1,MIN(IFERROR(MATCH(AF55,Tables!$C$17:$C$38,1),1),ROWS(Tables!$C$17:$C$38)-1))))/(INDEX(Tables!$C$17:$C$38,MAX(1,MIN(IFERROR(MATCH(AF55,Tables!$C$17:$C$38,1),1),ROWS(Tables!$C$17:$C$38)-1))+1)-INDEX(Tables!$C$17:$C$38,MAX(1,MIN(IFERROR(MATCH(AF55,Tables!$C$17:$C$38,1),1),ROWS(Tables!$C$17:$C$38)-1))))),IF(AC55=1000,(INDEX(Tables!$F$17:$F$38,MAX(1,MIN(IFERROR(MATCH(AF55,Tables!$E$17:$E$38,1),1),ROWS(Tables!$E$17:$E$38)-1)))+(AF55-INDEX(Tables!$E$17:$E$38,MAX(1,MIN(IFERROR(MATCH(AF55,Tables!$E$17:$E$38,1),1),ROWS(Tables!$E$17:$E$38)-1))))*(INDEX(Tables!$F$17:$F$38,MAX(1,MIN(IFERROR(MATCH(AF55,Tables!$E$17:$E$38,1),1),ROWS(Tables!$E$17:$E$38)-1))+1)-INDEX(Tables!$F$17:$F$38,MAX(1,MIN(IFERROR(MATCH(AF55,Tables!$E$17:$E$38,1),1),ROWS(Tables!$E$17:$E$38)-1))))/(INDEX(Tables!$E$17:$E$38,MAX(1,MIN(IFERROR(MATCH(AF55,Tables!$E$17:$E$38,1),1),ROWS(Tables!$E$17:$E$38)-1))+1)-INDEX(Tables!$E$17:$E$38,MAX(1,MIN(IFERROR(MATCH(AF55,Tables!$E$17:$E$38,1),1),ROWS(Tables!$E$17:$E$38)-1))))),(INDEX(Tables!$H$17:$H$38,MAX(1,MIN(IFERROR(MATCH(AF55,Tables!$G$17:$G$38,1),1),ROWS(Tables!$G$17:$G$38)-1)))+(AF55-INDEX(Tables!$G$17:$G$38,MAX(1,MIN(IFERROR(MATCH(AF55,Tables!$G$17:$G$38,1),1),ROWS(Tables!$G$17:$G$38)-1))))*(INDEX(Tables!$H$17:$H$38,MAX(1,MIN(IFERROR(MATCH(AF55,Tables!$G$17:$G$38,1),1),ROWS(Tables!$G$17:$G$38)-1))+1)-INDEX(Tables!$H$17:$H$38,MAX(1,MIN(IFERROR(MATCH(AF55,Tables!$G$17:$G$38,1),1),ROWS(Tables!$G$17:$G$38)-1))))/(INDEX(Tables!$G$17:$G$38,MAX(1,MIN(IFERROR(MATCH(AF55,Tables!$G$17:$G$38,1),1),ROWS(Tables!$G$17:$G$38)-1))+1)-INDEX(Tables!$G$17:$G$38,MAX(1,MIN(IFERROR(MATCH(AF55,Tables!$G$17:$G$38,1),1),ROWS(Tables!$G$17:$G$38)-1))))))))</f>
        <v>4262.4833333333336</v>
      </c>
      <c r="AL55" s="181">
        <f>IF(AC55&lt;1000,(INDEX(Tables!$B$43:$B$76,MAX(1,MIN(IFERROR(MATCH(AG55,Tables!$A$43:$A$76,1),1),ROWS(Tables!$A$43:$A$76)-1)))+(AG55-INDEX(Tables!$A$43:$A$76,MAX(1,MIN(IFERROR(MATCH(AG55,Tables!$A$43:$A$76,1),1),ROWS(Tables!$A$43:$A$76)-1))))*(INDEX(Tables!$B$43:$B$76,MAX(1,MIN(IFERROR(MATCH(AG55,Tables!$A$43:$A$76,1),1),ROWS(Tables!$A$43:$A$76)-1))+1)-INDEX(Tables!$B$43:$B$76,MAX(1,MIN(IFERROR(MATCH(AG55,Tables!$A$43:$A$76,1),1),ROWS(Tables!$A$43:$A$76)-1))))/(INDEX(Tables!$A$43:$A$76,MAX(1,MIN(IFERROR(MATCH(AG55,Tables!$A$43:$A$76,1),1),ROWS(Tables!$A$43:$A$76)-1))+1)-INDEX(Tables!$A$43:$A$76,MAX(1,MIN(IFERROR(MATCH(AG55,Tables!$A$43:$A$76,1),1),ROWS(Tables!$A$43:$A$76)-1))))),(INDEX(Tables!$D$43:$D$76,MAX(1,MIN(IFERROR(MATCH(AG55,Tables!$C$43:$C$76,1),1),ROWS(Tables!$C$43:$C$76)-1)))+(AG55-INDEX(Tables!$C$43:$C$76,MAX(1,MIN(IFERROR(MATCH(AG55,Tables!$C$43:$C$76,1),1),ROWS(Tables!$C$43:$C$76)-1))))*(INDEX(Tables!$D$43:$D$76,MAX(1,MIN(IFERROR(MATCH(AG55,Tables!$C$43:$C$76,1),1),ROWS(Tables!$C$43:$C$76)-1))+1)-INDEX(Tables!$D$43:$D$76,MAX(1,MIN(IFERROR(MATCH(AG55,Tables!$C$43:$C$76,1),1),ROWS(Tables!$C$43:$C$76)-1))))/(INDEX(Tables!$C$43:$C$76,MAX(1,MIN(IFERROR(MATCH(AG55,Tables!$C$43:$C$76,1),1),ROWS(Tables!$C$43:$C$76)-1))+1)-INDEX(Tables!$C$43:$C$76,MAX(1,MIN(IFERROR(MATCH(AG55,Tables!$C$43:$C$76,1),1),ROWS(Tables!$C$43:$C$76)-1))))))</f>
        <v>0.9366923076923076</v>
      </c>
      <c r="AM55" s="181">
        <f>(INDEX(Tables!$B$80:$B$87,MAX(1,MIN(IFERROR(MATCH(AH55,Tables!$A$80:$A$87,1),1),ROWS(Tables!$A$80:$A$87)-1)))+(AH55-INDEX(Tables!$A$80:$A$87,MAX(1,MIN(IFERROR(MATCH(AH55,Tables!$A$80:$A$87,1),1),ROWS(Tables!$A$80:$A$87)-1))))*(INDEX(Tables!$B$80:$B$87,MAX(1,MIN(IFERROR(MATCH(AH55,Tables!$A$80:$A$87,1),1),ROWS(Tables!$A$80:$A$87)-1))+1)-INDEX(Tables!$B$80:$B$87,MAX(1,MIN(IFERROR(MATCH(AH55,Tables!$A$80:$A$87,1),1),ROWS(Tables!$A$80:$A$87)-1))))/(INDEX(Tables!$A$80:$A$87,MAX(1,MIN(IFERROR(MATCH(AH55,Tables!$A$80:$A$87,1),1),ROWS(Tables!$A$80:$A$87)-1))+1)-INDEX(Tables!$A$80:$A$87,MAX(1,MIN(IFERROR(MATCH(AH55,Tables!$A$80:$A$87,1),1),ROWS(Tables!$A$80:$A$87)-1)))))</f>
        <v>0.96739999999999982</v>
      </c>
      <c r="AN55" s="181">
        <f t="shared" si="39"/>
        <v>6437.4590626499994</v>
      </c>
      <c r="AO55" s="181">
        <f>(INDEX(Tables!$B$91:$B$94,MAX(1,MIN(IFERROR(MATCH(P55,Tables!$A$91:$A$94,1),1),ROWS(Tables!$A$91:$A$94)-1)))+(P55-INDEX(Tables!$A$91:$A$94,MAX(1,MIN(IFERROR(MATCH(P55,Tables!$A$91:$A$94,1),1),ROWS(Tables!$A$91:$A$94)-1))))*(INDEX(Tables!$B$91:$B$94,MAX(1,MIN(IFERROR(MATCH(P55,Tables!$A$91:$A$94,1),1),ROWS(Tables!$A$91:$A$94)-1))+1)-INDEX(Tables!$B$91:$B$94,MAX(1,MIN(IFERROR(MATCH(P55,Tables!$A$91:$A$94,1),1),ROWS(Tables!$A$91:$A$94)-1))))/(INDEX(Tables!$A$91:$A$94,MAX(1,MIN(IFERROR(MATCH(P55,Tables!$A$91:$A$94,1),1),ROWS(Tables!$A$91:$A$94)-1))+1)-INDEX(Tables!$A$91:$A$94,MAX(1,MIN(IFERROR(MATCH(P55,Tables!$A$91:$A$94,1),1),ROWS(Tables!$A$91:$A$94)-1)))))</f>
        <v>1.3542682926829268</v>
      </c>
      <c r="AP55" s="181">
        <f>IF(AD55=5000,(INDEX(Tables!$B$99:$B$118,MAX(1,MIN(IFERROR(MATCH(AF55,Tables!$A$99:$A$118,1),1),ROWS(Tables!$A$99:$A$118)-1)))+(AF55-INDEX(Tables!$A$99:$A$118,MAX(1,MIN(IFERROR(MATCH(AF55,Tables!$A$99:$A$118,1),1),ROWS(Tables!$A$99:$A$118)-1))))*(INDEX(Tables!$B$99:$B$118,MAX(1,MIN(IFERROR(MATCH(AF55,Tables!$A$99:$A$118,1),1),ROWS(Tables!$A$99:$A$118)-1))+1)-INDEX(Tables!$B$99:$B$118,MAX(1,MIN(IFERROR(MATCH(AF55,Tables!$A$99:$A$118,1),1),ROWS(Tables!$A$99:$A$118)-1))))/(INDEX(Tables!$A$99:$A$118,MAX(1,MIN(IFERROR(MATCH(AF55,Tables!$A$99:$A$118,1),1),ROWS(Tables!$A$99:$A$118)-1))+1)-INDEX(Tables!$A$99:$A$118,MAX(1,MIN(IFERROR(MATCH(AF55,Tables!$A$99:$A$118,1),1),ROWS(Tables!$A$99:$A$118)-1))))),IF(AD55=10000,(INDEX(Tables!$D$99:$D$118,MAX(1,MIN(IFERROR(MATCH(AF55,Tables!$C$99:$C$118,1),1),ROWS(Tables!$C$99:$C$118)-1)))+(AF55-INDEX(Tables!$C$99:$C$118,MAX(1,MIN(IFERROR(MATCH(AF55,Tables!$C$99:$C$118,1),1),ROWS(Tables!$C$99:$C$118)-1))))*(INDEX(Tables!$D$99:$D$118,MAX(1,MIN(IFERROR(MATCH(AF55,Tables!$C$99:$C$118,1),1),ROWS(Tables!$C$99:$C$118)-1))+1)-INDEX(Tables!$D$99:$D$118,MAX(1,MIN(IFERROR(MATCH(AF55,Tables!$C$99:$C$118,1),1),ROWS(Tables!$C$99:$C$118)-1))))/(INDEX(Tables!$C$99:$C$118,MAX(1,MIN(IFERROR(MATCH(AF55,Tables!$C$99:$C$118,1),1),ROWS(Tables!$C$99:$C$118)-1))+1)-INDEX(Tables!$C$99:$C$118,MAX(1,MIN(IFERROR(MATCH(AF55,Tables!$C$99:$C$118,1),1),ROWS(Tables!$C$99:$C$118)-1))))),(INDEX(Tables!$F$99:$F$118,MAX(1,MIN(IFERROR(MATCH(AF55,Tables!$E$99:$E$118,1),1),ROWS(Tables!$E$99:$E$118)-1)))+(AF55-INDEX(Tables!$E$99:$E$118,MAX(1,MIN(IFERROR(MATCH(AF55,Tables!$E$99:$E$118,1),1),ROWS(Tables!$E$99:$E$118)-1))))*(INDEX(Tables!$F$99:$F$118,MAX(1,MIN(IFERROR(MATCH(AF55,Tables!$E$99:$E$118,1),1),ROWS(Tables!$E$99:$E$118)-1))+1)-INDEX(Tables!$F$99:$F$118,MAX(1,MIN(IFERROR(MATCH(AF55,Tables!$E$99:$E$118,1),1),ROWS(Tables!$E$99:$E$118)-1))))/(INDEX(Tables!$E$99:$E$118,MAX(1,MIN(IFERROR(MATCH(AF55,Tables!$E$99:$E$118,1),1),ROWS(Tables!$E$99:$E$118)-1))+1)-INDEX(Tables!$E$99:$E$118,MAX(1,MIN(IFERROR(MATCH(AF55,Tables!$E$99:$E$118,1),1),ROWS(Tables!$E$99:$E$118)-1)))))))</f>
        <v>13.297525555555557</v>
      </c>
      <c r="AQ55" s="181">
        <f>IF(P55&lt;6,(INDEX(Tables!$B$123:$B$138,MAX(1,MIN(IFERROR(MATCH(U55,Tables!$A$123:$A$138,1),1),ROWS(Tables!$A$123:$A$138)-1)))+(U55-INDEX(Tables!$A$123:$A$138,MAX(1,MIN(IFERROR(MATCH(U55,Tables!$A$123:$A$138,1),1),ROWS(Tables!$A$123:$A$138)-1))))*(INDEX(Tables!$B$123:$B$138,MAX(1,MIN(IFERROR(MATCH(U55,Tables!$A$123:$A$138,1),1),ROWS(Tables!$A$123:$A$138)-1))+1)-INDEX(Tables!$B$123:$B$138,MAX(1,MIN(IFERROR(MATCH(U55,Tables!$A$123:$A$138,1),1),ROWS(Tables!$A$123:$A$138)-1))))/(INDEX(Tables!$A$123:$A$138,MAX(1,MIN(IFERROR(MATCH(U55,Tables!$A$123:$A$138,1),1),ROWS(Tables!$A$123:$A$138)-1))+1)-INDEX(Tables!$A$123:$A$138,MAX(1,MIN(IFERROR(MATCH(U55,Tables!$A$123:$A$138,1),1),ROWS(Tables!$A$123:$A$138)-1))))),IF(P55&lt;8,(INDEX(Tables!$D$123:$D$138,MAX(1,MIN(IFERROR(MATCH(U55,Tables!$C$123:$C$138,1),1),ROWS(Tables!$C$123:$C$138)-1)))+(U55-INDEX(Tables!$C$123:$C$138,MAX(1,MIN(IFERROR(MATCH(U55,Tables!$C$123:$C$138,1),1),ROWS(Tables!$C$123:$C$138)-1))))*(INDEX(Tables!$D$123:$D$138,MAX(1,MIN(IFERROR(MATCH(U55,Tables!$C$123:$C$138,1),1),ROWS(Tables!$C$123:$C$138)-1))+1)-INDEX(Tables!$D$123:$D$138,MAX(1,MIN(IFERROR(MATCH(U55,Tables!$C$123:$C$138,1),1),ROWS(Tables!$C$123:$C$138)-1))))/(INDEX(Tables!$C$123:$C$138,MAX(1,MIN(IFERROR(MATCH(U55,Tables!$C$123:$C$138,1),1),ROWS(Tables!$C$123:$C$138)-1))+1)-INDEX(Tables!$C$123:$C$138,MAX(1,MIN(IFERROR(MATCH(U55,Tables!$C$123:$C$138,1),1),ROWS(Tables!$C$123:$C$138)-1))))),IF(P55&lt;10,(INDEX(Tables!$F$123:$F$138,MAX(1,MIN(IFERROR(MATCH(U55,Tables!$E$123:$E$138,1),1),ROWS(Tables!$E$123:$E$138)-1)))+(U55-INDEX(Tables!$E$123:$E$138,MAX(1,MIN(IFERROR(MATCH(U55,Tables!$E$123:$E$138,1),1),ROWS(Tables!$E$123:$E$138)-1))))*(INDEX(Tables!$F$123:$F$138,MAX(1,MIN(IFERROR(MATCH(U55,Tables!$E$123:$E$138,1),1),ROWS(Tables!$E$123:$E$138)-1))+1)-INDEX(Tables!$F$123:$F$138,MAX(1,MIN(IFERROR(MATCH(U55,Tables!$E$123:$E$138,1),1),ROWS(Tables!$E$123:$E$138)-1))))/(INDEX(Tables!$E$123:$E$138,MAX(1,MIN(IFERROR(MATCH(U55,Tables!$E$123:$E$138,1),1),ROWS(Tables!$E$123:$E$138)-1))+1)-INDEX(Tables!$E$123:$E$138,MAX(1,MIN(IFERROR(MATCH(U55,Tables!$E$123:$E$138,1),1),ROWS(Tables!$E$123:$E$138)-1))))),(INDEX(Tables!$H$123:$H$138,MAX(1,MIN(IFERROR(MATCH(U55,Tables!$G$123:$G$138,1),1),ROWS(Tables!$G$123:$G$138)-1)))+(U55-INDEX(Tables!$G$123:$G$138,MAX(1,MIN(IFERROR(MATCH(U55,Tables!$G$123:$G$138,1),1),ROWS(Tables!$G$123:$G$138)-1))))*(INDEX(Tables!$H$123:$H$138,MAX(1,MIN(IFERROR(MATCH(U55,Tables!$G$123:$G$138,1),1),ROWS(Tables!$G$123:$G$138)-1))+1)-INDEX(Tables!$H$123:$H$138,MAX(1,MIN(IFERROR(MATCH(U55,Tables!$G$123:$G$138,1),1),ROWS(Tables!$G$123:$G$138)-1))))/(INDEX(Tables!$G$123:$G$138,MAX(1,MIN(IFERROR(MATCH(U55,Tables!$G$123:$G$138,1),1),ROWS(Tables!$G$123:$G$138)-1))+1)-INDEX(Tables!$G$123:$G$138,MAX(1,MIN(IFERROR(MATCH(U55,Tables!$G$123:$G$138,1),1),ROWS(Tables!$G$123:$G$138)-1))))))))</f>
        <v>0.57750000000000001</v>
      </c>
      <c r="AR55" s="181">
        <f>IF(OR(P55&gt;=4,U55&gt;12),VLOOKUP(R55&amp;" "&amp;S55,Tables!$D$143:$F$148,2,FALSE),VLOOKUP(R55&amp;" "&amp;S55,Tables!$A$143:$C$148,2,FALSE))</f>
        <v>0.9</v>
      </c>
      <c r="AS55" s="181">
        <f>IF(OR(P55&gt;=4,U55&gt;12),VLOOKUP(R55&amp;" "&amp;S55,Tables!$D$143:$F$148,3,FALSE),VLOOKUP(R55&amp;" "&amp;S55,Tables!$A$143:$C$148,3,FALSE))</f>
        <v>0.65</v>
      </c>
      <c r="AT55" s="181">
        <f t="shared" si="40"/>
        <v>506.99322135733627</v>
      </c>
      <c r="AU55" s="181">
        <f>IF(AD55=5000,(INDEX(Tables!$B$244:$B$263,MAX(1,MIN(IFERROR(MATCH(AF55,Tables!$A$244:$A$263,1),1),ROWS(Tables!$A$244:$A$263)-1)))+(AF55-INDEX(Tables!$A$244:$A$263,MAX(1,MIN(IFERROR(MATCH(AF55,Tables!$A$244:$A$263,1),1),ROWS(Tables!$A$244:$A$263)-1))))*(INDEX(Tables!$B$244:$B$263,MAX(1,MIN(IFERROR(MATCH(AF55,Tables!$A$244:$A$263,1),1),ROWS(Tables!$A$244:$A$263)-1))+1)-INDEX(Tables!$B$244:$B$263,MAX(1,MIN(IFERROR(MATCH(AF55,Tables!$A$244:$A$263,1),1),ROWS(Tables!$A$244:$A$263)-1))))/(INDEX(Tables!$A$244:$A$263,MAX(1,MIN(IFERROR(MATCH(AF55,Tables!$A$244:$A$263,1),1),ROWS(Tables!$A$244:$A$263)-1))+1)-INDEX(Tables!$A$244:$A$263,MAX(1,MIN(IFERROR(MATCH(AF55,Tables!$A$244:$A$263,1),1),ROWS(Tables!$A$244:$A$263)-1))))),IF(AD55=10000,(INDEX(Tables!$D$244:$D$263,MAX(1,MIN(IFERROR(MATCH(AF55,Tables!$C$244:$C$263,1),1),ROWS(Tables!$C$244:$C$263)-1)))+(AF55-INDEX(Tables!$C$244:$C$263,MAX(1,MIN(IFERROR(MATCH(AF55,Tables!$C$244:$C$263,1),1),ROWS(Tables!$C$244:$C$263)-1))))*(INDEX(Tables!$D$244:$D$263,MAX(1,MIN(IFERROR(MATCH(AF55,Tables!$C$244:$C$263,1),1),ROWS(Tables!$C$244:$C$263)-1))+1)-INDEX(Tables!$D$244:$D$263,MAX(1,MIN(IFERROR(MATCH(AF55,Tables!$C$244:$C$263,1),1),ROWS(Tables!$C$244:$C$263)-1))))/(INDEX(Tables!$C$244:$C$263,MAX(1,MIN(IFERROR(MATCH(AF55,Tables!$C$244:$C$263,1),1),ROWS(Tables!$C$244:$C$263)-1))+1)-INDEX(Tables!$C$244:$C$263,MAX(1,MIN(IFERROR(MATCH(AF55,Tables!$C$244:$C$263,1),1),ROWS(Tables!$C$244:$C$263)-1))))),(INDEX(Tables!$F$244:$F$263,MAX(1,MIN(IFERROR(MATCH(AF55,Tables!$E$244:$E$263,1),1),ROWS(Tables!$E$244:$E$263)-1)))+(AF55-INDEX(Tables!$E$244:$E$263,MAX(1,MIN(IFERROR(MATCH(AF55,Tables!$E$244:$E$263,1),1),ROWS(Tables!$E$244:$E$263)-1))))*(INDEX(Tables!$F$244:$F$263,MAX(1,MIN(IFERROR(MATCH(AF55,Tables!$E$244:$E$263,1),1),ROWS(Tables!$E$244:$E$263)-1))+1)-INDEX(Tables!$F$244:$F$263,MAX(1,MIN(IFERROR(MATCH(AF55,Tables!$E$244:$E$263,1),1),ROWS(Tables!$E$244:$E$263)-1))))/(INDEX(Tables!$E$244:$E$263,MAX(1,MIN(IFERROR(MATCH(AF55,Tables!$E$244:$E$263,1),1),ROWS(Tables!$E$244:$E$263)-1))+1)-INDEX(Tables!$E$244:$E$263,MAX(1,MIN(IFERROR(MATCH(AF55,Tables!$E$244:$E$263,1),1),ROWS(Tables!$E$244:$E$263)-1)))))))</f>
        <v>9.7907314814814814</v>
      </c>
      <c r="AV55" s="181">
        <f>IF(P55&lt;6,(INDEX(Tables!$B$260:$B$274,MAX(1,MIN(IFERROR(MATCH(U55,Tables!$A$260:$A$274,1),1),ROWS(Tables!$A$260:$A$274)-1)))+(U55-INDEX(Tables!$A$260:$A$274,MAX(1,MIN(IFERROR(MATCH(U55,Tables!$A$260:$A$274,1),1),ROWS(Tables!$A$260:$A$274)-1))))*(INDEX(Tables!$B$260:$B$274,MAX(1,MIN(IFERROR(MATCH(U55,Tables!$A$260:$A$274,1),1),ROWS(Tables!$A$260:$A$274)-1))+1)-INDEX(Tables!$B$260:$B$274,MAX(1,MIN(IFERROR(MATCH(U55,Tables!$A$260:$A$274,1),1),ROWS(Tables!$A$260:$A$274)-1))))/(INDEX(Tables!$A$260:$A$274,MAX(1,MIN(IFERROR(MATCH(U55,Tables!$A$260:$A$274,1),1),ROWS(Tables!$A$260:$A$274)-1))+1)-INDEX(Tables!$A$260:$A$274,MAX(1,MIN(IFERROR(MATCH(U55,Tables!$A$260:$A$274,1),1),ROWS(Tables!$A$260:$A$274)-1))))),IF(P55&lt;8,(INDEX(Tables!$D$260:$D$274,MAX(1,MIN(IFERROR(MATCH(U55,Tables!$C$260:$C$274,1),1),ROWS(Tables!$C$260:$C$274)-1)))+(U55-INDEX(Tables!$C$260:$C$274,MAX(1,MIN(IFERROR(MATCH(U55,Tables!$C$260:$C$274,1),1),ROWS(Tables!$C$260:$C$274)-1))))*(INDEX(Tables!$D$260:$D$274,MAX(1,MIN(IFERROR(MATCH(U55,Tables!$C$260:$C$274,1),1),ROWS(Tables!$C$260:$C$274)-1))+1)-INDEX(Tables!$D$260:$D$274,MAX(1,MIN(IFERROR(MATCH(U55,Tables!$C$260:$C$274,1),1),ROWS(Tables!$C$260:$C$274)-1))))/(INDEX(Tables!$C$260:$C$274,MAX(1,MIN(IFERROR(MATCH(U55,Tables!$C$260:$C$274,1),1),ROWS(Tables!$C$260:$C$274)-1))+1)-INDEX(Tables!$C$260:$C$274,MAX(1,MIN(IFERROR(MATCH(U55,Tables!$C$260:$C$274,1),1),ROWS(Tables!$C$260:$C$274)-1))))),IF(P55&lt;10,(INDEX(Tables!$F$260:$F$274,MAX(1,MIN(IFERROR(MATCH(U55,Tables!$E$260:$E$274,1),1),ROWS(Tables!$E$260:$E$274)-1)))+(U55-INDEX(Tables!$E$260:$E$274,MAX(1,MIN(IFERROR(MATCH(U55,Tables!$E$260:$E$274,1),1),ROWS(Tables!$E$260:$E$274)-1))))*(INDEX(Tables!$F$260:$F$274,MAX(1,MIN(IFERROR(MATCH(U55,Tables!$E$260:$E$274,1),1),ROWS(Tables!$E$260:$E$274)-1))+1)-INDEX(Tables!$F$260:$F$274,MAX(1,MIN(IFERROR(MATCH(U55,Tables!$E$260:$E$274,1),1),ROWS(Tables!$E$260:$E$274)-1))))/(INDEX(Tables!$E$260:$E$274,MAX(1,MIN(IFERROR(MATCH(U55,Tables!$E$260:$E$274,1),1),ROWS(Tables!$E$260:$E$274)-1))+1)-INDEX(Tables!$E$260:$E$274,MAX(1,MIN(IFERROR(MATCH(U55,Tables!$E$260:$E$274,1),1),ROWS(Tables!$E$260:$E$274)-1))))),(INDEX(Tables!$H$260:$H$274,MAX(1,MIN(IFERROR(MATCH(U55,Tables!$G$260:$G$274,1),1),ROWS(Tables!$G$260:$G$274)-1)))+(U55-INDEX(Tables!$G$260:$G$274,MAX(1,MIN(IFERROR(MATCH(U55,Tables!$G$260:$G$274,1),1),ROWS(Tables!$G$260:$G$274)-1))))*(INDEX(Tables!$H$260:$H$274,MAX(1,MIN(IFERROR(MATCH(U55,Tables!$G$260:$G$274,1),1),ROWS(Tables!$G$260:$G$274)-1))+1)-INDEX(Tables!$H$260:$H$274,MAX(1,MIN(IFERROR(MATCH(U55,Tables!$G$260:$G$274,1),1),ROWS(Tables!$G$260:$G$274)-1))))/(INDEX(Tables!$G$260:$G$274,MAX(1,MIN(IFERROR(MATCH(U55,Tables!$G$260:$G$274,1),1),ROWS(Tables!$G$260:$G$274)-1))+1)-INDEX(Tables!$G$260:$G$274,MAX(1,MIN(IFERROR(MATCH(U55,Tables!$G$260:$G$274,1),1),ROWS(Tables!$G$260:$G$274)-1))))))))</f>
        <v>0.64533333333333331</v>
      </c>
      <c r="AW55" s="181">
        <f t="shared" si="41"/>
        <v>417.13686094929994</v>
      </c>
      <c r="AX55" s="181">
        <f t="shared" si="42"/>
        <v>0</v>
      </c>
      <c r="AY55" s="181">
        <f t="shared" si="43"/>
        <v>6944.4522840073359</v>
      </c>
      <c r="AZ55" s="181">
        <f t="shared" si="44"/>
        <v>2348.3745797442998</v>
      </c>
      <c r="BA55" s="181">
        <f t="shared" si="45"/>
        <v>0</v>
      </c>
      <c r="BB55" s="181">
        <f t="shared" si="46"/>
        <v>6118.1782809618953</v>
      </c>
      <c r="BC55" s="181">
        <f t="shared" si="47"/>
        <v>46800</v>
      </c>
      <c r="BD55" s="181">
        <f>VLOOKUP(V55&amp;" "&amp;J55,Tables!$A$152:$E$239,4,FALSE)</f>
        <v>12000</v>
      </c>
      <c r="BE55" s="181">
        <f>VLOOKUP(V55&amp;" "&amp;J55,Tables!$A$152:$E$239,5,FALSE)</f>
        <v>23000</v>
      </c>
      <c r="BF55" s="181">
        <f t="shared" si="48"/>
        <v>8640</v>
      </c>
      <c r="BG55" s="181">
        <f t="shared" si="49"/>
        <v>16560</v>
      </c>
      <c r="BH55" s="181">
        <f t="shared" si="50"/>
        <v>0</v>
      </c>
      <c r="BI55" s="181">
        <f t="shared" si="51"/>
        <v>46800</v>
      </c>
      <c r="BJ55" s="181">
        <f t="shared" si="52"/>
        <v>6118.1782809618953</v>
      </c>
      <c r="BK55" s="181">
        <f t="shared" si="53"/>
        <v>46800</v>
      </c>
      <c r="BL55" s="181">
        <f t="shared" si="54"/>
        <v>417.13686094929994</v>
      </c>
      <c r="BM55" s="181">
        <f t="shared" si="55"/>
        <v>8640</v>
      </c>
      <c r="BN55" s="181">
        <f t="shared" si="56"/>
        <v>506.99322135733627</v>
      </c>
      <c r="BO55" s="181">
        <f t="shared" si="57"/>
        <v>16560</v>
      </c>
      <c r="BP55" t="str">
        <f t="shared" si="58"/>
        <v>Pass</v>
      </c>
      <c r="BQ55" t="str">
        <f t="shared" si="59"/>
        <v>Pass</v>
      </c>
      <c r="BR55" t="str">
        <f t="shared" si="60"/>
        <v>Pass</v>
      </c>
      <c r="BS55" t="str">
        <f t="shared" si="61"/>
        <v>Pass</v>
      </c>
      <c r="BT55" t="str">
        <f t="shared" si="62"/>
        <v>Pass</v>
      </c>
      <c r="BU55" t="str">
        <f t="shared" si="63"/>
        <v>Effective Stress</v>
      </c>
    </row>
    <row r="56" spans="1:73">
      <c r="A56" t="s">
        <v>648</v>
      </c>
      <c r="B56" s="181">
        <v>54</v>
      </c>
      <c r="C56" t="s">
        <v>594</v>
      </c>
      <c r="D56" s="181">
        <v>36</v>
      </c>
      <c r="E56" s="181">
        <v>0.32500000000000001</v>
      </c>
      <c r="F56" t="s">
        <v>117</v>
      </c>
      <c r="G56" t="s">
        <v>119</v>
      </c>
      <c r="H56" t="s">
        <v>122</v>
      </c>
      <c r="I56" s="181">
        <v>1</v>
      </c>
      <c r="J56" t="s">
        <v>126</v>
      </c>
      <c r="K56" t="s">
        <v>129</v>
      </c>
      <c r="L56" s="181">
        <v>70</v>
      </c>
      <c r="M56" s="181">
        <v>100</v>
      </c>
      <c r="N56" t="s">
        <v>391</v>
      </c>
      <c r="O56" s="181">
        <v>120</v>
      </c>
      <c r="P56" s="181">
        <v>14</v>
      </c>
      <c r="Q56" s="181">
        <v>38</v>
      </c>
      <c r="R56" t="s">
        <v>418</v>
      </c>
      <c r="S56" t="s">
        <v>420</v>
      </c>
      <c r="T56" s="181">
        <v>70</v>
      </c>
      <c r="U56" s="181">
        <f>HLOOKUP(D56,'Highway Loading'!$C$155:$AD$156,2,FALSE)</f>
        <v>36</v>
      </c>
      <c r="V56" s="181">
        <f>IF(ISBLANK(G56),"",INDEX('Highway Loading'!$C$216:$AG$216,1,MATCH(G56,'Highway Loading'!$C$215:$AG$215,0)))</f>
        <v>65000</v>
      </c>
      <c r="W56" s="181">
        <f>INDEX('Highway Loading'!$I$245:$L$253,MATCH(H56,'Highway Loading'!$H$245:$H$253,0),MATCH(I56,'Highway Loading'!$I$244:$L$244,0))</f>
        <v>0.72</v>
      </c>
      <c r="X56" s="181">
        <f t="shared" si="32"/>
        <v>1</v>
      </c>
      <c r="Y56" s="181">
        <f>VLOOKUP(K56,'Highway Loading'!$B$283:$E$292,2,FALSE)</f>
        <v>29000000</v>
      </c>
      <c r="Z56" s="181">
        <f>VLOOKUP(K56,'Highway Loading'!$B$283:$E$292,3,FALSE)</f>
        <v>0.3</v>
      </c>
      <c r="AA56" s="181">
        <f>VLOOKUP(K56,'Highway Loading'!$B$283:$E$292,4,FALSE)</f>
        <v>6.4999999999999996E-6</v>
      </c>
      <c r="AB56" s="181">
        <f t="shared" si="33"/>
        <v>1</v>
      </c>
      <c r="AC56" s="181">
        <f>VLOOKUP(N56,'Highway Loading'!$B$256:$D$261,2,FALSE)</f>
        <v>1000</v>
      </c>
      <c r="AD56" s="181">
        <f>VLOOKUP(N56,'Highway Loading'!$B$256:$D$261,3,FALSE)</f>
        <v>10000</v>
      </c>
      <c r="AE56" s="181">
        <f>VLOOKUP(S56,'Highway Loading'!$B$340:$C$341,2,FALSE)</f>
        <v>12000</v>
      </c>
      <c r="AF56" s="181">
        <f t="shared" si="34"/>
        <v>9.0277777777777787E-3</v>
      </c>
      <c r="AG56" s="181">
        <f t="shared" si="35"/>
        <v>4.4210526315789478</v>
      </c>
      <c r="AH56" s="181">
        <f t="shared" si="36"/>
        <v>1.0555555555555556</v>
      </c>
      <c r="AI56" s="181">
        <f t="shared" si="37"/>
        <v>5538.4615384615381</v>
      </c>
      <c r="AJ56" s="181">
        <f t="shared" si="38"/>
        <v>46800</v>
      </c>
      <c r="AK56" s="181">
        <f>IF(AC56=200,(INDEX(Tables!$B$17:$B$38,MAX(1,MIN(IFERROR(MATCH(AF56,Tables!$A$17:$A$38,1),1),ROWS(Tables!$A$17:$A$38)-1)))+(AF56-INDEX(Tables!$A$17:$A$38,MAX(1,MIN(IFERROR(MATCH(AF56,Tables!$A$17:$A$38,1),1),ROWS(Tables!$A$17:$A$38)-1))))*(INDEX(Tables!$B$17:$B$38,MAX(1,MIN(IFERROR(MATCH(AF56,Tables!$A$17:$A$38,1),1),ROWS(Tables!$A$17:$A$38)-1))+1)-INDEX(Tables!$B$17:$B$38,MAX(1,MIN(IFERROR(MATCH(AF56,Tables!$A$17:$A$38,1),1),ROWS(Tables!$A$17:$A$38)-1))))/(INDEX(Tables!$A$17:$A$38,MAX(1,MIN(IFERROR(MATCH(AF56,Tables!$A$17:$A$38,1),1),ROWS(Tables!$A$17:$A$38)-1))+1)-INDEX(Tables!$A$17:$A$38,MAX(1,MIN(IFERROR(MATCH(AF56,Tables!$A$17:$A$38,1),1),ROWS(Tables!$A$17:$A$38)-1))))),IF(AC56=500,(INDEX(Tables!$D$17:$D$38,MAX(1,MIN(IFERROR(MATCH(AF56,Tables!$C$17:$C$38,1),1),ROWS(Tables!$C$17:$C$38)-1)))+(AF56-INDEX(Tables!$C$17:$C$38,MAX(1,MIN(IFERROR(MATCH(AF56,Tables!$C$17:$C$38,1),1),ROWS(Tables!$C$17:$C$38)-1))))*(INDEX(Tables!$D$17:$D$38,MAX(1,MIN(IFERROR(MATCH(AF56,Tables!$C$17:$C$38,1),1),ROWS(Tables!$C$17:$C$38)-1))+1)-INDEX(Tables!$D$17:$D$38,MAX(1,MIN(IFERROR(MATCH(AF56,Tables!$C$17:$C$38,1),1),ROWS(Tables!$C$17:$C$38)-1))))/(INDEX(Tables!$C$17:$C$38,MAX(1,MIN(IFERROR(MATCH(AF56,Tables!$C$17:$C$38,1),1),ROWS(Tables!$C$17:$C$38)-1))+1)-INDEX(Tables!$C$17:$C$38,MAX(1,MIN(IFERROR(MATCH(AF56,Tables!$C$17:$C$38,1),1),ROWS(Tables!$C$17:$C$38)-1))))),IF(AC56=1000,(INDEX(Tables!$F$17:$F$38,MAX(1,MIN(IFERROR(MATCH(AF56,Tables!$E$17:$E$38,1),1),ROWS(Tables!$E$17:$E$38)-1)))+(AF56-INDEX(Tables!$E$17:$E$38,MAX(1,MIN(IFERROR(MATCH(AF56,Tables!$E$17:$E$38,1),1),ROWS(Tables!$E$17:$E$38)-1))))*(INDEX(Tables!$F$17:$F$38,MAX(1,MIN(IFERROR(MATCH(AF56,Tables!$E$17:$E$38,1),1),ROWS(Tables!$E$17:$E$38)-1))+1)-INDEX(Tables!$F$17:$F$38,MAX(1,MIN(IFERROR(MATCH(AF56,Tables!$E$17:$E$38,1),1),ROWS(Tables!$E$17:$E$38)-1))))/(INDEX(Tables!$E$17:$E$38,MAX(1,MIN(IFERROR(MATCH(AF56,Tables!$E$17:$E$38,1),1),ROWS(Tables!$E$17:$E$38)-1))+1)-INDEX(Tables!$E$17:$E$38,MAX(1,MIN(IFERROR(MATCH(AF56,Tables!$E$17:$E$38,1),1),ROWS(Tables!$E$17:$E$38)-1))))),(INDEX(Tables!$H$17:$H$38,MAX(1,MIN(IFERROR(MATCH(AF56,Tables!$G$17:$G$38,1),1),ROWS(Tables!$G$17:$G$38)-1)))+(AF56-INDEX(Tables!$G$17:$G$38,MAX(1,MIN(IFERROR(MATCH(AF56,Tables!$G$17:$G$38,1),1),ROWS(Tables!$G$17:$G$38)-1))))*(INDEX(Tables!$H$17:$H$38,MAX(1,MIN(IFERROR(MATCH(AF56,Tables!$G$17:$G$38,1),1),ROWS(Tables!$G$17:$G$38)-1))+1)-INDEX(Tables!$H$17:$H$38,MAX(1,MIN(IFERROR(MATCH(AF56,Tables!$G$17:$G$38,1),1),ROWS(Tables!$G$17:$G$38)-1))))/(INDEX(Tables!$G$17:$G$38,MAX(1,MIN(IFERROR(MATCH(AF56,Tables!$G$17:$G$38,1),1),ROWS(Tables!$G$17:$G$38)-1))+1)-INDEX(Tables!$G$17:$G$38,MAX(1,MIN(IFERROR(MATCH(AF56,Tables!$G$17:$G$38,1),1),ROWS(Tables!$G$17:$G$38)-1))))))))</f>
        <v>4874.5555555555557</v>
      </c>
      <c r="AL56" s="181">
        <f>IF(AC56&lt;1000,(INDEX(Tables!$B$43:$B$76,MAX(1,MIN(IFERROR(MATCH(AG56,Tables!$A$43:$A$76,1),1),ROWS(Tables!$A$43:$A$76)-1)))+(AG56-INDEX(Tables!$A$43:$A$76,MAX(1,MIN(IFERROR(MATCH(AG56,Tables!$A$43:$A$76,1),1),ROWS(Tables!$A$43:$A$76)-1))))*(INDEX(Tables!$B$43:$B$76,MAX(1,MIN(IFERROR(MATCH(AG56,Tables!$A$43:$A$76,1),1),ROWS(Tables!$A$43:$A$76)-1))+1)-INDEX(Tables!$B$43:$B$76,MAX(1,MIN(IFERROR(MATCH(AG56,Tables!$A$43:$A$76,1),1),ROWS(Tables!$A$43:$A$76)-1))))/(INDEX(Tables!$A$43:$A$76,MAX(1,MIN(IFERROR(MATCH(AG56,Tables!$A$43:$A$76,1),1),ROWS(Tables!$A$43:$A$76)-1))+1)-INDEX(Tables!$A$43:$A$76,MAX(1,MIN(IFERROR(MATCH(AG56,Tables!$A$43:$A$76,1),1),ROWS(Tables!$A$43:$A$76)-1))))),(INDEX(Tables!$D$43:$D$76,MAX(1,MIN(IFERROR(MATCH(AG56,Tables!$C$43:$C$76,1),1),ROWS(Tables!$C$43:$C$76)-1)))+(AG56-INDEX(Tables!$C$43:$C$76,MAX(1,MIN(IFERROR(MATCH(AG56,Tables!$C$43:$C$76,1),1),ROWS(Tables!$C$43:$C$76)-1))))*(INDEX(Tables!$D$43:$D$76,MAX(1,MIN(IFERROR(MATCH(AG56,Tables!$C$43:$C$76,1),1),ROWS(Tables!$C$43:$C$76)-1))+1)-INDEX(Tables!$D$43:$D$76,MAX(1,MIN(IFERROR(MATCH(AG56,Tables!$C$43:$C$76,1),1),ROWS(Tables!$C$43:$C$76)-1))))/(INDEX(Tables!$C$43:$C$76,MAX(1,MIN(IFERROR(MATCH(AG56,Tables!$C$43:$C$76,1),1),ROWS(Tables!$C$43:$C$76)-1))+1)-INDEX(Tables!$C$43:$C$76,MAX(1,MIN(IFERROR(MATCH(AG56,Tables!$C$43:$C$76,1),1),ROWS(Tables!$C$43:$C$76)-1))))))</f>
        <v>0.92289473684210532</v>
      </c>
      <c r="AM56" s="181">
        <f>(INDEX(Tables!$B$80:$B$87,MAX(1,MIN(IFERROR(MATCH(AH56,Tables!$A$80:$A$87,1),1),ROWS(Tables!$A$80:$A$87)-1)))+(AH56-INDEX(Tables!$A$80:$A$87,MAX(1,MIN(IFERROR(MATCH(AH56,Tables!$A$80:$A$87,1),1),ROWS(Tables!$A$80:$A$87)-1))))*(INDEX(Tables!$B$80:$B$87,MAX(1,MIN(IFERROR(MATCH(AH56,Tables!$A$80:$A$87,1),1),ROWS(Tables!$A$80:$A$87)-1))+1)-INDEX(Tables!$B$80:$B$87,MAX(1,MIN(IFERROR(MATCH(AH56,Tables!$A$80:$A$87,1),1),ROWS(Tables!$A$80:$A$87)-1))))/(INDEX(Tables!$A$80:$A$87,MAX(1,MIN(IFERROR(MATCH(AH56,Tables!$A$80:$A$87,1),1),ROWS(Tables!$A$80:$A$87)-1))+1)-INDEX(Tables!$A$80:$A$87,MAX(1,MIN(IFERROR(MATCH(AH56,Tables!$A$80:$A$87,1),1),ROWS(Tables!$A$80:$A$87)-1)))))</f>
        <v>0.91873333333333329</v>
      </c>
      <c r="AN56" s="181">
        <f t="shared" si="39"/>
        <v>10332.767944722224</v>
      </c>
      <c r="AO56" s="181">
        <f>(INDEX(Tables!$B$91:$B$94,MAX(1,MIN(IFERROR(MATCH(P56,Tables!$A$91:$A$94,1),1),ROWS(Tables!$A$91:$A$94)-1)))+(P56-INDEX(Tables!$A$91:$A$94,MAX(1,MIN(IFERROR(MATCH(P56,Tables!$A$91:$A$94,1),1),ROWS(Tables!$A$91:$A$94)-1))))*(INDEX(Tables!$B$91:$B$94,MAX(1,MIN(IFERROR(MATCH(P56,Tables!$A$91:$A$94,1),1),ROWS(Tables!$A$91:$A$94)-1))+1)-INDEX(Tables!$B$91:$B$94,MAX(1,MIN(IFERROR(MATCH(P56,Tables!$A$91:$A$94,1),1),ROWS(Tables!$A$91:$A$94)-1))))/(INDEX(Tables!$A$91:$A$94,MAX(1,MIN(IFERROR(MATCH(P56,Tables!$A$91:$A$94,1),1),ROWS(Tables!$A$91:$A$94)-1))+1)-INDEX(Tables!$A$91:$A$94,MAX(1,MIN(IFERROR(MATCH(P56,Tables!$A$91:$A$94,1),1),ROWS(Tables!$A$91:$A$94)-1)))))</f>
        <v>1.2323170731707318</v>
      </c>
      <c r="AP56" s="181">
        <f>IF(AD56=5000,(INDEX(Tables!$B$99:$B$118,MAX(1,MIN(IFERROR(MATCH(AF56,Tables!$A$99:$A$118,1),1),ROWS(Tables!$A$99:$A$118)-1)))+(AF56-INDEX(Tables!$A$99:$A$118,MAX(1,MIN(IFERROR(MATCH(AF56,Tables!$A$99:$A$118,1),1),ROWS(Tables!$A$99:$A$118)-1))))*(INDEX(Tables!$B$99:$B$118,MAX(1,MIN(IFERROR(MATCH(AF56,Tables!$A$99:$A$118,1),1),ROWS(Tables!$A$99:$A$118)-1))+1)-INDEX(Tables!$B$99:$B$118,MAX(1,MIN(IFERROR(MATCH(AF56,Tables!$A$99:$A$118,1),1),ROWS(Tables!$A$99:$A$118)-1))))/(INDEX(Tables!$A$99:$A$118,MAX(1,MIN(IFERROR(MATCH(AF56,Tables!$A$99:$A$118,1),1),ROWS(Tables!$A$99:$A$118)-1))+1)-INDEX(Tables!$A$99:$A$118,MAX(1,MIN(IFERROR(MATCH(AF56,Tables!$A$99:$A$118,1),1),ROWS(Tables!$A$99:$A$118)-1))))),IF(AD56=10000,(INDEX(Tables!$D$99:$D$118,MAX(1,MIN(IFERROR(MATCH(AF56,Tables!$C$99:$C$118,1),1),ROWS(Tables!$C$99:$C$118)-1)))+(AF56-INDEX(Tables!$C$99:$C$118,MAX(1,MIN(IFERROR(MATCH(AF56,Tables!$C$99:$C$118,1),1),ROWS(Tables!$C$99:$C$118)-1))))*(INDEX(Tables!$D$99:$D$118,MAX(1,MIN(IFERROR(MATCH(AF56,Tables!$C$99:$C$118,1),1),ROWS(Tables!$C$99:$C$118)-1))+1)-INDEX(Tables!$D$99:$D$118,MAX(1,MIN(IFERROR(MATCH(AF56,Tables!$C$99:$C$118,1),1),ROWS(Tables!$C$99:$C$118)-1))))/(INDEX(Tables!$C$99:$C$118,MAX(1,MIN(IFERROR(MATCH(AF56,Tables!$C$99:$C$118,1),1),ROWS(Tables!$C$99:$C$118)-1))+1)-INDEX(Tables!$C$99:$C$118,MAX(1,MIN(IFERROR(MATCH(AF56,Tables!$C$99:$C$118,1),1),ROWS(Tables!$C$99:$C$118)-1))))),(INDEX(Tables!$F$99:$F$118,MAX(1,MIN(IFERROR(MATCH(AF56,Tables!$E$99:$E$118,1),1),ROWS(Tables!$E$99:$E$118)-1)))+(AF56-INDEX(Tables!$E$99:$E$118,MAX(1,MIN(IFERROR(MATCH(AF56,Tables!$E$99:$E$118,1),1),ROWS(Tables!$E$99:$E$118)-1))))*(INDEX(Tables!$F$99:$F$118,MAX(1,MIN(IFERROR(MATCH(AF56,Tables!$E$99:$E$118,1),1),ROWS(Tables!$E$99:$E$118)-1))+1)-INDEX(Tables!$F$99:$F$118,MAX(1,MIN(IFERROR(MATCH(AF56,Tables!$E$99:$E$118,1),1),ROWS(Tables!$E$99:$E$118)-1))))/(INDEX(Tables!$E$99:$E$118,MAX(1,MIN(IFERROR(MATCH(AF56,Tables!$E$99:$E$118,1),1),ROWS(Tables!$E$99:$E$118)-1))+1)-INDEX(Tables!$E$99:$E$118,MAX(1,MIN(IFERROR(MATCH(AF56,Tables!$E$99:$E$118,1),1),ROWS(Tables!$E$99:$E$118)-1)))))))</f>
        <v>11.770785529715763</v>
      </c>
      <c r="AQ56" s="181">
        <f>IF(P56&lt;6,(INDEX(Tables!$B$123:$B$138,MAX(1,MIN(IFERROR(MATCH(U56,Tables!$A$123:$A$138,1),1),ROWS(Tables!$A$123:$A$138)-1)))+(U56-INDEX(Tables!$A$123:$A$138,MAX(1,MIN(IFERROR(MATCH(U56,Tables!$A$123:$A$138,1),1),ROWS(Tables!$A$123:$A$138)-1))))*(INDEX(Tables!$B$123:$B$138,MAX(1,MIN(IFERROR(MATCH(U56,Tables!$A$123:$A$138,1),1),ROWS(Tables!$A$123:$A$138)-1))+1)-INDEX(Tables!$B$123:$B$138,MAX(1,MIN(IFERROR(MATCH(U56,Tables!$A$123:$A$138,1),1),ROWS(Tables!$A$123:$A$138)-1))))/(INDEX(Tables!$A$123:$A$138,MAX(1,MIN(IFERROR(MATCH(U56,Tables!$A$123:$A$138,1),1),ROWS(Tables!$A$123:$A$138)-1))+1)-INDEX(Tables!$A$123:$A$138,MAX(1,MIN(IFERROR(MATCH(U56,Tables!$A$123:$A$138,1),1),ROWS(Tables!$A$123:$A$138)-1))))),IF(P56&lt;8,(INDEX(Tables!$D$123:$D$138,MAX(1,MIN(IFERROR(MATCH(U56,Tables!$C$123:$C$138,1),1),ROWS(Tables!$C$123:$C$138)-1)))+(U56-INDEX(Tables!$C$123:$C$138,MAX(1,MIN(IFERROR(MATCH(U56,Tables!$C$123:$C$138,1),1),ROWS(Tables!$C$123:$C$138)-1))))*(INDEX(Tables!$D$123:$D$138,MAX(1,MIN(IFERROR(MATCH(U56,Tables!$C$123:$C$138,1),1),ROWS(Tables!$C$123:$C$138)-1))+1)-INDEX(Tables!$D$123:$D$138,MAX(1,MIN(IFERROR(MATCH(U56,Tables!$C$123:$C$138,1),1),ROWS(Tables!$C$123:$C$138)-1))))/(INDEX(Tables!$C$123:$C$138,MAX(1,MIN(IFERROR(MATCH(U56,Tables!$C$123:$C$138,1),1),ROWS(Tables!$C$123:$C$138)-1))+1)-INDEX(Tables!$C$123:$C$138,MAX(1,MIN(IFERROR(MATCH(U56,Tables!$C$123:$C$138,1),1),ROWS(Tables!$C$123:$C$138)-1))))),IF(P56&lt;10,(INDEX(Tables!$F$123:$F$138,MAX(1,MIN(IFERROR(MATCH(U56,Tables!$E$123:$E$138,1),1),ROWS(Tables!$E$123:$E$138)-1)))+(U56-INDEX(Tables!$E$123:$E$138,MAX(1,MIN(IFERROR(MATCH(U56,Tables!$E$123:$E$138,1),1),ROWS(Tables!$E$123:$E$138)-1))))*(INDEX(Tables!$F$123:$F$138,MAX(1,MIN(IFERROR(MATCH(U56,Tables!$E$123:$E$138,1),1),ROWS(Tables!$E$123:$E$138)-1))+1)-INDEX(Tables!$F$123:$F$138,MAX(1,MIN(IFERROR(MATCH(U56,Tables!$E$123:$E$138,1),1),ROWS(Tables!$E$123:$E$138)-1))))/(INDEX(Tables!$E$123:$E$138,MAX(1,MIN(IFERROR(MATCH(U56,Tables!$E$123:$E$138,1),1),ROWS(Tables!$E$123:$E$138)-1))+1)-INDEX(Tables!$E$123:$E$138,MAX(1,MIN(IFERROR(MATCH(U56,Tables!$E$123:$E$138,1),1),ROWS(Tables!$E$123:$E$138)-1))))),(INDEX(Tables!$H$123:$H$138,MAX(1,MIN(IFERROR(MATCH(U56,Tables!$G$123:$G$138,1),1),ROWS(Tables!$G$123:$G$138)-1)))+(U56-INDEX(Tables!$G$123:$G$138,MAX(1,MIN(IFERROR(MATCH(U56,Tables!$G$123:$G$138,1),1),ROWS(Tables!$G$123:$G$138)-1))))*(INDEX(Tables!$H$123:$H$138,MAX(1,MIN(IFERROR(MATCH(U56,Tables!$G$123:$G$138,1),1),ROWS(Tables!$G$123:$G$138)-1))+1)-INDEX(Tables!$H$123:$H$138,MAX(1,MIN(IFERROR(MATCH(U56,Tables!$G$123:$G$138,1),1),ROWS(Tables!$G$123:$G$138)-1))))/(INDEX(Tables!$G$123:$G$138,MAX(1,MIN(IFERROR(MATCH(U56,Tables!$G$123:$G$138,1),1),ROWS(Tables!$G$123:$G$138)-1))+1)-INDEX(Tables!$G$123:$G$138,MAX(1,MIN(IFERROR(MATCH(U56,Tables!$G$123:$G$138,1),1),ROWS(Tables!$G$123:$G$138)-1))))))))</f>
        <v>0.50060000000000004</v>
      </c>
      <c r="AR56" s="181">
        <f>IF(OR(P56&gt;=4,U56&gt;12),VLOOKUP(R56&amp;" "&amp;S56,Tables!$D$143:$F$148,2,FALSE),VLOOKUP(R56&amp;" "&amp;S56,Tables!$A$143:$C$148,2,FALSE))</f>
        <v>0.9</v>
      </c>
      <c r="AS56" s="181">
        <f>IF(OR(P56&gt;=4,U56&gt;12),VLOOKUP(R56&amp;" "&amp;S56,Tables!$D$143:$F$148,3,FALSE),VLOOKUP(R56&amp;" "&amp;S56,Tables!$A$143:$C$148,3,FALSE))</f>
        <v>0.65</v>
      </c>
      <c r="AT56" s="181">
        <f t="shared" si="40"/>
        <v>353.99194303363834</v>
      </c>
      <c r="AU56" s="181">
        <f>IF(AD56=5000,(INDEX(Tables!$B$244:$B$263,MAX(1,MIN(IFERROR(MATCH(AF56,Tables!$A$244:$A$263,1),1),ROWS(Tables!$A$244:$A$263)-1)))+(AF56-INDEX(Tables!$A$244:$A$263,MAX(1,MIN(IFERROR(MATCH(AF56,Tables!$A$244:$A$263,1),1),ROWS(Tables!$A$244:$A$263)-1))))*(INDEX(Tables!$B$244:$B$263,MAX(1,MIN(IFERROR(MATCH(AF56,Tables!$A$244:$A$263,1),1),ROWS(Tables!$A$244:$A$263)-1))+1)-INDEX(Tables!$B$244:$B$263,MAX(1,MIN(IFERROR(MATCH(AF56,Tables!$A$244:$A$263,1),1),ROWS(Tables!$A$244:$A$263)-1))))/(INDEX(Tables!$A$244:$A$263,MAX(1,MIN(IFERROR(MATCH(AF56,Tables!$A$244:$A$263,1),1),ROWS(Tables!$A$244:$A$263)-1))+1)-INDEX(Tables!$A$244:$A$263,MAX(1,MIN(IFERROR(MATCH(AF56,Tables!$A$244:$A$263,1),1),ROWS(Tables!$A$244:$A$263)-1))))),IF(AD56=10000,(INDEX(Tables!$D$244:$D$263,MAX(1,MIN(IFERROR(MATCH(AF56,Tables!$C$244:$C$263,1),1),ROWS(Tables!$C$244:$C$263)-1)))+(AF56-INDEX(Tables!$C$244:$C$263,MAX(1,MIN(IFERROR(MATCH(AF56,Tables!$C$244:$C$263,1),1),ROWS(Tables!$C$244:$C$263)-1))))*(INDEX(Tables!$D$244:$D$263,MAX(1,MIN(IFERROR(MATCH(AF56,Tables!$C$244:$C$263,1),1),ROWS(Tables!$C$244:$C$263)-1))+1)-INDEX(Tables!$D$244:$D$263,MAX(1,MIN(IFERROR(MATCH(AF56,Tables!$C$244:$C$263,1),1),ROWS(Tables!$C$244:$C$263)-1))))/(INDEX(Tables!$C$244:$C$263,MAX(1,MIN(IFERROR(MATCH(AF56,Tables!$C$244:$C$263,1),1),ROWS(Tables!$C$244:$C$263)-1))+1)-INDEX(Tables!$C$244:$C$263,MAX(1,MIN(IFERROR(MATCH(AF56,Tables!$C$244:$C$263,1),1),ROWS(Tables!$C$244:$C$263)-1))))),(INDEX(Tables!$F$244:$F$263,MAX(1,MIN(IFERROR(MATCH(AF56,Tables!$E$244:$E$263,1),1),ROWS(Tables!$E$244:$E$263)-1)))+(AF56-INDEX(Tables!$E$244:$E$263,MAX(1,MIN(IFERROR(MATCH(AF56,Tables!$E$244:$E$263,1),1),ROWS(Tables!$E$244:$E$263)-1))))*(INDEX(Tables!$F$244:$F$263,MAX(1,MIN(IFERROR(MATCH(AF56,Tables!$E$244:$E$263,1),1),ROWS(Tables!$E$244:$E$263)-1))+1)-INDEX(Tables!$F$244:$F$263,MAX(1,MIN(IFERROR(MATCH(AF56,Tables!$E$244:$E$263,1),1),ROWS(Tables!$E$244:$E$263)-1))))/(INDEX(Tables!$E$244:$E$263,MAX(1,MIN(IFERROR(MATCH(AF56,Tables!$E$244:$E$263,1),1),ROWS(Tables!$E$244:$E$263)-1))+1)-INDEX(Tables!$E$244:$E$263,MAX(1,MIN(IFERROR(MATCH(AF56,Tables!$E$244:$E$263,1),1),ROWS(Tables!$E$244:$E$263)-1)))))))</f>
        <v>9.7669999999999995</v>
      </c>
      <c r="AV56" s="181">
        <f>IF(P56&lt;6,(INDEX(Tables!$B$260:$B$274,MAX(1,MIN(IFERROR(MATCH(U56,Tables!$A$260:$A$274,1),1),ROWS(Tables!$A$260:$A$274)-1)))+(U56-INDEX(Tables!$A$260:$A$274,MAX(1,MIN(IFERROR(MATCH(U56,Tables!$A$260:$A$274,1),1),ROWS(Tables!$A$260:$A$274)-1))))*(INDEX(Tables!$B$260:$B$274,MAX(1,MIN(IFERROR(MATCH(U56,Tables!$A$260:$A$274,1),1),ROWS(Tables!$A$260:$A$274)-1))+1)-INDEX(Tables!$B$260:$B$274,MAX(1,MIN(IFERROR(MATCH(U56,Tables!$A$260:$A$274,1),1),ROWS(Tables!$A$260:$A$274)-1))))/(INDEX(Tables!$A$260:$A$274,MAX(1,MIN(IFERROR(MATCH(U56,Tables!$A$260:$A$274,1),1),ROWS(Tables!$A$260:$A$274)-1))+1)-INDEX(Tables!$A$260:$A$274,MAX(1,MIN(IFERROR(MATCH(U56,Tables!$A$260:$A$274,1),1),ROWS(Tables!$A$260:$A$274)-1))))),IF(P56&lt;8,(INDEX(Tables!$D$260:$D$274,MAX(1,MIN(IFERROR(MATCH(U56,Tables!$C$260:$C$274,1),1),ROWS(Tables!$C$260:$C$274)-1)))+(U56-INDEX(Tables!$C$260:$C$274,MAX(1,MIN(IFERROR(MATCH(U56,Tables!$C$260:$C$274,1),1),ROWS(Tables!$C$260:$C$274)-1))))*(INDEX(Tables!$D$260:$D$274,MAX(1,MIN(IFERROR(MATCH(U56,Tables!$C$260:$C$274,1),1),ROWS(Tables!$C$260:$C$274)-1))+1)-INDEX(Tables!$D$260:$D$274,MAX(1,MIN(IFERROR(MATCH(U56,Tables!$C$260:$C$274,1),1),ROWS(Tables!$C$260:$C$274)-1))))/(INDEX(Tables!$C$260:$C$274,MAX(1,MIN(IFERROR(MATCH(U56,Tables!$C$260:$C$274,1),1),ROWS(Tables!$C$260:$C$274)-1))+1)-INDEX(Tables!$C$260:$C$274,MAX(1,MIN(IFERROR(MATCH(U56,Tables!$C$260:$C$274,1),1),ROWS(Tables!$C$260:$C$274)-1))))),IF(P56&lt;10,(INDEX(Tables!$F$260:$F$274,MAX(1,MIN(IFERROR(MATCH(U56,Tables!$E$260:$E$274,1),1),ROWS(Tables!$E$260:$E$274)-1)))+(U56-INDEX(Tables!$E$260:$E$274,MAX(1,MIN(IFERROR(MATCH(U56,Tables!$E$260:$E$274,1),1),ROWS(Tables!$E$260:$E$274)-1))))*(INDEX(Tables!$F$260:$F$274,MAX(1,MIN(IFERROR(MATCH(U56,Tables!$E$260:$E$274,1),1),ROWS(Tables!$E$260:$E$274)-1))+1)-INDEX(Tables!$F$260:$F$274,MAX(1,MIN(IFERROR(MATCH(U56,Tables!$E$260:$E$274,1),1),ROWS(Tables!$E$260:$E$274)-1))))/(INDEX(Tables!$E$260:$E$274,MAX(1,MIN(IFERROR(MATCH(U56,Tables!$E$260:$E$274,1),1),ROWS(Tables!$E$260:$E$274)-1))+1)-INDEX(Tables!$E$260:$E$274,MAX(1,MIN(IFERROR(MATCH(U56,Tables!$E$260:$E$274,1),1),ROWS(Tables!$E$260:$E$274)-1))))),(INDEX(Tables!$H$260:$H$274,MAX(1,MIN(IFERROR(MATCH(U56,Tables!$G$260:$G$274,1),1),ROWS(Tables!$G$260:$G$274)-1)))+(U56-INDEX(Tables!$G$260:$G$274,MAX(1,MIN(IFERROR(MATCH(U56,Tables!$G$260:$G$274,1),1),ROWS(Tables!$G$260:$G$274)-1))))*(INDEX(Tables!$H$260:$H$274,MAX(1,MIN(IFERROR(MATCH(U56,Tables!$G$260:$G$274,1),1),ROWS(Tables!$G$260:$G$274)-1))+1)-INDEX(Tables!$H$260:$H$274,MAX(1,MIN(IFERROR(MATCH(U56,Tables!$G$260:$G$274,1),1),ROWS(Tables!$G$260:$G$274)-1))))/(INDEX(Tables!$G$260:$G$274,MAX(1,MIN(IFERROR(MATCH(U56,Tables!$G$260:$G$274,1),1),ROWS(Tables!$G$260:$G$274)-1))+1)-INDEX(Tables!$G$260:$G$274,MAX(1,MIN(IFERROR(MATCH(U56,Tables!$G$260:$G$274,1),1),ROWS(Tables!$G$260:$G$274)-1))))))))</f>
        <v>0.51828571428571424</v>
      </c>
      <c r="AW56" s="181">
        <f t="shared" si="41"/>
        <v>304.10776651175956</v>
      </c>
      <c r="AX56" s="181">
        <f t="shared" si="42"/>
        <v>5488.4615384615372</v>
      </c>
      <c r="AY56" s="181">
        <f t="shared" si="43"/>
        <v>16175.221426217398</v>
      </c>
      <c r="AZ56" s="181">
        <f t="shared" si="44"/>
        <v>5050.4766114668873</v>
      </c>
      <c r="BA56" s="181">
        <f t="shared" si="45"/>
        <v>-100</v>
      </c>
      <c r="BB56" s="181">
        <f t="shared" si="46"/>
        <v>14407.813661187316</v>
      </c>
      <c r="BC56" s="181">
        <f t="shared" si="47"/>
        <v>46800</v>
      </c>
      <c r="BD56" s="181">
        <f>VLOOKUP(V56&amp;" "&amp;J56,Tables!$A$152:$E$239,4,FALSE)</f>
        <v>12000</v>
      </c>
      <c r="BE56" s="181">
        <f>VLOOKUP(V56&amp;" "&amp;J56,Tables!$A$152:$E$239,5,FALSE)</f>
        <v>23000</v>
      </c>
      <c r="BF56" s="181">
        <f t="shared" si="48"/>
        <v>8640</v>
      </c>
      <c r="BG56" s="181">
        <f t="shared" si="49"/>
        <v>16560</v>
      </c>
      <c r="BH56" s="181">
        <f t="shared" si="50"/>
        <v>5538.4615384615381</v>
      </c>
      <c r="BI56" s="181">
        <f t="shared" si="51"/>
        <v>46800</v>
      </c>
      <c r="BJ56" s="181">
        <f t="shared" si="52"/>
        <v>14407.813661187316</v>
      </c>
      <c r="BK56" s="181">
        <f t="shared" si="53"/>
        <v>46800</v>
      </c>
      <c r="BL56" s="181">
        <f t="shared" si="54"/>
        <v>304.10776651175956</v>
      </c>
      <c r="BM56" s="181">
        <f t="shared" si="55"/>
        <v>8640</v>
      </c>
      <c r="BN56" s="181">
        <f t="shared" si="56"/>
        <v>353.99194303363834</v>
      </c>
      <c r="BO56" s="181">
        <f t="shared" si="57"/>
        <v>16560</v>
      </c>
      <c r="BP56" t="str">
        <f t="shared" si="58"/>
        <v>Pass</v>
      </c>
      <c r="BQ56" t="str">
        <f t="shared" si="59"/>
        <v>Pass</v>
      </c>
      <c r="BR56" t="str">
        <f t="shared" si="60"/>
        <v>Pass</v>
      </c>
      <c r="BS56" t="str">
        <f t="shared" si="61"/>
        <v>Pass</v>
      </c>
      <c r="BT56" t="str">
        <f t="shared" si="62"/>
        <v>Pass</v>
      </c>
      <c r="BU56" t="str">
        <f t="shared" si="63"/>
        <v>Effective Stress</v>
      </c>
    </row>
    <row r="57" spans="1:73">
      <c r="A57" t="s">
        <v>649</v>
      </c>
      <c r="B57" s="181">
        <v>55</v>
      </c>
      <c r="C57" t="s">
        <v>594</v>
      </c>
      <c r="D57" s="181">
        <v>48</v>
      </c>
      <c r="E57" s="181">
        <v>0.38800000000000001</v>
      </c>
      <c r="F57" t="s">
        <v>117</v>
      </c>
      <c r="G57" t="s">
        <v>119</v>
      </c>
      <c r="H57" t="s">
        <v>122</v>
      </c>
      <c r="I57" s="181">
        <v>1</v>
      </c>
      <c r="J57" t="s">
        <v>126</v>
      </c>
      <c r="K57" t="s">
        <v>129</v>
      </c>
      <c r="L57" s="181">
        <v>70</v>
      </c>
      <c r="M57" s="181">
        <v>100</v>
      </c>
      <c r="N57" t="s">
        <v>392</v>
      </c>
      <c r="O57" s="181">
        <v>120</v>
      </c>
      <c r="P57" s="181">
        <v>30</v>
      </c>
      <c r="Q57" s="181">
        <v>50</v>
      </c>
      <c r="R57" t="s">
        <v>418</v>
      </c>
      <c r="S57" t="s">
        <v>156</v>
      </c>
      <c r="T57" s="181">
        <v>70</v>
      </c>
      <c r="U57" s="181">
        <f>HLOOKUP(D57,'Highway Loading'!$C$155:$AD$156,2,FALSE)</f>
        <v>48</v>
      </c>
      <c r="V57" s="181">
        <f>IF(ISBLANK(G57),"",INDEX('Highway Loading'!$C$216:$AG$216,1,MATCH(G57,'Highway Loading'!$C$215:$AG$215,0)))</f>
        <v>65000</v>
      </c>
      <c r="W57" s="181">
        <f>INDEX('Highway Loading'!$I$245:$L$253,MATCH(H57,'Highway Loading'!$H$245:$H$253,0),MATCH(I57,'Highway Loading'!$I$244:$L$244,0))</f>
        <v>0.72</v>
      </c>
      <c r="X57" s="181">
        <f t="shared" si="32"/>
        <v>1</v>
      </c>
      <c r="Y57" s="181">
        <f>VLOOKUP(K57,'Highway Loading'!$B$283:$E$292,2,FALSE)</f>
        <v>29000000</v>
      </c>
      <c r="Z57" s="181">
        <f>VLOOKUP(K57,'Highway Loading'!$B$283:$E$292,3,FALSE)</f>
        <v>0.3</v>
      </c>
      <c r="AA57" s="181">
        <f>VLOOKUP(K57,'Highway Loading'!$B$283:$E$292,4,FALSE)</f>
        <v>6.4999999999999996E-6</v>
      </c>
      <c r="AB57" s="181">
        <f t="shared" si="33"/>
        <v>1</v>
      </c>
      <c r="AC57" s="181">
        <f>VLOOKUP(N57,'Highway Loading'!$B$256:$D$261,2,FALSE)</f>
        <v>2000</v>
      </c>
      <c r="AD57" s="181">
        <f>VLOOKUP(N57,'Highway Loading'!$B$256:$D$261,3,FALSE)</f>
        <v>20000</v>
      </c>
      <c r="AE57" s="181">
        <f>VLOOKUP(S57,'Highway Loading'!$B$340:$C$341,2,FALSE)</f>
        <v>10000</v>
      </c>
      <c r="AF57" s="181">
        <f t="shared" si="34"/>
        <v>8.083333333333333E-3</v>
      </c>
      <c r="AG57" s="181">
        <f t="shared" si="35"/>
        <v>7.2</v>
      </c>
      <c r="AH57" s="181">
        <f t="shared" si="36"/>
        <v>1.0416666666666667</v>
      </c>
      <c r="AI57" s="181">
        <f t="shared" si="37"/>
        <v>6185.567010309278</v>
      </c>
      <c r="AJ57" s="181">
        <f t="shared" si="38"/>
        <v>46800</v>
      </c>
      <c r="AK57" s="181">
        <f>IF(AC57=200,(INDEX(Tables!$B$17:$B$38,MAX(1,MIN(IFERROR(MATCH(AF57,Tables!$A$17:$A$38,1),1),ROWS(Tables!$A$17:$A$38)-1)))+(AF57-INDEX(Tables!$A$17:$A$38,MAX(1,MIN(IFERROR(MATCH(AF57,Tables!$A$17:$A$38,1),1),ROWS(Tables!$A$17:$A$38)-1))))*(INDEX(Tables!$B$17:$B$38,MAX(1,MIN(IFERROR(MATCH(AF57,Tables!$A$17:$A$38,1),1),ROWS(Tables!$A$17:$A$38)-1))+1)-INDEX(Tables!$B$17:$B$38,MAX(1,MIN(IFERROR(MATCH(AF57,Tables!$A$17:$A$38,1),1),ROWS(Tables!$A$17:$A$38)-1))))/(INDEX(Tables!$A$17:$A$38,MAX(1,MIN(IFERROR(MATCH(AF57,Tables!$A$17:$A$38,1),1),ROWS(Tables!$A$17:$A$38)-1))+1)-INDEX(Tables!$A$17:$A$38,MAX(1,MIN(IFERROR(MATCH(AF57,Tables!$A$17:$A$38,1),1),ROWS(Tables!$A$17:$A$38)-1))))),IF(AC57=500,(INDEX(Tables!$D$17:$D$38,MAX(1,MIN(IFERROR(MATCH(AF57,Tables!$C$17:$C$38,1),1),ROWS(Tables!$C$17:$C$38)-1)))+(AF57-INDEX(Tables!$C$17:$C$38,MAX(1,MIN(IFERROR(MATCH(AF57,Tables!$C$17:$C$38,1),1),ROWS(Tables!$C$17:$C$38)-1))))*(INDEX(Tables!$D$17:$D$38,MAX(1,MIN(IFERROR(MATCH(AF57,Tables!$C$17:$C$38,1),1),ROWS(Tables!$C$17:$C$38)-1))+1)-INDEX(Tables!$D$17:$D$38,MAX(1,MIN(IFERROR(MATCH(AF57,Tables!$C$17:$C$38,1),1),ROWS(Tables!$C$17:$C$38)-1))))/(INDEX(Tables!$C$17:$C$38,MAX(1,MIN(IFERROR(MATCH(AF57,Tables!$C$17:$C$38,1),1),ROWS(Tables!$C$17:$C$38)-1))+1)-INDEX(Tables!$C$17:$C$38,MAX(1,MIN(IFERROR(MATCH(AF57,Tables!$C$17:$C$38,1),1),ROWS(Tables!$C$17:$C$38)-1))))),IF(AC57=1000,(INDEX(Tables!$F$17:$F$38,MAX(1,MIN(IFERROR(MATCH(AF57,Tables!$E$17:$E$38,1),1),ROWS(Tables!$E$17:$E$38)-1)))+(AF57-INDEX(Tables!$E$17:$E$38,MAX(1,MIN(IFERROR(MATCH(AF57,Tables!$E$17:$E$38,1),1),ROWS(Tables!$E$17:$E$38)-1))))*(INDEX(Tables!$F$17:$F$38,MAX(1,MIN(IFERROR(MATCH(AF57,Tables!$E$17:$E$38,1),1),ROWS(Tables!$E$17:$E$38)-1))+1)-INDEX(Tables!$F$17:$F$38,MAX(1,MIN(IFERROR(MATCH(AF57,Tables!$E$17:$E$38,1),1),ROWS(Tables!$E$17:$E$38)-1))))/(INDEX(Tables!$E$17:$E$38,MAX(1,MIN(IFERROR(MATCH(AF57,Tables!$E$17:$E$38,1),1),ROWS(Tables!$E$17:$E$38)-1))+1)-INDEX(Tables!$E$17:$E$38,MAX(1,MIN(IFERROR(MATCH(AF57,Tables!$E$17:$E$38,1),1),ROWS(Tables!$E$17:$E$38)-1))))),(INDEX(Tables!$H$17:$H$38,MAX(1,MIN(IFERROR(MATCH(AF57,Tables!$G$17:$G$38,1),1),ROWS(Tables!$G$17:$G$38)-1)))+(AF57-INDEX(Tables!$G$17:$G$38,MAX(1,MIN(IFERROR(MATCH(AF57,Tables!$G$17:$G$38,1),1),ROWS(Tables!$G$17:$G$38)-1))))*(INDEX(Tables!$H$17:$H$38,MAX(1,MIN(IFERROR(MATCH(AF57,Tables!$G$17:$G$38,1),1),ROWS(Tables!$G$17:$G$38)-1))+1)-INDEX(Tables!$H$17:$H$38,MAX(1,MIN(IFERROR(MATCH(AF57,Tables!$G$17:$G$38,1),1),ROWS(Tables!$G$17:$G$38)-1))))/(INDEX(Tables!$G$17:$G$38,MAX(1,MIN(IFERROR(MATCH(AF57,Tables!$G$17:$G$38,1),1),ROWS(Tables!$G$17:$G$38)-1))+1)-INDEX(Tables!$G$17:$G$38,MAX(1,MIN(IFERROR(MATCH(AF57,Tables!$G$17:$G$38,1),1),ROWS(Tables!$G$17:$G$38)-1))))))))</f>
        <v>3869.3333333333335</v>
      </c>
      <c r="AL57" s="181">
        <f>IF(AC57&lt;1000,(INDEX(Tables!$B$43:$B$76,MAX(1,MIN(IFERROR(MATCH(AG57,Tables!$A$43:$A$76,1),1),ROWS(Tables!$A$43:$A$76)-1)))+(AG57-INDEX(Tables!$A$43:$A$76,MAX(1,MIN(IFERROR(MATCH(AG57,Tables!$A$43:$A$76,1),1),ROWS(Tables!$A$43:$A$76)-1))))*(INDEX(Tables!$B$43:$B$76,MAX(1,MIN(IFERROR(MATCH(AG57,Tables!$A$43:$A$76,1),1),ROWS(Tables!$A$43:$A$76)-1))+1)-INDEX(Tables!$B$43:$B$76,MAX(1,MIN(IFERROR(MATCH(AG57,Tables!$A$43:$A$76,1),1),ROWS(Tables!$A$43:$A$76)-1))))/(INDEX(Tables!$A$43:$A$76,MAX(1,MIN(IFERROR(MATCH(AG57,Tables!$A$43:$A$76,1),1),ROWS(Tables!$A$43:$A$76)-1))+1)-INDEX(Tables!$A$43:$A$76,MAX(1,MIN(IFERROR(MATCH(AG57,Tables!$A$43:$A$76,1),1),ROWS(Tables!$A$43:$A$76)-1))))),(INDEX(Tables!$D$43:$D$76,MAX(1,MIN(IFERROR(MATCH(AG57,Tables!$C$43:$C$76,1),1),ROWS(Tables!$C$43:$C$76)-1)))+(AG57-INDEX(Tables!$C$43:$C$76,MAX(1,MIN(IFERROR(MATCH(AG57,Tables!$C$43:$C$76,1),1),ROWS(Tables!$C$43:$C$76)-1))))*(INDEX(Tables!$D$43:$D$76,MAX(1,MIN(IFERROR(MATCH(AG57,Tables!$C$43:$C$76,1),1),ROWS(Tables!$C$43:$C$76)-1))+1)-INDEX(Tables!$D$43:$D$76,MAX(1,MIN(IFERROR(MATCH(AG57,Tables!$C$43:$C$76,1),1),ROWS(Tables!$C$43:$C$76)-1))))/(INDEX(Tables!$C$43:$C$76,MAX(1,MIN(IFERROR(MATCH(AG57,Tables!$C$43:$C$76,1),1),ROWS(Tables!$C$43:$C$76)-1))+1)-INDEX(Tables!$C$43:$C$76,MAX(1,MIN(IFERROR(MATCH(AG57,Tables!$C$43:$C$76,1),1),ROWS(Tables!$C$43:$C$76)-1))))))</f>
        <v>1.0784</v>
      </c>
      <c r="AM57" s="181">
        <f>(INDEX(Tables!$B$80:$B$87,MAX(1,MIN(IFERROR(MATCH(AH57,Tables!$A$80:$A$87,1),1),ROWS(Tables!$A$80:$A$87)-1)))+(AH57-INDEX(Tables!$A$80:$A$87,MAX(1,MIN(IFERROR(MATCH(AH57,Tables!$A$80:$A$87,1),1),ROWS(Tables!$A$80:$A$87)-1))))*(INDEX(Tables!$B$80:$B$87,MAX(1,MIN(IFERROR(MATCH(AH57,Tables!$A$80:$A$87,1),1),ROWS(Tables!$A$80:$A$87)-1))+1)-INDEX(Tables!$B$80:$B$87,MAX(1,MIN(IFERROR(MATCH(AH57,Tables!$A$80:$A$87,1),1),ROWS(Tables!$A$80:$A$87)-1))))/(INDEX(Tables!$A$80:$A$87,MAX(1,MIN(IFERROR(MATCH(AH57,Tables!$A$80:$A$87,1),1),ROWS(Tables!$A$80:$A$87)-1))+1)-INDEX(Tables!$A$80:$A$87,MAX(1,MIN(IFERROR(MATCH(AH57,Tables!$A$80:$A$87,1),1),ROWS(Tables!$A$80:$A$87)-1)))))</f>
        <v>0.89595000000000002</v>
      </c>
      <c r="AN57" s="181">
        <f t="shared" si="39"/>
        <v>12461.735897600003</v>
      </c>
      <c r="AO57" s="181">
        <f>(INDEX(Tables!$B$91:$B$94,MAX(1,MIN(IFERROR(MATCH(P57,Tables!$A$91:$A$94,1),1),ROWS(Tables!$A$91:$A$94)-1)))+(P57-INDEX(Tables!$A$91:$A$94,MAX(1,MIN(IFERROR(MATCH(P57,Tables!$A$91:$A$94,1),1),ROWS(Tables!$A$91:$A$94)-1))))*(INDEX(Tables!$B$91:$B$94,MAX(1,MIN(IFERROR(MATCH(P57,Tables!$A$91:$A$94,1),1),ROWS(Tables!$A$91:$A$94)-1))+1)-INDEX(Tables!$B$91:$B$94,MAX(1,MIN(IFERROR(MATCH(P57,Tables!$A$91:$A$94,1),1),ROWS(Tables!$A$91:$A$94)-1))))/(INDEX(Tables!$A$91:$A$94,MAX(1,MIN(IFERROR(MATCH(P57,Tables!$A$91:$A$94,1),1),ROWS(Tables!$A$91:$A$94)-1))+1)-INDEX(Tables!$A$91:$A$94,MAX(1,MIN(IFERROR(MATCH(P57,Tables!$A$91:$A$94,1),1),ROWS(Tables!$A$91:$A$94)-1)))))</f>
        <v>1</v>
      </c>
      <c r="AP57" s="181">
        <f>IF(AD57=5000,(INDEX(Tables!$B$99:$B$118,MAX(1,MIN(IFERROR(MATCH(AF57,Tables!$A$99:$A$118,1),1),ROWS(Tables!$A$99:$A$118)-1)))+(AF57-INDEX(Tables!$A$99:$A$118,MAX(1,MIN(IFERROR(MATCH(AF57,Tables!$A$99:$A$118,1),1),ROWS(Tables!$A$99:$A$118)-1))))*(INDEX(Tables!$B$99:$B$118,MAX(1,MIN(IFERROR(MATCH(AF57,Tables!$A$99:$A$118,1),1),ROWS(Tables!$A$99:$A$118)-1))+1)-INDEX(Tables!$B$99:$B$118,MAX(1,MIN(IFERROR(MATCH(AF57,Tables!$A$99:$A$118,1),1),ROWS(Tables!$A$99:$A$118)-1))))/(INDEX(Tables!$A$99:$A$118,MAX(1,MIN(IFERROR(MATCH(AF57,Tables!$A$99:$A$118,1),1),ROWS(Tables!$A$99:$A$118)-1))+1)-INDEX(Tables!$A$99:$A$118,MAX(1,MIN(IFERROR(MATCH(AF57,Tables!$A$99:$A$118,1),1),ROWS(Tables!$A$99:$A$118)-1))))),IF(AD57=10000,(INDEX(Tables!$D$99:$D$118,MAX(1,MIN(IFERROR(MATCH(AF57,Tables!$C$99:$C$118,1),1),ROWS(Tables!$C$99:$C$118)-1)))+(AF57-INDEX(Tables!$C$99:$C$118,MAX(1,MIN(IFERROR(MATCH(AF57,Tables!$C$99:$C$118,1),1),ROWS(Tables!$C$99:$C$118)-1))))*(INDEX(Tables!$D$99:$D$118,MAX(1,MIN(IFERROR(MATCH(AF57,Tables!$C$99:$C$118,1),1),ROWS(Tables!$C$99:$C$118)-1))+1)-INDEX(Tables!$D$99:$D$118,MAX(1,MIN(IFERROR(MATCH(AF57,Tables!$C$99:$C$118,1),1),ROWS(Tables!$C$99:$C$118)-1))))/(INDEX(Tables!$C$99:$C$118,MAX(1,MIN(IFERROR(MATCH(AF57,Tables!$C$99:$C$118,1),1),ROWS(Tables!$C$99:$C$118)-1))+1)-INDEX(Tables!$C$99:$C$118,MAX(1,MIN(IFERROR(MATCH(AF57,Tables!$C$99:$C$118,1),1),ROWS(Tables!$C$99:$C$118)-1))))),(INDEX(Tables!$F$99:$F$118,MAX(1,MIN(IFERROR(MATCH(AF57,Tables!$E$99:$E$118,1),1),ROWS(Tables!$E$99:$E$118)-1)))+(AF57-INDEX(Tables!$E$99:$E$118,MAX(1,MIN(IFERROR(MATCH(AF57,Tables!$E$99:$E$118,1),1),ROWS(Tables!$E$99:$E$118)-1))))*(INDEX(Tables!$F$99:$F$118,MAX(1,MIN(IFERROR(MATCH(AF57,Tables!$E$99:$E$118,1),1),ROWS(Tables!$E$99:$E$118)-1))+1)-INDEX(Tables!$F$99:$F$118,MAX(1,MIN(IFERROR(MATCH(AF57,Tables!$E$99:$E$118,1),1),ROWS(Tables!$E$99:$E$118)-1))))/(INDEX(Tables!$E$99:$E$118,MAX(1,MIN(IFERROR(MATCH(AF57,Tables!$E$99:$E$118,1),1),ROWS(Tables!$E$99:$E$118)-1))+1)-INDEX(Tables!$E$99:$E$118,MAX(1,MIN(IFERROR(MATCH(AF57,Tables!$E$99:$E$118,1),1),ROWS(Tables!$E$99:$E$118)-1)))))))</f>
        <v>5.0957751937984499</v>
      </c>
      <c r="AQ57" s="181">
        <f>IF(P57&lt;6,(INDEX(Tables!$B$123:$B$138,MAX(1,MIN(IFERROR(MATCH(U57,Tables!$A$123:$A$138,1),1),ROWS(Tables!$A$123:$A$138)-1)))+(U57-INDEX(Tables!$A$123:$A$138,MAX(1,MIN(IFERROR(MATCH(U57,Tables!$A$123:$A$138,1),1),ROWS(Tables!$A$123:$A$138)-1))))*(INDEX(Tables!$B$123:$B$138,MAX(1,MIN(IFERROR(MATCH(U57,Tables!$A$123:$A$138,1),1),ROWS(Tables!$A$123:$A$138)-1))+1)-INDEX(Tables!$B$123:$B$138,MAX(1,MIN(IFERROR(MATCH(U57,Tables!$A$123:$A$138,1),1),ROWS(Tables!$A$123:$A$138)-1))))/(INDEX(Tables!$A$123:$A$138,MAX(1,MIN(IFERROR(MATCH(U57,Tables!$A$123:$A$138,1),1),ROWS(Tables!$A$123:$A$138)-1))+1)-INDEX(Tables!$A$123:$A$138,MAX(1,MIN(IFERROR(MATCH(U57,Tables!$A$123:$A$138,1),1),ROWS(Tables!$A$123:$A$138)-1))))),IF(P57&lt;8,(INDEX(Tables!$D$123:$D$138,MAX(1,MIN(IFERROR(MATCH(U57,Tables!$C$123:$C$138,1),1),ROWS(Tables!$C$123:$C$138)-1)))+(U57-INDEX(Tables!$C$123:$C$138,MAX(1,MIN(IFERROR(MATCH(U57,Tables!$C$123:$C$138,1),1),ROWS(Tables!$C$123:$C$138)-1))))*(INDEX(Tables!$D$123:$D$138,MAX(1,MIN(IFERROR(MATCH(U57,Tables!$C$123:$C$138,1),1),ROWS(Tables!$C$123:$C$138)-1))+1)-INDEX(Tables!$D$123:$D$138,MAX(1,MIN(IFERROR(MATCH(U57,Tables!$C$123:$C$138,1),1),ROWS(Tables!$C$123:$C$138)-1))))/(INDEX(Tables!$C$123:$C$138,MAX(1,MIN(IFERROR(MATCH(U57,Tables!$C$123:$C$138,1),1),ROWS(Tables!$C$123:$C$138)-1))+1)-INDEX(Tables!$C$123:$C$138,MAX(1,MIN(IFERROR(MATCH(U57,Tables!$C$123:$C$138,1),1),ROWS(Tables!$C$123:$C$138)-1))))),IF(P57&lt;10,(INDEX(Tables!$F$123:$F$138,MAX(1,MIN(IFERROR(MATCH(U57,Tables!$E$123:$E$138,1),1),ROWS(Tables!$E$123:$E$138)-1)))+(U57-INDEX(Tables!$E$123:$E$138,MAX(1,MIN(IFERROR(MATCH(U57,Tables!$E$123:$E$138,1),1),ROWS(Tables!$E$123:$E$138)-1))))*(INDEX(Tables!$F$123:$F$138,MAX(1,MIN(IFERROR(MATCH(U57,Tables!$E$123:$E$138,1),1),ROWS(Tables!$E$123:$E$138)-1))+1)-INDEX(Tables!$F$123:$F$138,MAX(1,MIN(IFERROR(MATCH(U57,Tables!$E$123:$E$138,1),1),ROWS(Tables!$E$123:$E$138)-1))))/(INDEX(Tables!$E$123:$E$138,MAX(1,MIN(IFERROR(MATCH(U57,Tables!$E$123:$E$138,1),1),ROWS(Tables!$E$123:$E$138)-1))+1)-INDEX(Tables!$E$123:$E$138,MAX(1,MIN(IFERROR(MATCH(U57,Tables!$E$123:$E$138,1),1),ROWS(Tables!$E$123:$E$138)-1))))),(INDEX(Tables!$H$123:$H$138,MAX(1,MIN(IFERROR(MATCH(U57,Tables!$G$123:$G$138,1),1),ROWS(Tables!$G$123:$G$138)-1)))+(U57-INDEX(Tables!$G$123:$G$138,MAX(1,MIN(IFERROR(MATCH(U57,Tables!$G$123:$G$138,1),1),ROWS(Tables!$G$123:$G$138)-1))))*(INDEX(Tables!$H$123:$H$138,MAX(1,MIN(IFERROR(MATCH(U57,Tables!$G$123:$G$138,1),1),ROWS(Tables!$G$123:$G$138)-1))+1)-INDEX(Tables!$H$123:$H$138,MAX(1,MIN(IFERROR(MATCH(U57,Tables!$G$123:$G$138,1),1),ROWS(Tables!$G$123:$G$138)-1))))/(INDEX(Tables!$G$123:$G$138,MAX(1,MIN(IFERROR(MATCH(U57,Tables!$G$123:$G$138,1),1),ROWS(Tables!$G$123:$G$138)-1))+1)-INDEX(Tables!$G$123:$G$138,MAX(1,MIN(IFERROR(MATCH(U57,Tables!$G$123:$G$138,1),1),ROWS(Tables!$G$123:$G$138)-1))))))))</f>
        <v>0.46899999999999997</v>
      </c>
      <c r="AR57" s="181">
        <f>IF(OR(P57&gt;=4,U57&gt;12),VLOOKUP(R57&amp;" "&amp;S57,Tables!$D$143:$F$148,2,FALSE),VLOOKUP(R57&amp;" "&amp;S57,Tables!$A$143:$C$148,2,FALSE))</f>
        <v>0.9</v>
      </c>
      <c r="AS57" s="181">
        <f>IF(OR(P57&gt;=4,U57&gt;12),VLOOKUP(R57&amp;" "&amp;S57,Tables!$D$143:$F$148,3,FALSE),VLOOKUP(R57&amp;" "&amp;S57,Tables!$A$143:$C$148,3,FALSE))</f>
        <v>1</v>
      </c>
      <c r="AT57" s="181">
        <f t="shared" si="40"/>
        <v>149.36991036821709</v>
      </c>
      <c r="AU57" s="181">
        <f>IF(AD57=5000,(INDEX(Tables!$B$244:$B$263,MAX(1,MIN(IFERROR(MATCH(AF57,Tables!$A$244:$A$263,1),1),ROWS(Tables!$A$244:$A$263)-1)))+(AF57-INDEX(Tables!$A$244:$A$263,MAX(1,MIN(IFERROR(MATCH(AF57,Tables!$A$244:$A$263,1),1),ROWS(Tables!$A$244:$A$263)-1))))*(INDEX(Tables!$B$244:$B$263,MAX(1,MIN(IFERROR(MATCH(AF57,Tables!$A$244:$A$263,1),1),ROWS(Tables!$A$244:$A$263)-1))+1)-INDEX(Tables!$B$244:$B$263,MAX(1,MIN(IFERROR(MATCH(AF57,Tables!$A$244:$A$263,1),1),ROWS(Tables!$A$244:$A$263)-1))))/(INDEX(Tables!$A$244:$A$263,MAX(1,MIN(IFERROR(MATCH(AF57,Tables!$A$244:$A$263,1),1),ROWS(Tables!$A$244:$A$263)-1))+1)-INDEX(Tables!$A$244:$A$263,MAX(1,MIN(IFERROR(MATCH(AF57,Tables!$A$244:$A$263,1),1),ROWS(Tables!$A$244:$A$263)-1))))),IF(AD57=10000,(INDEX(Tables!$D$244:$D$263,MAX(1,MIN(IFERROR(MATCH(AF57,Tables!$C$244:$C$263,1),1),ROWS(Tables!$C$244:$C$263)-1)))+(AF57-INDEX(Tables!$C$244:$C$263,MAX(1,MIN(IFERROR(MATCH(AF57,Tables!$C$244:$C$263,1),1),ROWS(Tables!$C$244:$C$263)-1))))*(INDEX(Tables!$D$244:$D$263,MAX(1,MIN(IFERROR(MATCH(AF57,Tables!$C$244:$C$263,1),1),ROWS(Tables!$C$244:$C$263)-1))+1)-INDEX(Tables!$D$244:$D$263,MAX(1,MIN(IFERROR(MATCH(AF57,Tables!$C$244:$C$263,1),1),ROWS(Tables!$C$244:$C$263)-1))))/(INDEX(Tables!$C$244:$C$263,MAX(1,MIN(IFERROR(MATCH(AF57,Tables!$C$244:$C$263,1),1),ROWS(Tables!$C$244:$C$263)-1))+1)-INDEX(Tables!$C$244:$C$263,MAX(1,MIN(IFERROR(MATCH(AF57,Tables!$C$244:$C$263,1),1),ROWS(Tables!$C$244:$C$263)-1))))),(INDEX(Tables!$F$244:$F$263,MAX(1,MIN(IFERROR(MATCH(AF57,Tables!$E$244:$E$263,1),1),ROWS(Tables!$E$244:$E$263)-1)))+(AF57-INDEX(Tables!$E$244:$E$263,MAX(1,MIN(IFERROR(MATCH(AF57,Tables!$E$244:$E$263,1),1),ROWS(Tables!$E$244:$E$263)-1))))*(INDEX(Tables!$F$244:$F$263,MAX(1,MIN(IFERROR(MATCH(AF57,Tables!$E$244:$E$263,1),1),ROWS(Tables!$E$244:$E$263)-1))+1)-INDEX(Tables!$F$244:$F$263,MAX(1,MIN(IFERROR(MATCH(AF57,Tables!$E$244:$E$263,1),1),ROWS(Tables!$E$244:$E$263)-1))))/(INDEX(Tables!$E$244:$E$263,MAX(1,MIN(IFERROR(MATCH(AF57,Tables!$E$244:$E$263,1),1),ROWS(Tables!$E$244:$E$263)-1))+1)-INDEX(Tables!$E$244:$E$263,MAX(1,MIN(IFERROR(MATCH(AF57,Tables!$E$244:$E$263,1),1),ROWS(Tables!$E$244:$E$263)-1)))))))</f>
        <v>6.0990000000000002</v>
      </c>
      <c r="AV57" s="181">
        <f>IF(P57&lt;6,(INDEX(Tables!$B$260:$B$274,MAX(1,MIN(IFERROR(MATCH(U57,Tables!$A$260:$A$274,1),1),ROWS(Tables!$A$260:$A$274)-1)))+(U57-INDEX(Tables!$A$260:$A$274,MAX(1,MIN(IFERROR(MATCH(U57,Tables!$A$260:$A$274,1),1),ROWS(Tables!$A$260:$A$274)-1))))*(INDEX(Tables!$B$260:$B$274,MAX(1,MIN(IFERROR(MATCH(U57,Tables!$A$260:$A$274,1),1),ROWS(Tables!$A$260:$A$274)-1))+1)-INDEX(Tables!$B$260:$B$274,MAX(1,MIN(IFERROR(MATCH(U57,Tables!$A$260:$A$274,1),1),ROWS(Tables!$A$260:$A$274)-1))))/(INDEX(Tables!$A$260:$A$274,MAX(1,MIN(IFERROR(MATCH(U57,Tables!$A$260:$A$274,1),1),ROWS(Tables!$A$260:$A$274)-1))+1)-INDEX(Tables!$A$260:$A$274,MAX(1,MIN(IFERROR(MATCH(U57,Tables!$A$260:$A$274,1),1),ROWS(Tables!$A$260:$A$274)-1))))),IF(P57&lt;8,(INDEX(Tables!$D$260:$D$274,MAX(1,MIN(IFERROR(MATCH(U57,Tables!$C$260:$C$274,1),1),ROWS(Tables!$C$260:$C$274)-1)))+(U57-INDEX(Tables!$C$260:$C$274,MAX(1,MIN(IFERROR(MATCH(U57,Tables!$C$260:$C$274,1),1),ROWS(Tables!$C$260:$C$274)-1))))*(INDEX(Tables!$D$260:$D$274,MAX(1,MIN(IFERROR(MATCH(U57,Tables!$C$260:$C$274,1),1),ROWS(Tables!$C$260:$C$274)-1))+1)-INDEX(Tables!$D$260:$D$274,MAX(1,MIN(IFERROR(MATCH(U57,Tables!$C$260:$C$274,1),1),ROWS(Tables!$C$260:$C$274)-1))))/(INDEX(Tables!$C$260:$C$274,MAX(1,MIN(IFERROR(MATCH(U57,Tables!$C$260:$C$274,1),1),ROWS(Tables!$C$260:$C$274)-1))+1)-INDEX(Tables!$C$260:$C$274,MAX(1,MIN(IFERROR(MATCH(U57,Tables!$C$260:$C$274,1),1),ROWS(Tables!$C$260:$C$274)-1))))),IF(P57&lt;10,(INDEX(Tables!$F$260:$F$274,MAX(1,MIN(IFERROR(MATCH(U57,Tables!$E$260:$E$274,1),1),ROWS(Tables!$E$260:$E$274)-1)))+(U57-INDEX(Tables!$E$260:$E$274,MAX(1,MIN(IFERROR(MATCH(U57,Tables!$E$260:$E$274,1),1),ROWS(Tables!$E$260:$E$274)-1))))*(INDEX(Tables!$F$260:$F$274,MAX(1,MIN(IFERROR(MATCH(U57,Tables!$E$260:$E$274,1),1),ROWS(Tables!$E$260:$E$274)-1))+1)-INDEX(Tables!$F$260:$F$274,MAX(1,MIN(IFERROR(MATCH(U57,Tables!$E$260:$E$274,1),1),ROWS(Tables!$E$260:$E$274)-1))))/(INDEX(Tables!$E$260:$E$274,MAX(1,MIN(IFERROR(MATCH(U57,Tables!$E$260:$E$274,1),1),ROWS(Tables!$E$260:$E$274)-1))+1)-INDEX(Tables!$E$260:$E$274,MAX(1,MIN(IFERROR(MATCH(U57,Tables!$E$260:$E$274,1),1),ROWS(Tables!$E$260:$E$274)-1))))),(INDEX(Tables!$H$260:$H$274,MAX(1,MIN(IFERROR(MATCH(U57,Tables!$G$260:$G$274,1),1),ROWS(Tables!$G$260:$G$274)-1)))+(U57-INDEX(Tables!$G$260:$G$274,MAX(1,MIN(IFERROR(MATCH(U57,Tables!$G$260:$G$274,1),1),ROWS(Tables!$G$260:$G$274)-1))))*(INDEX(Tables!$H$260:$H$274,MAX(1,MIN(IFERROR(MATCH(U57,Tables!$G$260:$G$274,1),1),ROWS(Tables!$G$260:$G$274)-1))+1)-INDEX(Tables!$H$260:$H$274,MAX(1,MIN(IFERROR(MATCH(U57,Tables!$G$260:$G$274,1),1),ROWS(Tables!$G$260:$G$274)-1))))/(INDEX(Tables!$G$260:$G$274,MAX(1,MIN(IFERROR(MATCH(U57,Tables!$G$260:$G$274,1),1),ROWS(Tables!$G$260:$G$274)-1))+1)-INDEX(Tables!$G$260:$G$274,MAX(1,MIN(IFERROR(MATCH(U57,Tables!$G$260:$G$274,1),1),ROWS(Tables!$G$260:$G$274)-1))))))))</f>
        <v>0.45700000000000002</v>
      </c>
      <c r="AW57" s="181">
        <f t="shared" si="41"/>
        <v>174.20268750000002</v>
      </c>
      <c r="AX57" s="181">
        <f t="shared" si="42"/>
        <v>6135.567010309278</v>
      </c>
      <c r="AY57" s="181">
        <f t="shared" si="43"/>
        <v>18746.672818277497</v>
      </c>
      <c r="AZ57" s="181">
        <f t="shared" si="44"/>
        <v>5753.393559872784</v>
      </c>
      <c r="BA57" s="181">
        <f t="shared" si="45"/>
        <v>-100</v>
      </c>
      <c r="BB57" s="181">
        <f t="shared" si="46"/>
        <v>16707.552160218598</v>
      </c>
      <c r="BC57" s="181">
        <f t="shared" si="47"/>
        <v>46800</v>
      </c>
      <c r="BD57" s="181">
        <f>VLOOKUP(V57&amp;" "&amp;J57,Tables!$A$152:$E$239,4,FALSE)</f>
        <v>12000</v>
      </c>
      <c r="BE57" s="181">
        <f>VLOOKUP(V57&amp;" "&amp;J57,Tables!$A$152:$E$239,5,FALSE)</f>
        <v>23000</v>
      </c>
      <c r="BF57" s="181">
        <f t="shared" si="48"/>
        <v>8640</v>
      </c>
      <c r="BG57" s="181">
        <f t="shared" si="49"/>
        <v>16560</v>
      </c>
      <c r="BH57" s="181">
        <f t="shared" si="50"/>
        <v>6185.567010309278</v>
      </c>
      <c r="BI57" s="181">
        <f t="shared" si="51"/>
        <v>46800</v>
      </c>
      <c r="BJ57" s="181">
        <f t="shared" si="52"/>
        <v>16707.552160218598</v>
      </c>
      <c r="BK57" s="181">
        <f t="shared" si="53"/>
        <v>46800</v>
      </c>
      <c r="BL57" s="181">
        <f t="shared" si="54"/>
        <v>174.20268750000002</v>
      </c>
      <c r="BM57" s="181">
        <f t="shared" si="55"/>
        <v>8640</v>
      </c>
      <c r="BN57" s="181">
        <f t="shared" si="56"/>
        <v>149.36991036821709</v>
      </c>
      <c r="BO57" s="181">
        <f t="shared" si="57"/>
        <v>16560</v>
      </c>
      <c r="BP57" t="str">
        <f t="shared" si="58"/>
        <v>Pass</v>
      </c>
      <c r="BQ57" t="str">
        <f t="shared" si="59"/>
        <v>Pass</v>
      </c>
      <c r="BR57" t="str">
        <f t="shared" si="60"/>
        <v>Pass</v>
      </c>
      <c r="BS57" t="str">
        <f t="shared" si="61"/>
        <v>Pass</v>
      </c>
      <c r="BT57" t="str">
        <f t="shared" si="62"/>
        <v>Pass</v>
      </c>
      <c r="BU57" t="str">
        <f t="shared" si="63"/>
        <v>Effective Stress</v>
      </c>
    </row>
    <row r="58" spans="1:73">
      <c r="A58" t="s">
        <v>650</v>
      </c>
      <c r="B58" s="181">
        <v>56</v>
      </c>
      <c r="C58" t="s">
        <v>594</v>
      </c>
      <c r="D58" s="181">
        <v>6</v>
      </c>
      <c r="E58" s="181">
        <v>0.13400000000000001</v>
      </c>
      <c r="F58" t="s">
        <v>117</v>
      </c>
      <c r="G58" t="s">
        <v>119</v>
      </c>
      <c r="H58" t="s">
        <v>122</v>
      </c>
      <c r="I58" s="181">
        <v>1</v>
      </c>
      <c r="J58" t="s">
        <v>126</v>
      </c>
      <c r="K58" t="s">
        <v>129</v>
      </c>
      <c r="L58" s="181">
        <v>70</v>
      </c>
      <c r="M58" s="181">
        <v>100</v>
      </c>
      <c r="N58" t="s">
        <v>392</v>
      </c>
      <c r="O58" s="181">
        <v>120</v>
      </c>
      <c r="P58" s="181">
        <v>1</v>
      </c>
      <c r="Q58" s="181">
        <v>8.625</v>
      </c>
      <c r="R58" t="s">
        <v>417</v>
      </c>
      <c r="S58" t="s">
        <v>156</v>
      </c>
      <c r="T58" s="181">
        <v>70</v>
      </c>
      <c r="U58" s="181">
        <f>HLOOKUP(D58,'Highway Loading'!$C$155:$AD$156,2,FALSE)</f>
        <v>6.625</v>
      </c>
      <c r="V58" s="181">
        <f>IF(ISBLANK(G58),"",INDEX('Highway Loading'!$C$216:$AG$216,1,MATCH(G58,'Highway Loading'!$C$215:$AG$215,0)))</f>
        <v>65000</v>
      </c>
      <c r="W58" s="181">
        <f>INDEX('Highway Loading'!$I$245:$L$253,MATCH(H58,'Highway Loading'!$H$245:$H$253,0),MATCH(I58,'Highway Loading'!$I$244:$L$244,0))</f>
        <v>0.72</v>
      </c>
      <c r="X58" s="181">
        <f t="shared" si="32"/>
        <v>1</v>
      </c>
      <c r="Y58" s="181">
        <f>VLOOKUP(K58,'Highway Loading'!$B$283:$E$292,2,FALSE)</f>
        <v>29000000</v>
      </c>
      <c r="Z58" s="181">
        <f>VLOOKUP(K58,'Highway Loading'!$B$283:$E$292,3,FALSE)</f>
        <v>0.3</v>
      </c>
      <c r="AA58" s="181">
        <f>VLOOKUP(K58,'Highway Loading'!$B$283:$E$292,4,FALSE)</f>
        <v>6.4999999999999996E-6</v>
      </c>
      <c r="AB58" s="181">
        <f t="shared" si="33"/>
        <v>1</v>
      </c>
      <c r="AC58" s="181">
        <f>VLOOKUP(N58,'Highway Loading'!$B$256:$D$261,2,FALSE)</f>
        <v>2000</v>
      </c>
      <c r="AD58" s="181">
        <f>VLOOKUP(N58,'Highway Loading'!$B$256:$D$261,3,FALSE)</f>
        <v>20000</v>
      </c>
      <c r="AE58" s="181">
        <f>VLOOKUP(S58,'Highway Loading'!$B$340:$C$341,2,FALSE)</f>
        <v>10000</v>
      </c>
      <c r="AF58" s="181">
        <f t="shared" si="34"/>
        <v>2.0226415094339624E-2</v>
      </c>
      <c r="AG58" s="181">
        <f t="shared" si="35"/>
        <v>1.3913043478260869</v>
      </c>
      <c r="AH58" s="181">
        <f t="shared" si="36"/>
        <v>1.3018867924528301</v>
      </c>
      <c r="AI58" s="181">
        <f t="shared" si="37"/>
        <v>2472.0149253731342</v>
      </c>
      <c r="AJ58" s="181">
        <f t="shared" si="38"/>
        <v>46800</v>
      </c>
      <c r="AK58" s="181">
        <f>IF(AC58=200,(INDEX(Tables!$B$17:$B$38,MAX(1,MIN(IFERROR(MATCH(AF58,Tables!$A$17:$A$38,1),1),ROWS(Tables!$A$17:$A$38)-1)))+(AF58-INDEX(Tables!$A$17:$A$38,MAX(1,MIN(IFERROR(MATCH(AF58,Tables!$A$17:$A$38,1),1),ROWS(Tables!$A$17:$A$38)-1))))*(INDEX(Tables!$B$17:$B$38,MAX(1,MIN(IFERROR(MATCH(AF58,Tables!$A$17:$A$38,1),1),ROWS(Tables!$A$17:$A$38)-1))+1)-INDEX(Tables!$B$17:$B$38,MAX(1,MIN(IFERROR(MATCH(AF58,Tables!$A$17:$A$38,1),1),ROWS(Tables!$A$17:$A$38)-1))))/(INDEX(Tables!$A$17:$A$38,MAX(1,MIN(IFERROR(MATCH(AF58,Tables!$A$17:$A$38,1),1),ROWS(Tables!$A$17:$A$38)-1))+1)-INDEX(Tables!$A$17:$A$38,MAX(1,MIN(IFERROR(MATCH(AF58,Tables!$A$17:$A$38,1),1),ROWS(Tables!$A$17:$A$38)-1))))),IF(AC58=500,(INDEX(Tables!$D$17:$D$38,MAX(1,MIN(IFERROR(MATCH(AF58,Tables!$C$17:$C$38,1),1),ROWS(Tables!$C$17:$C$38)-1)))+(AF58-INDEX(Tables!$C$17:$C$38,MAX(1,MIN(IFERROR(MATCH(AF58,Tables!$C$17:$C$38,1),1),ROWS(Tables!$C$17:$C$38)-1))))*(INDEX(Tables!$D$17:$D$38,MAX(1,MIN(IFERROR(MATCH(AF58,Tables!$C$17:$C$38,1),1),ROWS(Tables!$C$17:$C$38)-1))+1)-INDEX(Tables!$D$17:$D$38,MAX(1,MIN(IFERROR(MATCH(AF58,Tables!$C$17:$C$38,1),1),ROWS(Tables!$C$17:$C$38)-1))))/(INDEX(Tables!$C$17:$C$38,MAX(1,MIN(IFERROR(MATCH(AF58,Tables!$C$17:$C$38,1),1),ROWS(Tables!$C$17:$C$38)-1))+1)-INDEX(Tables!$C$17:$C$38,MAX(1,MIN(IFERROR(MATCH(AF58,Tables!$C$17:$C$38,1),1),ROWS(Tables!$C$17:$C$38)-1))))),IF(AC58=1000,(INDEX(Tables!$F$17:$F$38,MAX(1,MIN(IFERROR(MATCH(AF58,Tables!$E$17:$E$38,1),1),ROWS(Tables!$E$17:$E$38)-1)))+(AF58-INDEX(Tables!$E$17:$E$38,MAX(1,MIN(IFERROR(MATCH(AF58,Tables!$E$17:$E$38,1),1),ROWS(Tables!$E$17:$E$38)-1))))*(INDEX(Tables!$F$17:$F$38,MAX(1,MIN(IFERROR(MATCH(AF58,Tables!$E$17:$E$38,1),1),ROWS(Tables!$E$17:$E$38)-1))+1)-INDEX(Tables!$F$17:$F$38,MAX(1,MIN(IFERROR(MATCH(AF58,Tables!$E$17:$E$38,1),1),ROWS(Tables!$E$17:$E$38)-1))))/(INDEX(Tables!$E$17:$E$38,MAX(1,MIN(IFERROR(MATCH(AF58,Tables!$E$17:$E$38,1),1),ROWS(Tables!$E$17:$E$38)-1))+1)-INDEX(Tables!$E$17:$E$38,MAX(1,MIN(IFERROR(MATCH(AF58,Tables!$E$17:$E$38,1),1),ROWS(Tables!$E$17:$E$38)-1))))),(INDEX(Tables!$H$17:$H$38,MAX(1,MIN(IFERROR(MATCH(AF58,Tables!$G$17:$G$38,1),1),ROWS(Tables!$G$17:$G$38)-1)))+(AF58-INDEX(Tables!$G$17:$G$38,MAX(1,MIN(IFERROR(MATCH(AF58,Tables!$G$17:$G$38,1),1),ROWS(Tables!$G$17:$G$38)-1))))*(INDEX(Tables!$H$17:$H$38,MAX(1,MIN(IFERROR(MATCH(AF58,Tables!$G$17:$G$38,1),1),ROWS(Tables!$G$17:$G$38)-1))+1)-INDEX(Tables!$H$17:$H$38,MAX(1,MIN(IFERROR(MATCH(AF58,Tables!$G$17:$G$38,1),1),ROWS(Tables!$G$17:$G$38)-1))))/(INDEX(Tables!$G$17:$G$38,MAX(1,MIN(IFERROR(MATCH(AF58,Tables!$G$17:$G$38,1),1),ROWS(Tables!$G$17:$G$38)-1))+1)-INDEX(Tables!$G$17:$G$38,MAX(1,MIN(IFERROR(MATCH(AF58,Tables!$G$17:$G$38,1),1),ROWS(Tables!$G$17:$G$38)-1))))))))</f>
        <v>1830.943396226415</v>
      </c>
      <c r="AL58" s="181">
        <f>IF(AC58&lt;1000,(INDEX(Tables!$B$43:$B$76,MAX(1,MIN(IFERROR(MATCH(AG58,Tables!$A$43:$A$76,1),1),ROWS(Tables!$A$43:$A$76)-1)))+(AG58-INDEX(Tables!$A$43:$A$76,MAX(1,MIN(IFERROR(MATCH(AG58,Tables!$A$43:$A$76,1),1),ROWS(Tables!$A$43:$A$76)-1))))*(INDEX(Tables!$B$43:$B$76,MAX(1,MIN(IFERROR(MATCH(AG58,Tables!$A$43:$A$76,1),1),ROWS(Tables!$A$43:$A$76)-1))+1)-INDEX(Tables!$B$43:$B$76,MAX(1,MIN(IFERROR(MATCH(AG58,Tables!$A$43:$A$76,1),1),ROWS(Tables!$A$43:$A$76)-1))))/(INDEX(Tables!$A$43:$A$76,MAX(1,MIN(IFERROR(MATCH(AG58,Tables!$A$43:$A$76,1),1),ROWS(Tables!$A$43:$A$76)-1))+1)-INDEX(Tables!$A$43:$A$76,MAX(1,MIN(IFERROR(MATCH(AG58,Tables!$A$43:$A$76,1),1),ROWS(Tables!$A$43:$A$76)-1))))),(INDEX(Tables!$D$43:$D$76,MAX(1,MIN(IFERROR(MATCH(AG58,Tables!$C$43:$C$76,1),1),ROWS(Tables!$C$43:$C$76)-1)))+(AG58-INDEX(Tables!$C$43:$C$76,MAX(1,MIN(IFERROR(MATCH(AG58,Tables!$C$43:$C$76,1),1),ROWS(Tables!$C$43:$C$76)-1))))*(INDEX(Tables!$D$43:$D$76,MAX(1,MIN(IFERROR(MATCH(AG58,Tables!$C$43:$C$76,1),1),ROWS(Tables!$C$43:$C$76)-1))+1)-INDEX(Tables!$D$43:$D$76,MAX(1,MIN(IFERROR(MATCH(AG58,Tables!$C$43:$C$76,1),1),ROWS(Tables!$C$43:$C$76)-1))))/(INDEX(Tables!$C$43:$C$76,MAX(1,MIN(IFERROR(MATCH(AG58,Tables!$C$43:$C$76,1),1),ROWS(Tables!$C$43:$C$76)-1))+1)-INDEX(Tables!$C$43:$C$76,MAX(1,MIN(IFERROR(MATCH(AG58,Tables!$C$43:$C$76,1),1),ROWS(Tables!$C$43:$C$76)-1))))))</f>
        <v>0.44230434782608696</v>
      </c>
      <c r="AM58" s="181">
        <f>(INDEX(Tables!$B$80:$B$87,MAX(1,MIN(IFERROR(MATCH(AH58,Tables!$A$80:$A$87,1),1),ROWS(Tables!$A$80:$A$87)-1)))+(AH58-INDEX(Tables!$A$80:$A$87,MAX(1,MIN(IFERROR(MATCH(AH58,Tables!$A$80:$A$87,1),1),ROWS(Tables!$A$80:$A$87)-1))))*(INDEX(Tables!$B$80:$B$87,MAX(1,MIN(IFERROR(MATCH(AH58,Tables!$A$80:$A$87,1),1),ROWS(Tables!$A$80:$A$87)-1))+1)-INDEX(Tables!$B$80:$B$87,MAX(1,MIN(IFERROR(MATCH(AH58,Tables!$A$80:$A$87,1),1),ROWS(Tables!$A$80:$A$87)-1))))/(INDEX(Tables!$A$80:$A$87,MAX(1,MIN(IFERROR(MATCH(AH58,Tables!$A$80:$A$87,1),1),ROWS(Tables!$A$80:$A$87)-1))+1)-INDEX(Tables!$A$80:$A$87,MAX(1,MIN(IFERROR(MATCH(AH58,Tables!$A$80:$A$87,1),1),ROWS(Tables!$A$80:$A$87)-1)))))</f>
        <v>1.403996226415094</v>
      </c>
      <c r="AN58" s="181">
        <f t="shared" si="39"/>
        <v>523.10088860302142</v>
      </c>
      <c r="AO58" s="181">
        <f>(INDEX(Tables!$B$91:$B$94,MAX(1,MIN(IFERROR(MATCH(P58,Tables!$A$91:$A$94,1),1),ROWS(Tables!$A$91:$A$94)-1)))+(P58-INDEX(Tables!$A$91:$A$94,MAX(1,MIN(IFERROR(MATCH(P58,Tables!$A$91:$A$94,1),1),ROWS(Tables!$A$91:$A$94)-1))))*(INDEX(Tables!$B$91:$B$94,MAX(1,MIN(IFERROR(MATCH(P58,Tables!$A$91:$A$94,1),1),ROWS(Tables!$A$91:$A$94)-1))+1)-INDEX(Tables!$B$91:$B$94,MAX(1,MIN(IFERROR(MATCH(P58,Tables!$A$91:$A$94,1),1),ROWS(Tables!$A$91:$A$94)-1))))/(INDEX(Tables!$A$91:$A$94,MAX(1,MIN(IFERROR(MATCH(P58,Tables!$A$91:$A$94,1),1),ROWS(Tables!$A$91:$A$94)-1))+1)-INDEX(Tables!$A$91:$A$94,MAX(1,MIN(IFERROR(MATCH(P58,Tables!$A$91:$A$94,1),1),ROWS(Tables!$A$91:$A$94)-1)))))</f>
        <v>1.5</v>
      </c>
      <c r="AP58" s="181">
        <f>IF(AD58=5000,(INDEX(Tables!$B$99:$B$118,MAX(1,MIN(IFERROR(MATCH(AF58,Tables!$A$99:$A$118,1),1),ROWS(Tables!$A$99:$A$118)-1)))+(AF58-INDEX(Tables!$A$99:$A$118,MAX(1,MIN(IFERROR(MATCH(AF58,Tables!$A$99:$A$118,1),1),ROWS(Tables!$A$99:$A$118)-1))))*(INDEX(Tables!$B$99:$B$118,MAX(1,MIN(IFERROR(MATCH(AF58,Tables!$A$99:$A$118,1),1),ROWS(Tables!$A$99:$A$118)-1))+1)-INDEX(Tables!$B$99:$B$118,MAX(1,MIN(IFERROR(MATCH(AF58,Tables!$A$99:$A$118,1),1),ROWS(Tables!$A$99:$A$118)-1))))/(INDEX(Tables!$A$99:$A$118,MAX(1,MIN(IFERROR(MATCH(AF58,Tables!$A$99:$A$118,1),1),ROWS(Tables!$A$99:$A$118)-1))+1)-INDEX(Tables!$A$99:$A$118,MAX(1,MIN(IFERROR(MATCH(AF58,Tables!$A$99:$A$118,1),1),ROWS(Tables!$A$99:$A$118)-1))))),IF(AD58=10000,(INDEX(Tables!$D$99:$D$118,MAX(1,MIN(IFERROR(MATCH(AF58,Tables!$C$99:$C$118,1),1),ROWS(Tables!$C$99:$C$118)-1)))+(AF58-INDEX(Tables!$C$99:$C$118,MAX(1,MIN(IFERROR(MATCH(AF58,Tables!$C$99:$C$118,1),1),ROWS(Tables!$C$99:$C$118)-1))))*(INDEX(Tables!$D$99:$D$118,MAX(1,MIN(IFERROR(MATCH(AF58,Tables!$C$99:$C$118,1),1),ROWS(Tables!$C$99:$C$118)-1))+1)-INDEX(Tables!$D$99:$D$118,MAX(1,MIN(IFERROR(MATCH(AF58,Tables!$C$99:$C$118,1),1),ROWS(Tables!$C$99:$C$118)-1))))/(INDEX(Tables!$C$99:$C$118,MAX(1,MIN(IFERROR(MATCH(AF58,Tables!$C$99:$C$118,1),1),ROWS(Tables!$C$99:$C$118)-1))+1)-INDEX(Tables!$C$99:$C$118,MAX(1,MIN(IFERROR(MATCH(AF58,Tables!$C$99:$C$118,1),1),ROWS(Tables!$C$99:$C$118)-1))))),(INDEX(Tables!$F$99:$F$118,MAX(1,MIN(IFERROR(MATCH(AF58,Tables!$E$99:$E$118,1),1),ROWS(Tables!$E$99:$E$118)-1)))+(AF58-INDEX(Tables!$E$99:$E$118,MAX(1,MIN(IFERROR(MATCH(AF58,Tables!$E$99:$E$118,1),1),ROWS(Tables!$E$99:$E$118)-1))))*(INDEX(Tables!$F$99:$F$118,MAX(1,MIN(IFERROR(MATCH(AF58,Tables!$E$99:$E$118,1),1),ROWS(Tables!$E$99:$E$118)-1))+1)-INDEX(Tables!$F$99:$F$118,MAX(1,MIN(IFERROR(MATCH(AF58,Tables!$E$99:$E$118,1),1),ROWS(Tables!$E$99:$E$118)-1))))/(INDEX(Tables!$E$99:$E$118,MAX(1,MIN(IFERROR(MATCH(AF58,Tables!$E$99:$E$118,1),1),ROWS(Tables!$E$99:$E$118)-1))+1)-INDEX(Tables!$E$99:$E$118,MAX(1,MIN(IFERROR(MATCH(AF58,Tables!$E$99:$E$118,1),1),ROWS(Tables!$E$99:$E$118)-1)))))))</f>
        <v>9.5078674145843962</v>
      </c>
      <c r="AQ58" s="181">
        <f>IF(P58&lt;6,(INDEX(Tables!$B$123:$B$138,MAX(1,MIN(IFERROR(MATCH(U58,Tables!$A$123:$A$138,1),1),ROWS(Tables!$A$123:$A$138)-1)))+(U58-INDEX(Tables!$A$123:$A$138,MAX(1,MIN(IFERROR(MATCH(U58,Tables!$A$123:$A$138,1),1),ROWS(Tables!$A$123:$A$138)-1))))*(INDEX(Tables!$B$123:$B$138,MAX(1,MIN(IFERROR(MATCH(U58,Tables!$A$123:$A$138,1),1),ROWS(Tables!$A$123:$A$138)-1))+1)-INDEX(Tables!$B$123:$B$138,MAX(1,MIN(IFERROR(MATCH(U58,Tables!$A$123:$A$138,1),1),ROWS(Tables!$A$123:$A$138)-1))))/(INDEX(Tables!$A$123:$A$138,MAX(1,MIN(IFERROR(MATCH(U58,Tables!$A$123:$A$138,1),1),ROWS(Tables!$A$123:$A$138)-1))+1)-INDEX(Tables!$A$123:$A$138,MAX(1,MIN(IFERROR(MATCH(U58,Tables!$A$123:$A$138,1),1),ROWS(Tables!$A$123:$A$138)-1))))),IF(P58&lt;8,(INDEX(Tables!$D$123:$D$138,MAX(1,MIN(IFERROR(MATCH(U58,Tables!$C$123:$C$138,1),1),ROWS(Tables!$C$123:$C$138)-1)))+(U58-INDEX(Tables!$C$123:$C$138,MAX(1,MIN(IFERROR(MATCH(U58,Tables!$C$123:$C$138,1),1),ROWS(Tables!$C$123:$C$138)-1))))*(INDEX(Tables!$D$123:$D$138,MAX(1,MIN(IFERROR(MATCH(U58,Tables!$C$123:$C$138,1),1),ROWS(Tables!$C$123:$C$138)-1))+1)-INDEX(Tables!$D$123:$D$138,MAX(1,MIN(IFERROR(MATCH(U58,Tables!$C$123:$C$138,1),1),ROWS(Tables!$C$123:$C$138)-1))))/(INDEX(Tables!$C$123:$C$138,MAX(1,MIN(IFERROR(MATCH(U58,Tables!$C$123:$C$138,1),1),ROWS(Tables!$C$123:$C$138)-1))+1)-INDEX(Tables!$C$123:$C$138,MAX(1,MIN(IFERROR(MATCH(U58,Tables!$C$123:$C$138,1),1),ROWS(Tables!$C$123:$C$138)-1))))),IF(P58&lt;10,(INDEX(Tables!$F$123:$F$138,MAX(1,MIN(IFERROR(MATCH(U58,Tables!$E$123:$E$138,1),1),ROWS(Tables!$E$123:$E$138)-1)))+(U58-INDEX(Tables!$E$123:$E$138,MAX(1,MIN(IFERROR(MATCH(U58,Tables!$E$123:$E$138,1),1),ROWS(Tables!$E$123:$E$138)-1))))*(INDEX(Tables!$F$123:$F$138,MAX(1,MIN(IFERROR(MATCH(U58,Tables!$E$123:$E$138,1),1),ROWS(Tables!$E$123:$E$138)-1))+1)-INDEX(Tables!$F$123:$F$138,MAX(1,MIN(IFERROR(MATCH(U58,Tables!$E$123:$E$138,1),1),ROWS(Tables!$E$123:$E$138)-1))))/(INDEX(Tables!$E$123:$E$138,MAX(1,MIN(IFERROR(MATCH(U58,Tables!$E$123:$E$138,1),1),ROWS(Tables!$E$123:$E$138)-1))+1)-INDEX(Tables!$E$123:$E$138,MAX(1,MIN(IFERROR(MATCH(U58,Tables!$E$123:$E$138,1),1),ROWS(Tables!$E$123:$E$138)-1))))),(INDEX(Tables!$H$123:$H$138,MAX(1,MIN(IFERROR(MATCH(U58,Tables!$G$123:$G$138,1),1),ROWS(Tables!$G$123:$G$138)-1)))+(U58-INDEX(Tables!$G$123:$G$138,MAX(1,MIN(IFERROR(MATCH(U58,Tables!$G$123:$G$138,1),1),ROWS(Tables!$G$123:$G$138)-1))))*(INDEX(Tables!$H$123:$H$138,MAX(1,MIN(IFERROR(MATCH(U58,Tables!$G$123:$G$138,1),1),ROWS(Tables!$G$123:$G$138)-1))+1)-INDEX(Tables!$H$123:$H$138,MAX(1,MIN(IFERROR(MATCH(U58,Tables!$G$123:$G$138,1),1),ROWS(Tables!$G$123:$G$138)-1))))/(INDEX(Tables!$G$123:$G$138,MAX(1,MIN(IFERROR(MATCH(U58,Tables!$G$123:$G$138,1),1),ROWS(Tables!$G$123:$G$138)-1))+1)-INDEX(Tables!$G$123:$G$138,MAX(1,MIN(IFERROR(MATCH(U58,Tables!$G$123:$G$138,1),1),ROWS(Tables!$G$123:$G$138)-1))))))))</f>
        <v>1.4501250000000001</v>
      </c>
      <c r="AR58" s="181">
        <f>IF(OR(P58&gt;=4,U58&gt;12),VLOOKUP(R58&amp;" "&amp;S58,Tables!$D$143:$F$148,2,FALSE),VLOOKUP(R58&amp;" "&amp;S58,Tables!$A$143:$C$148,2,FALSE))</f>
        <v>1.1000000000000001</v>
      </c>
      <c r="AS58" s="181">
        <f>IF(OR(P58&gt;=4,U58&gt;12),VLOOKUP(R58&amp;" "&amp;S58,Tables!$D$143:$F$148,3,FALSE),VLOOKUP(R58&amp;" "&amp;S58,Tables!$A$143:$C$148,3,FALSE))</f>
        <v>1</v>
      </c>
      <c r="AT58" s="181">
        <f t="shared" si="40"/>
        <v>1579.828735211627</v>
      </c>
      <c r="AU58" s="181">
        <f>IF(AD58=5000,(INDEX(Tables!$B$244:$B$263,MAX(1,MIN(IFERROR(MATCH(AF58,Tables!$A$244:$A$263,1),1),ROWS(Tables!$A$244:$A$263)-1)))+(AF58-INDEX(Tables!$A$244:$A$263,MAX(1,MIN(IFERROR(MATCH(AF58,Tables!$A$244:$A$263,1),1),ROWS(Tables!$A$244:$A$263)-1))))*(INDEX(Tables!$B$244:$B$263,MAX(1,MIN(IFERROR(MATCH(AF58,Tables!$A$244:$A$263,1),1),ROWS(Tables!$A$244:$A$263)-1))+1)-INDEX(Tables!$B$244:$B$263,MAX(1,MIN(IFERROR(MATCH(AF58,Tables!$A$244:$A$263,1),1),ROWS(Tables!$A$244:$A$263)-1))))/(INDEX(Tables!$A$244:$A$263,MAX(1,MIN(IFERROR(MATCH(AF58,Tables!$A$244:$A$263,1),1),ROWS(Tables!$A$244:$A$263)-1))+1)-INDEX(Tables!$A$244:$A$263,MAX(1,MIN(IFERROR(MATCH(AF58,Tables!$A$244:$A$263,1),1),ROWS(Tables!$A$244:$A$263)-1))))),IF(AD58=10000,(INDEX(Tables!$D$244:$D$263,MAX(1,MIN(IFERROR(MATCH(AF58,Tables!$C$244:$C$263,1),1),ROWS(Tables!$C$244:$C$263)-1)))+(AF58-INDEX(Tables!$C$244:$C$263,MAX(1,MIN(IFERROR(MATCH(AF58,Tables!$C$244:$C$263,1),1),ROWS(Tables!$C$244:$C$263)-1))))*(INDEX(Tables!$D$244:$D$263,MAX(1,MIN(IFERROR(MATCH(AF58,Tables!$C$244:$C$263,1),1),ROWS(Tables!$C$244:$C$263)-1))+1)-INDEX(Tables!$D$244:$D$263,MAX(1,MIN(IFERROR(MATCH(AF58,Tables!$C$244:$C$263,1),1),ROWS(Tables!$C$244:$C$263)-1))))/(INDEX(Tables!$C$244:$C$263,MAX(1,MIN(IFERROR(MATCH(AF58,Tables!$C$244:$C$263,1),1),ROWS(Tables!$C$244:$C$263)-1))+1)-INDEX(Tables!$C$244:$C$263,MAX(1,MIN(IFERROR(MATCH(AF58,Tables!$C$244:$C$263,1),1),ROWS(Tables!$C$244:$C$263)-1))))),(INDEX(Tables!$F$244:$F$263,MAX(1,MIN(IFERROR(MATCH(AF58,Tables!$E$244:$E$263,1),1),ROWS(Tables!$E$244:$E$263)-1)))+(AF58-INDEX(Tables!$E$244:$E$263,MAX(1,MIN(IFERROR(MATCH(AF58,Tables!$E$244:$E$263,1),1),ROWS(Tables!$E$244:$E$263)-1))))*(INDEX(Tables!$F$244:$F$263,MAX(1,MIN(IFERROR(MATCH(AF58,Tables!$E$244:$E$263,1),1),ROWS(Tables!$E$244:$E$263)-1))+1)-INDEX(Tables!$F$244:$F$263,MAX(1,MIN(IFERROR(MATCH(AF58,Tables!$E$244:$E$263,1),1),ROWS(Tables!$E$244:$E$263)-1))))/(INDEX(Tables!$E$244:$E$263,MAX(1,MIN(IFERROR(MATCH(AF58,Tables!$E$244:$E$263,1),1),ROWS(Tables!$E$244:$E$263)-1))+1)-INDEX(Tables!$E$244:$E$263,MAX(1,MIN(IFERROR(MATCH(AF58,Tables!$E$244:$E$263,1),1),ROWS(Tables!$E$244:$E$263)-1)))))))</f>
        <v>6.5720452830188671</v>
      </c>
      <c r="AV58" s="181">
        <f>IF(P58&lt;6,(INDEX(Tables!$B$260:$B$274,MAX(1,MIN(IFERROR(MATCH(U58,Tables!$A$260:$A$274,1),1),ROWS(Tables!$A$260:$A$274)-1)))+(U58-INDEX(Tables!$A$260:$A$274,MAX(1,MIN(IFERROR(MATCH(U58,Tables!$A$260:$A$274,1),1),ROWS(Tables!$A$260:$A$274)-1))))*(INDEX(Tables!$B$260:$B$274,MAX(1,MIN(IFERROR(MATCH(U58,Tables!$A$260:$A$274,1),1),ROWS(Tables!$A$260:$A$274)-1))+1)-INDEX(Tables!$B$260:$B$274,MAX(1,MIN(IFERROR(MATCH(U58,Tables!$A$260:$A$274,1),1),ROWS(Tables!$A$260:$A$274)-1))))/(INDEX(Tables!$A$260:$A$274,MAX(1,MIN(IFERROR(MATCH(U58,Tables!$A$260:$A$274,1),1),ROWS(Tables!$A$260:$A$274)-1))+1)-INDEX(Tables!$A$260:$A$274,MAX(1,MIN(IFERROR(MATCH(U58,Tables!$A$260:$A$274,1),1),ROWS(Tables!$A$260:$A$274)-1))))),IF(P58&lt;8,(INDEX(Tables!$D$260:$D$274,MAX(1,MIN(IFERROR(MATCH(U58,Tables!$C$260:$C$274,1),1),ROWS(Tables!$C$260:$C$274)-1)))+(U58-INDEX(Tables!$C$260:$C$274,MAX(1,MIN(IFERROR(MATCH(U58,Tables!$C$260:$C$274,1),1),ROWS(Tables!$C$260:$C$274)-1))))*(INDEX(Tables!$D$260:$D$274,MAX(1,MIN(IFERROR(MATCH(U58,Tables!$C$260:$C$274,1),1),ROWS(Tables!$C$260:$C$274)-1))+1)-INDEX(Tables!$D$260:$D$274,MAX(1,MIN(IFERROR(MATCH(U58,Tables!$C$260:$C$274,1),1),ROWS(Tables!$C$260:$C$274)-1))))/(INDEX(Tables!$C$260:$C$274,MAX(1,MIN(IFERROR(MATCH(U58,Tables!$C$260:$C$274,1),1),ROWS(Tables!$C$260:$C$274)-1))+1)-INDEX(Tables!$C$260:$C$274,MAX(1,MIN(IFERROR(MATCH(U58,Tables!$C$260:$C$274,1),1),ROWS(Tables!$C$260:$C$274)-1))))),IF(P58&lt;10,(INDEX(Tables!$F$260:$F$274,MAX(1,MIN(IFERROR(MATCH(U58,Tables!$E$260:$E$274,1),1),ROWS(Tables!$E$260:$E$274)-1)))+(U58-INDEX(Tables!$E$260:$E$274,MAX(1,MIN(IFERROR(MATCH(U58,Tables!$E$260:$E$274,1),1),ROWS(Tables!$E$260:$E$274)-1))))*(INDEX(Tables!$F$260:$F$274,MAX(1,MIN(IFERROR(MATCH(U58,Tables!$E$260:$E$274,1),1),ROWS(Tables!$E$260:$E$274)-1))+1)-INDEX(Tables!$F$260:$F$274,MAX(1,MIN(IFERROR(MATCH(U58,Tables!$E$260:$E$274,1),1),ROWS(Tables!$E$260:$E$274)-1))))/(INDEX(Tables!$E$260:$E$274,MAX(1,MIN(IFERROR(MATCH(U58,Tables!$E$260:$E$274,1),1),ROWS(Tables!$E$260:$E$274)-1))+1)-INDEX(Tables!$E$260:$E$274,MAX(1,MIN(IFERROR(MATCH(U58,Tables!$E$260:$E$274,1),1),ROWS(Tables!$E$260:$E$274)-1))))),(INDEX(Tables!$H$260:$H$274,MAX(1,MIN(IFERROR(MATCH(U58,Tables!$G$260:$G$274,1),1),ROWS(Tables!$G$260:$G$274)-1)))+(U58-INDEX(Tables!$G$260:$G$274,MAX(1,MIN(IFERROR(MATCH(U58,Tables!$G$260:$G$274,1),1),ROWS(Tables!$G$260:$G$274)-1))))*(INDEX(Tables!$H$260:$H$274,MAX(1,MIN(IFERROR(MATCH(U58,Tables!$G$260:$G$274,1),1),ROWS(Tables!$G$260:$G$274)-1))+1)-INDEX(Tables!$H$260:$H$274,MAX(1,MIN(IFERROR(MATCH(U58,Tables!$G$260:$G$274,1),1),ROWS(Tables!$G$260:$G$274)-1))))/(INDEX(Tables!$G$260:$G$274,MAX(1,MIN(IFERROR(MATCH(U58,Tables!$G$260:$G$274,1),1),ROWS(Tables!$G$260:$G$274)-1))+1)-INDEX(Tables!$G$260:$G$274,MAX(1,MIN(IFERROR(MATCH(U58,Tables!$G$260:$G$274,1),1),ROWS(Tables!$G$260:$G$274)-1))))))))</f>
        <v>1.4965000000000002</v>
      </c>
      <c r="AW58" s="181">
        <f t="shared" si="41"/>
        <v>1126.9346190251574</v>
      </c>
      <c r="AX58" s="181">
        <f t="shared" si="42"/>
        <v>2422.0149253731338</v>
      </c>
      <c r="AY58" s="181">
        <f t="shared" si="43"/>
        <v>4524.9445491877823</v>
      </c>
      <c r="AZ58" s="181">
        <f t="shared" si="44"/>
        <v>2010.4693632180038</v>
      </c>
      <c r="BA58" s="181">
        <f t="shared" si="45"/>
        <v>-100</v>
      </c>
      <c r="BB58" s="181">
        <f t="shared" si="46"/>
        <v>4010.4101085176649</v>
      </c>
      <c r="BC58" s="181">
        <f t="shared" si="47"/>
        <v>46800</v>
      </c>
      <c r="BD58" s="181">
        <f>VLOOKUP(V58&amp;" "&amp;J58,Tables!$A$152:$E$239,4,FALSE)</f>
        <v>12000</v>
      </c>
      <c r="BE58" s="181">
        <f>VLOOKUP(V58&amp;" "&amp;J58,Tables!$A$152:$E$239,5,FALSE)</f>
        <v>23000</v>
      </c>
      <c r="BF58" s="181">
        <f t="shared" si="48"/>
        <v>8640</v>
      </c>
      <c r="BG58" s="181">
        <f t="shared" si="49"/>
        <v>16560</v>
      </c>
      <c r="BH58" s="181">
        <f t="shared" si="50"/>
        <v>2472.0149253731342</v>
      </c>
      <c r="BI58" s="181">
        <f t="shared" si="51"/>
        <v>46800</v>
      </c>
      <c r="BJ58" s="181">
        <f t="shared" si="52"/>
        <v>4010.4101085176649</v>
      </c>
      <c r="BK58" s="181">
        <f t="shared" si="53"/>
        <v>46800</v>
      </c>
      <c r="BL58" s="181">
        <f t="shared" si="54"/>
        <v>1126.9346190251574</v>
      </c>
      <c r="BM58" s="181">
        <f t="shared" si="55"/>
        <v>8640</v>
      </c>
      <c r="BN58" s="181">
        <f t="shared" si="56"/>
        <v>1579.828735211627</v>
      </c>
      <c r="BO58" s="181">
        <f t="shared" si="57"/>
        <v>16560</v>
      </c>
      <c r="BP58" t="str">
        <f t="shared" si="58"/>
        <v>Pass</v>
      </c>
      <c r="BQ58" t="str">
        <f t="shared" si="59"/>
        <v>Pass</v>
      </c>
      <c r="BR58" t="str">
        <f t="shared" si="60"/>
        <v>Pass</v>
      </c>
      <c r="BS58" t="str">
        <f t="shared" si="61"/>
        <v>Pass</v>
      </c>
      <c r="BT58" t="str">
        <f t="shared" si="62"/>
        <v>Pass</v>
      </c>
      <c r="BU58" t="str">
        <f t="shared" si="63"/>
        <v>Girth Weld Stress</v>
      </c>
    </row>
    <row r="59" spans="1:73">
      <c r="A59" t="s">
        <v>651</v>
      </c>
      <c r="B59" s="181">
        <v>57</v>
      </c>
      <c r="C59" t="s">
        <v>594</v>
      </c>
      <c r="D59" s="181">
        <v>8</v>
      </c>
      <c r="E59" s="181">
        <v>0.14799999999999999</v>
      </c>
      <c r="F59" t="s">
        <v>117</v>
      </c>
      <c r="G59" t="s">
        <v>119</v>
      </c>
      <c r="H59" t="s">
        <v>122</v>
      </c>
      <c r="I59" s="181">
        <v>1</v>
      </c>
      <c r="J59" t="s">
        <v>126</v>
      </c>
      <c r="K59" t="s">
        <v>129</v>
      </c>
      <c r="L59" s="181">
        <v>70</v>
      </c>
      <c r="M59" s="181">
        <v>800</v>
      </c>
      <c r="N59" t="s">
        <v>392</v>
      </c>
      <c r="O59" s="181">
        <v>120</v>
      </c>
      <c r="P59" s="181">
        <v>3</v>
      </c>
      <c r="Q59" s="181">
        <v>10.625</v>
      </c>
      <c r="R59" t="s">
        <v>417</v>
      </c>
      <c r="S59" t="s">
        <v>156</v>
      </c>
      <c r="T59" s="181">
        <v>70</v>
      </c>
      <c r="U59" s="181">
        <f>HLOOKUP(D59,'Highway Loading'!$C$155:$AD$156,2,FALSE)</f>
        <v>8.625</v>
      </c>
      <c r="V59" s="181">
        <f>IF(ISBLANK(G59),"",INDEX('Highway Loading'!$C$216:$AG$216,1,MATCH(G59,'Highway Loading'!$C$215:$AG$215,0)))</f>
        <v>65000</v>
      </c>
      <c r="W59" s="181">
        <f>INDEX('Highway Loading'!$I$245:$L$253,MATCH(H59,'Highway Loading'!$H$245:$H$253,0),MATCH(I59,'Highway Loading'!$I$244:$L$244,0))</f>
        <v>0.72</v>
      </c>
      <c r="X59" s="181">
        <f t="shared" si="32"/>
        <v>1</v>
      </c>
      <c r="Y59" s="181">
        <f>VLOOKUP(K59,'Highway Loading'!$B$283:$E$292,2,FALSE)</f>
        <v>29000000</v>
      </c>
      <c r="Z59" s="181">
        <f>VLOOKUP(K59,'Highway Loading'!$B$283:$E$292,3,FALSE)</f>
        <v>0.3</v>
      </c>
      <c r="AA59" s="181">
        <f>VLOOKUP(K59,'Highway Loading'!$B$283:$E$292,4,FALSE)</f>
        <v>6.4999999999999996E-6</v>
      </c>
      <c r="AB59" s="181">
        <f t="shared" si="33"/>
        <v>1</v>
      </c>
      <c r="AC59" s="181">
        <f>VLOOKUP(N59,'Highway Loading'!$B$256:$D$261,2,FALSE)</f>
        <v>2000</v>
      </c>
      <c r="AD59" s="181">
        <f>VLOOKUP(N59,'Highway Loading'!$B$256:$D$261,3,FALSE)</f>
        <v>20000</v>
      </c>
      <c r="AE59" s="181">
        <f>VLOOKUP(S59,'Highway Loading'!$B$340:$C$341,2,FALSE)</f>
        <v>10000</v>
      </c>
      <c r="AF59" s="181">
        <f t="shared" si="34"/>
        <v>1.7159420289855072E-2</v>
      </c>
      <c r="AG59" s="181">
        <f t="shared" si="35"/>
        <v>3.388235294117647</v>
      </c>
      <c r="AH59" s="181">
        <f t="shared" si="36"/>
        <v>1.2318840579710144</v>
      </c>
      <c r="AI59" s="181">
        <f t="shared" si="37"/>
        <v>23310.810810810814</v>
      </c>
      <c r="AJ59" s="181">
        <f t="shared" si="38"/>
        <v>46800</v>
      </c>
      <c r="AK59" s="181">
        <f>IF(AC59=200,(INDEX(Tables!$B$17:$B$38,MAX(1,MIN(IFERROR(MATCH(AF59,Tables!$A$17:$A$38,1),1),ROWS(Tables!$A$17:$A$38)-1)))+(AF59-INDEX(Tables!$A$17:$A$38,MAX(1,MIN(IFERROR(MATCH(AF59,Tables!$A$17:$A$38,1),1),ROWS(Tables!$A$17:$A$38)-1))))*(INDEX(Tables!$B$17:$B$38,MAX(1,MIN(IFERROR(MATCH(AF59,Tables!$A$17:$A$38,1),1),ROWS(Tables!$A$17:$A$38)-1))+1)-INDEX(Tables!$B$17:$B$38,MAX(1,MIN(IFERROR(MATCH(AF59,Tables!$A$17:$A$38,1),1),ROWS(Tables!$A$17:$A$38)-1))))/(INDEX(Tables!$A$17:$A$38,MAX(1,MIN(IFERROR(MATCH(AF59,Tables!$A$17:$A$38,1),1),ROWS(Tables!$A$17:$A$38)-1))+1)-INDEX(Tables!$A$17:$A$38,MAX(1,MIN(IFERROR(MATCH(AF59,Tables!$A$17:$A$38,1),1),ROWS(Tables!$A$17:$A$38)-1))))),IF(AC59=500,(INDEX(Tables!$D$17:$D$38,MAX(1,MIN(IFERROR(MATCH(AF59,Tables!$C$17:$C$38,1),1),ROWS(Tables!$C$17:$C$38)-1)))+(AF59-INDEX(Tables!$C$17:$C$38,MAX(1,MIN(IFERROR(MATCH(AF59,Tables!$C$17:$C$38,1),1),ROWS(Tables!$C$17:$C$38)-1))))*(INDEX(Tables!$D$17:$D$38,MAX(1,MIN(IFERROR(MATCH(AF59,Tables!$C$17:$C$38,1),1),ROWS(Tables!$C$17:$C$38)-1))+1)-INDEX(Tables!$D$17:$D$38,MAX(1,MIN(IFERROR(MATCH(AF59,Tables!$C$17:$C$38,1),1),ROWS(Tables!$C$17:$C$38)-1))))/(INDEX(Tables!$C$17:$C$38,MAX(1,MIN(IFERROR(MATCH(AF59,Tables!$C$17:$C$38,1),1),ROWS(Tables!$C$17:$C$38)-1))+1)-INDEX(Tables!$C$17:$C$38,MAX(1,MIN(IFERROR(MATCH(AF59,Tables!$C$17:$C$38,1),1),ROWS(Tables!$C$17:$C$38)-1))))),IF(AC59=1000,(INDEX(Tables!$F$17:$F$38,MAX(1,MIN(IFERROR(MATCH(AF59,Tables!$E$17:$E$38,1),1),ROWS(Tables!$E$17:$E$38)-1)))+(AF59-INDEX(Tables!$E$17:$E$38,MAX(1,MIN(IFERROR(MATCH(AF59,Tables!$E$17:$E$38,1),1),ROWS(Tables!$E$17:$E$38)-1))))*(INDEX(Tables!$F$17:$F$38,MAX(1,MIN(IFERROR(MATCH(AF59,Tables!$E$17:$E$38,1),1),ROWS(Tables!$E$17:$E$38)-1))+1)-INDEX(Tables!$F$17:$F$38,MAX(1,MIN(IFERROR(MATCH(AF59,Tables!$E$17:$E$38,1),1),ROWS(Tables!$E$17:$E$38)-1))))/(INDEX(Tables!$E$17:$E$38,MAX(1,MIN(IFERROR(MATCH(AF59,Tables!$E$17:$E$38,1),1),ROWS(Tables!$E$17:$E$38)-1))+1)-INDEX(Tables!$E$17:$E$38,MAX(1,MIN(IFERROR(MATCH(AF59,Tables!$E$17:$E$38,1),1),ROWS(Tables!$E$17:$E$38)-1))))),(INDEX(Tables!$H$17:$H$38,MAX(1,MIN(IFERROR(MATCH(AF59,Tables!$G$17:$G$38,1),1),ROWS(Tables!$G$17:$G$38)-1)))+(AF59-INDEX(Tables!$G$17:$G$38,MAX(1,MIN(IFERROR(MATCH(AF59,Tables!$G$17:$G$38,1),1),ROWS(Tables!$G$17:$G$38)-1))))*(INDEX(Tables!$H$17:$H$38,MAX(1,MIN(IFERROR(MATCH(AF59,Tables!$G$17:$G$38,1),1),ROWS(Tables!$G$17:$G$38)-1))+1)-INDEX(Tables!$H$17:$H$38,MAX(1,MIN(IFERROR(MATCH(AF59,Tables!$G$17:$G$38,1),1),ROWS(Tables!$G$17:$G$38)-1))))/(INDEX(Tables!$G$17:$G$38,MAX(1,MIN(IFERROR(MATCH(AF59,Tables!$G$17:$G$38,1),1),ROWS(Tables!$G$17:$G$38)-1))+1)-INDEX(Tables!$G$17:$G$38,MAX(1,MIN(IFERROR(MATCH(AF59,Tables!$G$17:$G$38,1),1),ROWS(Tables!$G$17:$G$38)-1))))))))</f>
        <v>2180.2840579710146</v>
      </c>
      <c r="AL59" s="181">
        <f>IF(AC59&lt;1000,(INDEX(Tables!$B$43:$B$76,MAX(1,MIN(IFERROR(MATCH(AG59,Tables!$A$43:$A$76,1),1),ROWS(Tables!$A$43:$A$76)-1)))+(AG59-INDEX(Tables!$A$43:$A$76,MAX(1,MIN(IFERROR(MATCH(AG59,Tables!$A$43:$A$76,1),1),ROWS(Tables!$A$43:$A$76)-1))))*(INDEX(Tables!$B$43:$B$76,MAX(1,MIN(IFERROR(MATCH(AG59,Tables!$A$43:$A$76,1),1),ROWS(Tables!$A$43:$A$76)-1))+1)-INDEX(Tables!$B$43:$B$76,MAX(1,MIN(IFERROR(MATCH(AG59,Tables!$A$43:$A$76,1),1),ROWS(Tables!$A$43:$A$76)-1))))/(INDEX(Tables!$A$43:$A$76,MAX(1,MIN(IFERROR(MATCH(AG59,Tables!$A$43:$A$76,1),1),ROWS(Tables!$A$43:$A$76)-1))+1)-INDEX(Tables!$A$43:$A$76,MAX(1,MIN(IFERROR(MATCH(AG59,Tables!$A$43:$A$76,1),1),ROWS(Tables!$A$43:$A$76)-1))))),(INDEX(Tables!$D$43:$D$76,MAX(1,MIN(IFERROR(MATCH(AG59,Tables!$C$43:$C$76,1),1),ROWS(Tables!$C$43:$C$76)-1)))+(AG59-INDEX(Tables!$C$43:$C$76,MAX(1,MIN(IFERROR(MATCH(AG59,Tables!$C$43:$C$76,1),1),ROWS(Tables!$C$43:$C$76)-1))))*(INDEX(Tables!$D$43:$D$76,MAX(1,MIN(IFERROR(MATCH(AG59,Tables!$C$43:$C$76,1),1),ROWS(Tables!$C$43:$C$76)-1))+1)-INDEX(Tables!$D$43:$D$76,MAX(1,MIN(IFERROR(MATCH(AG59,Tables!$C$43:$C$76,1),1),ROWS(Tables!$C$43:$C$76)-1))))/(INDEX(Tables!$C$43:$C$76,MAX(1,MIN(IFERROR(MATCH(AG59,Tables!$C$43:$C$76,1),1),ROWS(Tables!$C$43:$C$76)-1))+1)-INDEX(Tables!$C$43:$C$76,MAX(1,MIN(IFERROR(MATCH(AG59,Tables!$C$43:$C$76,1),1),ROWS(Tables!$C$43:$C$76)-1))))))</f>
        <v>0.82142352941176466</v>
      </c>
      <c r="AM59" s="181">
        <f>(INDEX(Tables!$B$80:$B$87,MAX(1,MIN(IFERROR(MATCH(AH59,Tables!$A$80:$A$87,1),1),ROWS(Tables!$A$80:$A$87)-1)))+(AH59-INDEX(Tables!$A$80:$A$87,MAX(1,MIN(IFERROR(MATCH(AH59,Tables!$A$80:$A$87,1),1),ROWS(Tables!$A$80:$A$87)-1))))*(INDEX(Tables!$B$80:$B$87,MAX(1,MIN(IFERROR(MATCH(AH59,Tables!$A$80:$A$87,1),1),ROWS(Tables!$A$80:$A$87)-1))+1)-INDEX(Tables!$B$80:$B$87,MAX(1,MIN(IFERROR(MATCH(AH59,Tables!$A$80:$A$87,1),1),ROWS(Tables!$A$80:$A$87)-1))))/(INDEX(Tables!$A$80:$A$87,MAX(1,MIN(IFERROR(MATCH(AH59,Tables!$A$80:$A$87,1),1),ROWS(Tables!$A$80:$A$87)-1))+1)-INDEX(Tables!$A$80:$A$87,MAX(1,MIN(IFERROR(MATCH(AH59,Tables!$A$80:$A$87,1),1),ROWS(Tables!$A$80:$A$87)-1)))))</f>
        <v>1.2567086956521738</v>
      </c>
      <c r="AN59" s="181">
        <f t="shared" si="39"/>
        <v>1348.0669145685913</v>
      </c>
      <c r="AO59" s="181">
        <f>(INDEX(Tables!$B$91:$B$94,MAX(1,MIN(IFERROR(MATCH(P59,Tables!$A$91:$A$94,1),1),ROWS(Tables!$A$91:$A$94)-1)))+(P59-INDEX(Tables!$A$91:$A$94,MAX(1,MIN(IFERROR(MATCH(P59,Tables!$A$91:$A$94,1),1),ROWS(Tables!$A$91:$A$94)-1))))*(INDEX(Tables!$B$91:$B$94,MAX(1,MIN(IFERROR(MATCH(P59,Tables!$A$91:$A$94,1),1),ROWS(Tables!$A$91:$A$94)-1))+1)-INDEX(Tables!$B$91:$B$94,MAX(1,MIN(IFERROR(MATCH(P59,Tables!$A$91:$A$94,1),1),ROWS(Tables!$A$91:$A$94)-1))))/(INDEX(Tables!$A$91:$A$94,MAX(1,MIN(IFERROR(MATCH(P59,Tables!$A$91:$A$94,1),1),ROWS(Tables!$A$91:$A$94)-1))+1)-INDEX(Tables!$A$91:$A$94,MAX(1,MIN(IFERROR(MATCH(P59,Tables!$A$91:$A$94,1),1),ROWS(Tables!$A$91:$A$94)-1)))))</f>
        <v>1.5</v>
      </c>
      <c r="AP59" s="181">
        <f>IF(AD59=5000,(INDEX(Tables!$B$99:$B$118,MAX(1,MIN(IFERROR(MATCH(AF59,Tables!$A$99:$A$118,1),1),ROWS(Tables!$A$99:$A$118)-1)))+(AF59-INDEX(Tables!$A$99:$A$118,MAX(1,MIN(IFERROR(MATCH(AF59,Tables!$A$99:$A$118,1),1),ROWS(Tables!$A$99:$A$118)-1))))*(INDEX(Tables!$B$99:$B$118,MAX(1,MIN(IFERROR(MATCH(AF59,Tables!$A$99:$A$118,1),1),ROWS(Tables!$A$99:$A$118)-1))+1)-INDEX(Tables!$B$99:$B$118,MAX(1,MIN(IFERROR(MATCH(AF59,Tables!$A$99:$A$118,1),1),ROWS(Tables!$A$99:$A$118)-1))))/(INDEX(Tables!$A$99:$A$118,MAX(1,MIN(IFERROR(MATCH(AF59,Tables!$A$99:$A$118,1),1),ROWS(Tables!$A$99:$A$118)-1))+1)-INDEX(Tables!$A$99:$A$118,MAX(1,MIN(IFERROR(MATCH(AF59,Tables!$A$99:$A$118,1),1),ROWS(Tables!$A$99:$A$118)-1))))),IF(AD59=10000,(INDEX(Tables!$D$99:$D$118,MAX(1,MIN(IFERROR(MATCH(AF59,Tables!$C$99:$C$118,1),1),ROWS(Tables!$C$99:$C$118)-1)))+(AF59-INDEX(Tables!$C$99:$C$118,MAX(1,MIN(IFERROR(MATCH(AF59,Tables!$C$99:$C$118,1),1),ROWS(Tables!$C$99:$C$118)-1))))*(INDEX(Tables!$D$99:$D$118,MAX(1,MIN(IFERROR(MATCH(AF59,Tables!$C$99:$C$118,1),1),ROWS(Tables!$C$99:$C$118)-1))+1)-INDEX(Tables!$D$99:$D$118,MAX(1,MIN(IFERROR(MATCH(AF59,Tables!$C$99:$C$118,1),1),ROWS(Tables!$C$99:$C$118)-1))))/(INDEX(Tables!$C$99:$C$118,MAX(1,MIN(IFERROR(MATCH(AF59,Tables!$C$99:$C$118,1),1),ROWS(Tables!$C$99:$C$118)-1))+1)-INDEX(Tables!$C$99:$C$118,MAX(1,MIN(IFERROR(MATCH(AF59,Tables!$C$99:$C$118,1),1),ROWS(Tables!$C$99:$C$118)-1))))),(INDEX(Tables!$F$99:$F$118,MAX(1,MIN(IFERROR(MATCH(AF59,Tables!$E$99:$E$118,1),1),ROWS(Tables!$E$99:$E$118)-1)))+(AF59-INDEX(Tables!$E$99:$E$118,MAX(1,MIN(IFERROR(MATCH(AF59,Tables!$E$99:$E$118,1),1),ROWS(Tables!$E$99:$E$118)-1))))*(INDEX(Tables!$F$99:$F$118,MAX(1,MIN(IFERROR(MATCH(AF59,Tables!$E$99:$E$118,1),1),ROWS(Tables!$E$99:$E$118)-1))+1)-INDEX(Tables!$F$99:$F$118,MAX(1,MIN(IFERROR(MATCH(AF59,Tables!$E$99:$E$118,1),1),ROWS(Tables!$E$99:$E$118)-1))))/(INDEX(Tables!$E$99:$E$118,MAX(1,MIN(IFERROR(MATCH(AF59,Tables!$E$99:$E$118,1),1),ROWS(Tables!$E$99:$E$118)-1))+1)-INDEX(Tables!$E$99:$E$118,MAX(1,MIN(IFERROR(MATCH(AF59,Tables!$E$99:$E$118,1),1),ROWS(Tables!$E$99:$E$118)-1)))))))</f>
        <v>9.368524360160345</v>
      </c>
      <c r="AQ59" s="181">
        <f>IF(P59&lt;6,(INDEX(Tables!$B$123:$B$138,MAX(1,MIN(IFERROR(MATCH(U59,Tables!$A$123:$A$138,1),1),ROWS(Tables!$A$123:$A$138)-1)))+(U59-INDEX(Tables!$A$123:$A$138,MAX(1,MIN(IFERROR(MATCH(U59,Tables!$A$123:$A$138,1),1),ROWS(Tables!$A$123:$A$138)-1))))*(INDEX(Tables!$B$123:$B$138,MAX(1,MIN(IFERROR(MATCH(U59,Tables!$A$123:$A$138,1),1),ROWS(Tables!$A$123:$A$138)-1))+1)-INDEX(Tables!$B$123:$B$138,MAX(1,MIN(IFERROR(MATCH(U59,Tables!$A$123:$A$138,1),1),ROWS(Tables!$A$123:$A$138)-1))))/(INDEX(Tables!$A$123:$A$138,MAX(1,MIN(IFERROR(MATCH(U59,Tables!$A$123:$A$138,1),1),ROWS(Tables!$A$123:$A$138)-1))+1)-INDEX(Tables!$A$123:$A$138,MAX(1,MIN(IFERROR(MATCH(U59,Tables!$A$123:$A$138,1),1),ROWS(Tables!$A$123:$A$138)-1))))),IF(P59&lt;8,(INDEX(Tables!$D$123:$D$138,MAX(1,MIN(IFERROR(MATCH(U59,Tables!$C$123:$C$138,1),1),ROWS(Tables!$C$123:$C$138)-1)))+(U59-INDEX(Tables!$C$123:$C$138,MAX(1,MIN(IFERROR(MATCH(U59,Tables!$C$123:$C$138,1),1),ROWS(Tables!$C$123:$C$138)-1))))*(INDEX(Tables!$D$123:$D$138,MAX(1,MIN(IFERROR(MATCH(U59,Tables!$C$123:$C$138,1),1),ROWS(Tables!$C$123:$C$138)-1))+1)-INDEX(Tables!$D$123:$D$138,MAX(1,MIN(IFERROR(MATCH(U59,Tables!$C$123:$C$138,1),1),ROWS(Tables!$C$123:$C$138)-1))))/(INDEX(Tables!$C$123:$C$138,MAX(1,MIN(IFERROR(MATCH(U59,Tables!$C$123:$C$138,1),1),ROWS(Tables!$C$123:$C$138)-1))+1)-INDEX(Tables!$C$123:$C$138,MAX(1,MIN(IFERROR(MATCH(U59,Tables!$C$123:$C$138,1),1),ROWS(Tables!$C$123:$C$138)-1))))),IF(P59&lt;10,(INDEX(Tables!$F$123:$F$138,MAX(1,MIN(IFERROR(MATCH(U59,Tables!$E$123:$E$138,1),1),ROWS(Tables!$E$123:$E$138)-1)))+(U59-INDEX(Tables!$E$123:$E$138,MAX(1,MIN(IFERROR(MATCH(U59,Tables!$E$123:$E$138,1),1),ROWS(Tables!$E$123:$E$138)-1))))*(INDEX(Tables!$F$123:$F$138,MAX(1,MIN(IFERROR(MATCH(U59,Tables!$E$123:$E$138,1),1),ROWS(Tables!$E$123:$E$138)-1))+1)-INDEX(Tables!$F$123:$F$138,MAX(1,MIN(IFERROR(MATCH(U59,Tables!$E$123:$E$138,1),1),ROWS(Tables!$E$123:$E$138)-1))))/(INDEX(Tables!$E$123:$E$138,MAX(1,MIN(IFERROR(MATCH(U59,Tables!$E$123:$E$138,1),1),ROWS(Tables!$E$123:$E$138)-1))+1)-INDEX(Tables!$E$123:$E$138,MAX(1,MIN(IFERROR(MATCH(U59,Tables!$E$123:$E$138,1),1),ROWS(Tables!$E$123:$E$138)-1))))),(INDEX(Tables!$H$123:$H$138,MAX(1,MIN(IFERROR(MATCH(U59,Tables!$G$123:$G$138,1),1),ROWS(Tables!$G$123:$G$138)-1)))+(U59-INDEX(Tables!$G$123:$G$138,MAX(1,MIN(IFERROR(MATCH(U59,Tables!$G$123:$G$138,1),1),ROWS(Tables!$G$123:$G$138)-1))))*(INDEX(Tables!$H$123:$H$138,MAX(1,MIN(IFERROR(MATCH(U59,Tables!$G$123:$G$138,1),1),ROWS(Tables!$G$123:$G$138)-1))+1)-INDEX(Tables!$H$123:$H$138,MAX(1,MIN(IFERROR(MATCH(U59,Tables!$G$123:$G$138,1),1),ROWS(Tables!$G$123:$G$138)-1))))/(INDEX(Tables!$G$123:$G$138,MAX(1,MIN(IFERROR(MATCH(U59,Tables!$G$123:$G$138,1),1),ROWS(Tables!$G$123:$G$138)-1))+1)-INDEX(Tables!$G$123:$G$138,MAX(1,MIN(IFERROR(MATCH(U59,Tables!$G$123:$G$138,1),1),ROWS(Tables!$G$123:$G$138)-1))))))))</f>
        <v>1.389875</v>
      </c>
      <c r="AR59" s="181">
        <f>IF(OR(P59&gt;=4,U59&gt;12),VLOOKUP(R59&amp;" "&amp;S59,Tables!$D$143:$F$148,2,FALSE),VLOOKUP(R59&amp;" "&amp;S59,Tables!$A$143:$C$148,2,FALSE))</f>
        <v>1.1000000000000001</v>
      </c>
      <c r="AS59" s="181">
        <f>IF(OR(P59&gt;=4,U59&gt;12),VLOOKUP(R59&amp;" "&amp;S59,Tables!$D$143:$F$148,3,FALSE),VLOOKUP(R59&amp;" "&amp;S59,Tables!$A$143:$C$148,3,FALSE))</f>
        <v>1</v>
      </c>
      <c r="AT59" s="181">
        <f t="shared" si="40"/>
        <v>1491.9984973526714</v>
      </c>
      <c r="AU59" s="181">
        <f>IF(AD59=5000,(INDEX(Tables!$B$244:$B$263,MAX(1,MIN(IFERROR(MATCH(AF59,Tables!$A$244:$A$263,1),1),ROWS(Tables!$A$244:$A$263)-1)))+(AF59-INDEX(Tables!$A$244:$A$263,MAX(1,MIN(IFERROR(MATCH(AF59,Tables!$A$244:$A$263,1),1),ROWS(Tables!$A$244:$A$263)-1))))*(INDEX(Tables!$B$244:$B$263,MAX(1,MIN(IFERROR(MATCH(AF59,Tables!$A$244:$A$263,1),1),ROWS(Tables!$A$244:$A$263)-1))+1)-INDEX(Tables!$B$244:$B$263,MAX(1,MIN(IFERROR(MATCH(AF59,Tables!$A$244:$A$263,1),1),ROWS(Tables!$A$244:$A$263)-1))))/(INDEX(Tables!$A$244:$A$263,MAX(1,MIN(IFERROR(MATCH(AF59,Tables!$A$244:$A$263,1),1),ROWS(Tables!$A$244:$A$263)-1))+1)-INDEX(Tables!$A$244:$A$263,MAX(1,MIN(IFERROR(MATCH(AF59,Tables!$A$244:$A$263,1),1),ROWS(Tables!$A$244:$A$263)-1))))),IF(AD59=10000,(INDEX(Tables!$D$244:$D$263,MAX(1,MIN(IFERROR(MATCH(AF59,Tables!$C$244:$C$263,1),1),ROWS(Tables!$C$244:$C$263)-1)))+(AF59-INDEX(Tables!$C$244:$C$263,MAX(1,MIN(IFERROR(MATCH(AF59,Tables!$C$244:$C$263,1),1),ROWS(Tables!$C$244:$C$263)-1))))*(INDEX(Tables!$D$244:$D$263,MAX(1,MIN(IFERROR(MATCH(AF59,Tables!$C$244:$C$263,1),1),ROWS(Tables!$C$244:$C$263)-1))+1)-INDEX(Tables!$D$244:$D$263,MAX(1,MIN(IFERROR(MATCH(AF59,Tables!$C$244:$C$263,1),1),ROWS(Tables!$C$244:$C$263)-1))))/(INDEX(Tables!$C$244:$C$263,MAX(1,MIN(IFERROR(MATCH(AF59,Tables!$C$244:$C$263,1),1),ROWS(Tables!$C$244:$C$263)-1))+1)-INDEX(Tables!$C$244:$C$263,MAX(1,MIN(IFERROR(MATCH(AF59,Tables!$C$244:$C$263,1),1),ROWS(Tables!$C$244:$C$263)-1))))),(INDEX(Tables!$F$244:$F$263,MAX(1,MIN(IFERROR(MATCH(AF59,Tables!$E$244:$E$263,1),1),ROWS(Tables!$E$244:$E$263)-1)))+(AF59-INDEX(Tables!$E$244:$E$263,MAX(1,MIN(IFERROR(MATCH(AF59,Tables!$E$244:$E$263,1),1),ROWS(Tables!$E$244:$E$263)-1))))*(INDEX(Tables!$F$244:$F$263,MAX(1,MIN(IFERROR(MATCH(AF59,Tables!$E$244:$E$263,1),1),ROWS(Tables!$E$244:$E$263)-1))+1)-INDEX(Tables!$F$244:$F$263,MAX(1,MIN(IFERROR(MATCH(AF59,Tables!$E$244:$E$263,1),1),ROWS(Tables!$E$244:$E$263)-1))))/(INDEX(Tables!$E$244:$E$263,MAX(1,MIN(IFERROR(MATCH(AF59,Tables!$E$244:$E$263,1),1),ROWS(Tables!$E$244:$E$263)-1))+1)-INDEX(Tables!$E$244:$E$263,MAX(1,MIN(IFERROR(MATCH(AF59,Tables!$E$244:$E$263,1),1),ROWS(Tables!$E$244:$E$263)-1)))))))</f>
        <v>6.5839999999999996</v>
      </c>
      <c r="AV59" s="181">
        <f>IF(P59&lt;6,(INDEX(Tables!$B$260:$B$274,MAX(1,MIN(IFERROR(MATCH(U59,Tables!$A$260:$A$274,1),1),ROWS(Tables!$A$260:$A$274)-1)))+(U59-INDEX(Tables!$A$260:$A$274,MAX(1,MIN(IFERROR(MATCH(U59,Tables!$A$260:$A$274,1),1),ROWS(Tables!$A$260:$A$274)-1))))*(INDEX(Tables!$B$260:$B$274,MAX(1,MIN(IFERROR(MATCH(U59,Tables!$A$260:$A$274,1),1),ROWS(Tables!$A$260:$A$274)-1))+1)-INDEX(Tables!$B$260:$B$274,MAX(1,MIN(IFERROR(MATCH(U59,Tables!$A$260:$A$274,1),1),ROWS(Tables!$A$260:$A$274)-1))))/(INDEX(Tables!$A$260:$A$274,MAX(1,MIN(IFERROR(MATCH(U59,Tables!$A$260:$A$274,1),1),ROWS(Tables!$A$260:$A$274)-1))+1)-INDEX(Tables!$A$260:$A$274,MAX(1,MIN(IFERROR(MATCH(U59,Tables!$A$260:$A$274,1),1),ROWS(Tables!$A$260:$A$274)-1))))),IF(P59&lt;8,(INDEX(Tables!$D$260:$D$274,MAX(1,MIN(IFERROR(MATCH(U59,Tables!$C$260:$C$274,1),1),ROWS(Tables!$C$260:$C$274)-1)))+(U59-INDEX(Tables!$C$260:$C$274,MAX(1,MIN(IFERROR(MATCH(U59,Tables!$C$260:$C$274,1),1),ROWS(Tables!$C$260:$C$274)-1))))*(INDEX(Tables!$D$260:$D$274,MAX(1,MIN(IFERROR(MATCH(U59,Tables!$C$260:$C$274,1),1),ROWS(Tables!$C$260:$C$274)-1))+1)-INDEX(Tables!$D$260:$D$274,MAX(1,MIN(IFERROR(MATCH(U59,Tables!$C$260:$C$274,1),1),ROWS(Tables!$C$260:$C$274)-1))))/(INDEX(Tables!$C$260:$C$274,MAX(1,MIN(IFERROR(MATCH(U59,Tables!$C$260:$C$274,1),1),ROWS(Tables!$C$260:$C$274)-1))+1)-INDEX(Tables!$C$260:$C$274,MAX(1,MIN(IFERROR(MATCH(U59,Tables!$C$260:$C$274,1),1),ROWS(Tables!$C$260:$C$274)-1))))),IF(P59&lt;10,(INDEX(Tables!$F$260:$F$274,MAX(1,MIN(IFERROR(MATCH(U59,Tables!$E$260:$E$274,1),1),ROWS(Tables!$E$260:$E$274)-1)))+(U59-INDEX(Tables!$E$260:$E$274,MAX(1,MIN(IFERROR(MATCH(U59,Tables!$E$260:$E$274,1),1),ROWS(Tables!$E$260:$E$274)-1))))*(INDEX(Tables!$F$260:$F$274,MAX(1,MIN(IFERROR(MATCH(U59,Tables!$E$260:$E$274,1),1),ROWS(Tables!$E$260:$E$274)-1))+1)-INDEX(Tables!$F$260:$F$274,MAX(1,MIN(IFERROR(MATCH(U59,Tables!$E$260:$E$274,1),1),ROWS(Tables!$E$260:$E$274)-1))))/(INDEX(Tables!$E$260:$E$274,MAX(1,MIN(IFERROR(MATCH(U59,Tables!$E$260:$E$274,1),1),ROWS(Tables!$E$260:$E$274)-1))+1)-INDEX(Tables!$E$260:$E$274,MAX(1,MIN(IFERROR(MATCH(U59,Tables!$E$260:$E$274,1),1),ROWS(Tables!$E$260:$E$274)-1))))),(INDEX(Tables!$H$260:$H$274,MAX(1,MIN(IFERROR(MATCH(U59,Tables!$G$260:$G$274,1),1),ROWS(Tables!$G$260:$G$274)-1)))+(U59-INDEX(Tables!$G$260:$G$274,MAX(1,MIN(IFERROR(MATCH(U59,Tables!$G$260:$G$274,1),1),ROWS(Tables!$G$260:$G$274)-1))))*(INDEX(Tables!$H$260:$H$274,MAX(1,MIN(IFERROR(MATCH(U59,Tables!$G$260:$G$274,1),1),ROWS(Tables!$G$260:$G$274)-1))+1)-INDEX(Tables!$H$260:$H$274,MAX(1,MIN(IFERROR(MATCH(U59,Tables!$G$260:$G$274,1),1),ROWS(Tables!$G$260:$G$274)-1))))/(INDEX(Tables!$G$260:$G$274,MAX(1,MIN(IFERROR(MATCH(U59,Tables!$G$260:$G$274,1),1),ROWS(Tables!$G$260:$G$274)-1))+1)-INDEX(Tables!$G$260:$G$274,MAX(1,MIN(IFERROR(MATCH(U59,Tables!$G$260:$G$274,1),1),ROWS(Tables!$G$260:$G$274)-1))))))))</f>
        <v>1.3123750000000001</v>
      </c>
      <c r="AW59" s="181">
        <f t="shared" si="41"/>
        <v>990.07757291666678</v>
      </c>
      <c r="AX59" s="181">
        <f t="shared" si="42"/>
        <v>22910.810810810814</v>
      </c>
      <c r="AY59" s="181">
        <f t="shared" si="43"/>
        <v>25750.876222732077</v>
      </c>
      <c r="AZ59" s="181">
        <f t="shared" si="44"/>
        <v>8267.7408905304874</v>
      </c>
      <c r="BA59" s="181">
        <f t="shared" si="45"/>
        <v>-800</v>
      </c>
      <c r="BB59" s="181">
        <f t="shared" si="46"/>
        <v>23375.553192349413</v>
      </c>
      <c r="BC59" s="181">
        <f t="shared" si="47"/>
        <v>46800</v>
      </c>
      <c r="BD59" s="181">
        <f>VLOOKUP(V59&amp;" "&amp;J59,Tables!$A$152:$E$239,4,FALSE)</f>
        <v>12000</v>
      </c>
      <c r="BE59" s="181">
        <f>VLOOKUP(V59&amp;" "&amp;J59,Tables!$A$152:$E$239,5,FALSE)</f>
        <v>23000</v>
      </c>
      <c r="BF59" s="181">
        <f t="shared" si="48"/>
        <v>8640</v>
      </c>
      <c r="BG59" s="181">
        <f t="shared" si="49"/>
        <v>16560</v>
      </c>
      <c r="BH59" s="181">
        <f t="shared" si="50"/>
        <v>23310.810810810814</v>
      </c>
      <c r="BI59" s="181">
        <f t="shared" si="51"/>
        <v>46800</v>
      </c>
      <c r="BJ59" s="181">
        <f t="shared" si="52"/>
        <v>23375.553192349413</v>
      </c>
      <c r="BK59" s="181">
        <f t="shared" si="53"/>
        <v>46800</v>
      </c>
      <c r="BL59" s="181">
        <f t="shared" si="54"/>
        <v>990.07757291666678</v>
      </c>
      <c r="BM59" s="181">
        <f t="shared" si="55"/>
        <v>8640</v>
      </c>
      <c r="BN59" s="181">
        <f t="shared" si="56"/>
        <v>1491.9984973526714</v>
      </c>
      <c r="BO59" s="181">
        <f t="shared" si="57"/>
        <v>16560</v>
      </c>
      <c r="BP59" t="str">
        <f t="shared" si="58"/>
        <v>Pass</v>
      </c>
      <c r="BQ59" t="str">
        <f t="shared" si="59"/>
        <v>Pass</v>
      </c>
      <c r="BR59" t="str">
        <f t="shared" si="60"/>
        <v>Pass</v>
      </c>
      <c r="BS59" t="str">
        <f t="shared" si="61"/>
        <v>Pass</v>
      </c>
      <c r="BT59" t="str">
        <f t="shared" si="62"/>
        <v>Pass</v>
      </c>
      <c r="BU59" t="str">
        <f t="shared" si="63"/>
        <v>Effective Stress</v>
      </c>
    </row>
    <row r="60" spans="1:73">
      <c r="A60" t="s">
        <v>652</v>
      </c>
      <c r="B60" s="181">
        <v>58</v>
      </c>
      <c r="C60" t="s">
        <v>594</v>
      </c>
      <c r="D60" s="181">
        <v>12</v>
      </c>
      <c r="E60" s="181">
        <v>0.18</v>
      </c>
      <c r="F60" t="s">
        <v>117</v>
      </c>
      <c r="G60" t="s">
        <v>119</v>
      </c>
      <c r="H60" t="s">
        <v>122</v>
      </c>
      <c r="I60" s="181">
        <v>1</v>
      </c>
      <c r="J60" t="s">
        <v>126</v>
      </c>
      <c r="K60" t="s">
        <v>129</v>
      </c>
      <c r="L60" s="181">
        <v>70</v>
      </c>
      <c r="M60" s="181">
        <v>800</v>
      </c>
      <c r="N60" t="s">
        <v>392</v>
      </c>
      <c r="O60" s="181">
        <v>120</v>
      </c>
      <c r="P60" s="181">
        <v>6</v>
      </c>
      <c r="Q60" s="181">
        <v>14.75</v>
      </c>
      <c r="R60" t="s">
        <v>417</v>
      </c>
      <c r="S60" t="s">
        <v>156</v>
      </c>
      <c r="T60" s="181">
        <v>70</v>
      </c>
      <c r="U60" s="181">
        <f>HLOOKUP(D60,'Highway Loading'!$C$155:$AD$156,2,FALSE)</f>
        <v>12.75</v>
      </c>
      <c r="V60" s="181">
        <f>IF(ISBLANK(G60),"",INDEX('Highway Loading'!$C$216:$AG$216,1,MATCH(G60,'Highway Loading'!$C$215:$AG$215,0)))</f>
        <v>65000</v>
      </c>
      <c r="W60" s="181">
        <f>INDEX('Highway Loading'!$I$245:$L$253,MATCH(H60,'Highway Loading'!$H$245:$H$253,0),MATCH(I60,'Highway Loading'!$I$244:$L$244,0))</f>
        <v>0.72</v>
      </c>
      <c r="X60" s="181">
        <f t="shared" si="32"/>
        <v>1</v>
      </c>
      <c r="Y60" s="181">
        <f>VLOOKUP(K60,'Highway Loading'!$B$283:$E$292,2,FALSE)</f>
        <v>29000000</v>
      </c>
      <c r="Z60" s="181">
        <f>VLOOKUP(K60,'Highway Loading'!$B$283:$E$292,3,FALSE)</f>
        <v>0.3</v>
      </c>
      <c r="AA60" s="181">
        <f>VLOOKUP(K60,'Highway Loading'!$B$283:$E$292,4,FALSE)</f>
        <v>6.4999999999999996E-6</v>
      </c>
      <c r="AB60" s="181">
        <f t="shared" si="33"/>
        <v>1</v>
      </c>
      <c r="AC60" s="181">
        <f>VLOOKUP(N60,'Highway Loading'!$B$256:$D$261,2,FALSE)</f>
        <v>2000</v>
      </c>
      <c r="AD60" s="181">
        <f>VLOOKUP(N60,'Highway Loading'!$B$256:$D$261,3,FALSE)</f>
        <v>20000</v>
      </c>
      <c r="AE60" s="181">
        <f>VLOOKUP(S60,'Highway Loading'!$B$340:$C$341,2,FALSE)</f>
        <v>10000</v>
      </c>
      <c r="AF60" s="181">
        <f t="shared" si="34"/>
        <v>1.4117647058823528E-2</v>
      </c>
      <c r="AG60" s="181">
        <f t="shared" si="35"/>
        <v>4.8813559322033901</v>
      </c>
      <c r="AH60" s="181">
        <f t="shared" si="36"/>
        <v>1.1568627450980393</v>
      </c>
      <c r="AI60" s="181">
        <f t="shared" si="37"/>
        <v>28333.333333333336</v>
      </c>
      <c r="AJ60" s="181">
        <f t="shared" si="38"/>
        <v>46800</v>
      </c>
      <c r="AK60" s="181">
        <f>IF(AC60=200,(INDEX(Tables!$B$17:$B$38,MAX(1,MIN(IFERROR(MATCH(AF60,Tables!$A$17:$A$38,1),1),ROWS(Tables!$A$17:$A$38)-1)))+(AF60-INDEX(Tables!$A$17:$A$38,MAX(1,MIN(IFERROR(MATCH(AF60,Tables!$A$17:$A$38,1),1),ROWS(Tables!$A$17:$A$38)-1))))*(INDEX(Tables!$B$17:$B$38,MAX(1,MIN(IFERROR(MATCH(AF60,Tables!$A$17:$A$38,1),1),ROWS(Tables!$A$17:$A$38)-1))+1)-INDEX(Tables!$B$17:$B$38,MAX(1,MIN(IFERROR(MATCH(AF60,Tables!$A$17:$A$38,1),1),ROWS(Tables!$A$17:$A$38)-1))))/(INDEX(Tables!$A$17:$A$38,MAX(1,MIN(IFERROR(MATCH(AF60,Tables!$A$17:$A$38,1),1),ROWS(Tables!$A$17:$A$38)-1))+1)-INDEX(Tables!$A$17:$A$38,MAX(1,MIN(IFERROR(MATCH(AF60,Tables!$A$17:$A$38,1),1),ROWS(Tables!$A$17:$A$38)-1))))),IF(AC60=500,(INDEX(Tables!$D$17:$D$38,MAX(1,MIN(IFERROR(MATCH(AF60,Tables!$C$17:$C$38,1),1),ROWS(Tables!$C$17:$C$38)-1)))+(AF60-INDEX(Tables!$C$17:$C$38,MAX(1,MIN(IFERROR(MATCH(AF60,Tables!$C$17:$C$38,1),1),ROWS(Tables!$C$17:$C$38)-1))))*(INDEX(Tables!$D$17:$D$38,MAX(1,MIN(IFERROR(MATCH(AF60,Tables!$C$17:$C$38,1),1),ROWS(Tables!$C$17:$C$38)-1))+1)-INDEX(Tables!$D$17:$D$38,MAX(1,MIN(IFERROR(MATCH(AF60,Tables!$C$17:$C$38,1),1),ROWS(Tables!$C$17:$C$38)-1))))/(INDEX(Tables!$C$17:$C$38,MAX(1,MIN(IFERROR(MATCH(AF60,Tables!$C$17:$C$38,1),1),ROWS(Tables!$C$17:$C$38)-1))+1)-INDEX(Tables!$C$17:$C$38,MAX(1,MIN(IFERROR(MATCH(AF60,Tables!$C$17:$C$38,1),1),ROWS(Tables!$C$17:$C$38)-1))))),IF(AC60=1000,(INDEX(Tables!$F$17:$F$38,MAX(1,MIN(IFERROR(MATCH(AF60,Tables!$E$17:$E$38,1),1),ROWS(Tables!$E$17:$E$38)-1)))+(AF60-INDEX(Tables!$E$17:$E$38,MAX(1,MIN(IFERROR(MATCH(AF60,Tables!$E$17:$E$38,1),1),ROWS(Tables!$E$17:$E$38)-1))))*(INDEX(Tables!$F$17:$F$38,MAX(1,MIN(IFERROR(MATCH(AF60,Tables!$E$17:$E$38,1),1),ROWS(Tables!$E$17:$E$38)-1))+1)-INDEX(Tables!$F$17:$F$38,MAX(1,MIN(IFERROR(MATCH(AF60,Tables!$E$17:$E$38,1),1),ROWS(Tables!$E$17:$E$38)-1))))/(INDEX(Tables!$E$17:$E$38,MAX(1,MIN(IFERROR(MATCH(AF60,Tables!$E$17:$E$38,1),1),ROWS(Tables!$E$17:$E$38)-1))+1)-INDEX(Tables!$E$17:$E$38,MAX(1,MIN(IFERROR(MATCH(AF60,Tables!$E$17:$E$38,1),1),ROWS(Tables!$E$17:$E$38)-1))))),(INDEX(Tables!$H$17:$H$38,MAX(1,MIN(IFERROR(MATCH(AF60,Tables!$G$17:$G$38,1),1),ROWS(Tables!$G$17:$G$38)-1)))+(AF60-INDEX(Tables!$G$17:$G$38,MAX(1,MIN(IFERROR(MATCH(AF60,Tables!$G$17:$G$38,1),1),ROWS(Tables!$G$17:$G$38)-1))))*(INDEX(Tables!$H$17:$H$38,MAX(1,MIN(IFERROR(MATCH(AF60,Tables!$G$17:$G$38,1),1),ROWS(Tables!$G$17:$G$38)-1))+1)-INDEX(Tables!$H$17:$H$38,MAX(1,MIN(IFERROR(MATCH(AF60,Tables!$G$17:$G$38,1),1),ROWS(Tables!$G$17:$G$38)-1))))/(INDEX(Tables!$G$17:$G$38,MAX(1,MIN(IFERROR(MATCH(AF60,Tables!$G$17:$G$38,1),1),ROWS(Tables!$G$17:$G$38)-1))+1)-INDEX(Tables!$G$17:$G$38,MAX(1,MIN(IFERROR(MATCH(AF60,Tables!$G$17:$G$38,1),1),ROWS(Tables!$G$17:$G$38)-1))))))))</f>
        <v>2535.6470588235297</v>
      </c>
      <c r="AL60" s="181">
        <f>IF(AC60&lt;1000,(INDEX(Tables!$B$43:$B$76,MAX(1,MIN(IFERROR(MATCH(AG60,Tables!$A$43:$A$76,1),1),ROWS(Tables!$A$43:$A$76)-1)))+(AG60-INDEX(Tables!$A$43:$A$76,MAX(1,MIN(IFERROR(MATCH(AG60,Tables!$A$43:$A$76,1),1),ROWS(Tables!$A$43:$A$76)-1))))*(INDEX(Tables!$B$43:$B$76,MAX(1,MIN(IFERROR(MATCH(AG60,Tables!$A$43:$A$76,1),1),ROWS(Tables!$A$43:$A$76)-1))+1)-INDEX(Tables!$B$43:$B$76,MAX(1,MIN(IFERROR(MATCH(AG60,Tables!$A$43:$A$76,1),1),ROWS(Tables!$A$43:$A$76)-1))))/(INDEX(Tables!$A$43:$A$76,MAX(1,MIN(IFERROR(MATCH(AG60,Tables!$A$43:$A$76,1),1),ROWS(Tables!$A$43:$A$76)-1))+1)-INDEX(Tables!$A$43:$A$76,MAX(1,MIN(IFERROR(MATCH(AG60,Tables!$A$43:$A$76,1),1),ROWS(Tables!$A$43:$A$76)-1))))),(INDEX(Tables!$D$43:$D$76,MAX(1,MIN(IFERROR(MATCH(AG60,Tables!$C$43:$C$76,1),1),ROWS(Tables!$C$43:$C$76)-1)))+(AG60-INDEX(Tables!$C$43:$C$76,MAX(1,MIN(IFERROR(MATCH(AG60,Tables!$C$43:$C$76,1),1),ROWS(Tables!$C$43:$C$76)-1))))*(INDEX(Tables!$D$43:$D$76,MAX(1,MIN(IFERROR(MATCH(AG60,Tables!$C$43:$C$76,1),1),ROWS(Tables!$C$43:$C$76)-1))+1)-INDEX(Tables!$D$43:$D$76,MAX(1,MIN(IFERROR(MATCH(AG60,Tables!$C$43:$C$76,1),1),ROWS(Tables!$C$43:$C$76)-1))))/(INDEX(Tables!$C$43:$C$76,MAX(1,MIN(IFERROR(MATCH(AG60,Tables!$C$43:$C$76,1),1),ROWS(Tables!$C$43:$C$76)-1))+1)-INDEX(Tables!$C$43:$C$76,MAX(1,MIN(IFERROR(MATCH(AG60,Tables!$C$43:$C$76,1),1),ROWS(Tables!$C$43:$C$76)-1))))))</f>
        <v>0.95557627118644062</v>
      </c>
      <c r="AM60" s="181">
        <f>(INDEX(Tables!$B$80:$B$87,MAX(1,MIN(IFERROR(MATCH(AH60,Tables!$A$80:$A$87,1),1),ROWS(Tables!$A$80:$A$87)-1)))+(AH60-INDEX(Tables!$A$80:$A$87,MAX(1,MIN(IFERROR(MATCH(AH60,Tables!$A$80:$A$87,1),1),ROWS(Tables!$A$80:$A$87)-1))))*(INDEX(Tables!$B$80:$B$87,MAX(1,MIN(IFERROR(MATCH(AH60,Tables!$A$80:$A$87,1),1),ROWS(Tables!$A$80:$A$87)-1))+1)-INDEX(Tables!$B$80:$B$87,MAX(1,MIN(IFERROR(MATCH(AH60,Tables!$A$80:$A$87,1),1),ROWS(Tables!$A$80:$A$87)-1))))/(INDEX(Tables!$A$80:$A$87,MAX(1,MIN(IFERROR(MATCH(AH60,Tables!$A$80:$A$87,1),1),ROWS(Tables!$A$80:$A$87)-1))+1)-INDEX(Tables!$A$80:$A$87,MAX(1,MIN(IFERROR(MATCH(AH60,Tables!$A$80:$A$87,1),1),ROWS(Tables!$A$80:$A$87)-1)))))</f>
        <v>1.1041078431372553</v>
      </c>
      <c r="AN60" s="181">
        <f t="shared" si="39"/>
        <v>2368.7179311259461</v>
      </c>
      <c r="AO60" s="181">
        <f>(INDEX(Tables!$B$91:$B$94,MAX(1,MIN(IFERROR(MATCH(P60,Tables!$A$91:$A$94,1),1),ROWS(Tables!$A$91:$A$94)-1)))+(P60-INDEX(Tables!$A$91:$A$94,MAX(1,MIN(IFERROR(MATCH(P60,Tables!$A$91:$A$94,1),1),ROWS(Tables!$A$91:$A$94)-1))))*(INDEX(Tables!$B$91:$B$94,MAX(1,MIN(IFERROR(MATCH(P60,Tables!$A$91:$A$94,1),1),ROWS(Tables!$A$91:$A$94)-1))+1)-INDEX(Tables!$B$91:$B$94,MAX(1,MIN(IFERROR(MATCH(P60,Tables!$A$91:$A$94,1),1),ROWS(Tables!$A$91:$A$94)-1))))/(INDEX(Tables!$A$91:$A$94,MAX(1,MIN(IFERROR(MATCH(P60,Tables!$A$91:$A$94,1),1),ROWS(Tables!$A$91:$A$94)-1))+1)-INDEX(Tables!$A$91:$A$94,MAX(1,MIN(IFERROR(MATCH(P60,Tables!$A$91:$A$94,1),1),ROWS(Tables!$A$91:$A$94)-1)))))</f>
        <v>1.476219512195122</v>
      </c>
      <c r="AP60" s="181">
        <f>IF(AD60=5000,(INDEX(Tables!$B$99:$B$118,MAX(1,MIN(IFERROR(MATCH(AF60,Tables!$A$99:$A$118,1),1),ROWS(Tables!$A$99:$A$118)-1)))+(AF60-INDEX(Tables!$A$99:$A$118,MAX(1,MIN(IFERROR(MATCH(AF60,Tables!$A$99:$A$118,1),1),ROWS(Tables!$A$99:$A$118)-1))))*(INDEX(Tables!$B$99:$B$118,MAX(1,MIN(IFERROR(MATCH(AF60,Tables!$A$99:$A$118,1),1),ROWS(Tables!$A$99:$A$118)-1))+1)-INDEX(Tables!$B$99:$B$118,MAX(1,MIN(IFERROR(MATCH(AF60,Tables!$A$99:$A$118,1),1),ROWS(Tables!$A$99:$A$118)-1))))/(INDEX(Tables!$A$99:$A$118,MAX(1,MIN(IFERROR(MATCH(AF60,Tables!$A$99:$A$118,1),1),ROWS(Tables!$A$99:$A$118)-1))+1)-INDEX(Tables!$A$99:$A$118,MAX(1,MIN(IFERROR(MATCH(AF60,Tables!$A$99:$A$118,1),1),ROWS(Tables!$A$99:$A$118)-1))))),IF(AD60=10000,(INDEX(Tables!$D$99:$D$118,MAX(1,MIN(IFERROR(MATCH(AF60,Tables!$C$99:$C$118,1),1),ROWS(Tables!$C$99:$C$118)-1)))+(AF60-INDEX(Tables!$C$99:$C$118,MAX(1,MIN(IFERROR(MATCH(AF60,Tables!$C$99:$C$118,1),1),ROWS(Tables!$C$99:$C$118)-1))))*(INDEX(Tables!$D$99:$D$118,MAX(1,MIN(IFERROR(MATCH(AF60,Tables!$C$99:$C$118,1),1),ROWS(Tables!$C$99:$C$118)-1))+1)-INDEX(Tables!$D$99:$D$118,MAX(1,MIN(IFERROR(MATCH(AF60,Tables!$C$99:$C$118,1),1),ROWS(Tables!$C$99:$C$118)-1))))/(INDEX(Tables!$C$99:$C$118,MAX(1,MIN(IFERROR(MATCH(AF60,Tables!$C$99:$C$118,1),1),ROWS(Tables!$C$99:$C$118)-1))+1)-INDEX(Tables!$C$99:$C$118,MAX(1,MIN(IFERROR(MATCH(AF60,Tables!$C$99:$C$118,1),1),ROWS(Tables!$C$99:$C$118)-1))))),(INDEX(Tables!$F$99:$F$118,MAX(1,MIN(IFERROR(MATCH(AF60,Tables!$E$99:$E$118,1),1),ROWS(Tables!$E$99:$E$118)-1)))+(AF60-INDEX(Tables!$E$99:$E$118,MAX(1,MIN(IFERROR(MATCH(AF60,Tables!$E$99:$E$118,1),1),ROWS(Tables!$E$99:$E$118)-1))))*(INDEX(Tables!$F$99:$F$118,MAX(1,MIN(IFERROR(MATCH(AF60,Tables!$E$99:$E$118,1),1),ROWS(Tables!$E$99:$E$118)-1))+1)-INDEX(Tables!$F$99:$F$118,MAX(1,MIN(IFERROR(MATCH(AF60,Tables!$E$99:$E$118,1),1),ROWS(Tables!$E$99:$E$118)-1))))/(INDEX(Tables!$E$99:$E$118,MAX(1,MIN(IFERROR(MATCH(AF60,Tables!$E$99:$E$118,1),1),ROWS(Tables!$E$99:$E$118)-1))+1)-INDEX(Tables!$E$99:$E$118,MAX(1,MIN(IFERROR(MATCH(AF60,Tables!$E$99:$E$118,1),1),ROWS(Tables!$E$99:$E$118)-1)))))))</f>
        <v>8.8264841936774712</v>
      </c>
      <c r="AQ60" s="181">
        <f>IF(P60&lt;6,(INDEX(Tables!$B$123:$B$138,MAX(1,MIN(IFERROR(MATCH(U60,Tables!$A$123:$A$138,1),1),ROWS(Tables!$A$123:$A$138)-1)))+(U60-INDEX(Tables!$A$123:$A$138,MAX(1,MIN(IFERROR(MATCH(U60,Tables!$A$123:$A$138,1),1),ROWS(Tables!$A$123:$A$138)-1))))*(INDEX(Tables!$B$123:$B$138,MAX(1,MIN(IFERROR(MATCH(U60,Tables!$A$123:$A$138,1),1),ROWS(Tables!$A$123:$A$138)-1))+1)-INDEX(Tables!$B$123:$B$138,MAX(1,MIN(IFERROR(MATCH(U60,Tables!$A$123:$A$138,1),1),ROWS(Tables!$A$123:$A$138)-1))))/(INDEX(Tables!$A$123:$A$138,MAX(1,MIN(IFERROR(MATCH(U60,Tables!$A$123:$A$138,1),1),ROWS(Tables!$A$123:$A$138)-1))+1)-INDEX(Tables!$A$123:$A$138,MAX(1,MIN(IFERROR(MATCH(U60,Tables!$A$123:$A$138,1),1),ROWS(Tables!$A$123:$A$138)-1))))),IF(P60&lt;8,(INDEX(Tables!$D$123:$D$138,MAX(1,MIN(IFERROR(MATCH(U60,Tables!$C$123:$C$138,1),1),ROWS(Tables!$C$123:$C$138)-1)))+(U60-INDEX(Tables!$C$123:$C$138,MAX(1,MIN(IFERROR(MATCH(U60,Tables!$C$123:$C$138,1),1),ROWS(Tables!$C$123:$C$138)-1))))*(INDEX(Tables!$D$123:$D$138,MAX(1,MIN(IFERROR(MATCH(U60,Tables!$C$123:$C$138,1),1),ROWS(Tables!$C$123:$C$138)-1))+1)-INDEX(Tables!$D$123:$D$138,MAX(1,MIN(IFERROR(MATCH(U60,Tables!$C$123:$C$138,1),1),ROWS(Tables!$C$123:$C$138)-1))))/(INDEX(Tables!$C$123:$C$138,MAX(1,MIN(IFERROR(MATCH(U60,Tables!$C$123:$C$138,1),1),ROWS(Tables!$C$123:$C$138)-1))+1)-INDEX(Tables!$C$123:$C$138,MAX(1,MIN(IFERROR(MATCH(U60,Tables!$C$123:$C$138,1),1),ROWS(Tables!$C$123:$C$138)-1))))),IF(P60&lt;10,(INDEX(Tables!$F$123:$F$138,MAX(1,MIN(IFERROR(MATCH(U60,Tables!$E$123:$E$138,1),1),ROWS(Tables!$E$123:$E$138)-1)))+(U60-INDEX(Tables!$E$123:$E$138,MAX(1,MIN(IFERROR(MATCH(U60,Tables!$E$123:$E$138,1),1),ROWS(Tables!$E$123:$E$138)-1))))*(INDEX(Tables!$F$123:$F$138,MAX(1,MIN(IFERROR(MATCH(U60,Tables!$E$123:$E$138,1),1),ROWS(Tables!$E$123:$E$138)-1))+1)-INDEX(Tables!$F$123:$F$138,MAX(1,MIN(IFERROR(MATCH(U60,Tables!$E$123:$E$138,1),1),ROWS(Tables!$E$123:$E$138)-1))))/(INDEX(Tables!$E$123:$E$138,MAX(1,MIN(IFERROR(MATCH(U60,Tables!$E$123:$E$138,1),1),ROWS(Tables!$E$123:$E$138)-1))+1)-INDEX(Tables!$E$123:$E$138,MAX(1,MIN(IFERROR(MATCH(U60,Tables!$E$123:$E$138,1),1),ROWS(Tables!$E$123:$E$138)-1))))),(INDEX(Tables!$H$123:$H$138,MAX(1,MIN(IFERROR(MATCH(U60,Tables!$G$123:$G$138,1),1),ROWS(Tables!$G$123:$G$138)-1)))+(U60-INDEX(Tables!$G$123:$G$138,MAX(1,MIN(IFERROR(MATCH(U60,Tables!$G$123:$G$138,1),1),ROWS(Tables!$G$123:$G$138)-1))))*(INDEX(Tables!$H$123:$H$138,MAX(1,MIN(IFERROR(MATCH(U60,Tables!$G$123:$G$138,1),1),ROWS(Tables!$G$123:$G$138)-1))+1)-INDEX(Tables!$H$123:$H$138,MAX(1,MIN(IFERROR(MATCH(U60,Tables!$G$123:$G$138,1),1),ROWS(Tables!$G$123:$G$138)-1))))/(INDEX(Tables!$G$123:$G$138,MAX(1,MIN(IFERROR(MATCH(U60,Tables!$G$123:$G$138,1),1),ROWS(Tables!$G$123:$G$138)-1))+1)-INDEX(Tables!$G$123:$G$138,MAX(1,MIN(IFERROR(MATCH(U60,Tables!$G$123:$G$138,1),1),ROWS(Tables!$G$123:$G$138)-1))))))))</f>
        <v>1.01675</v>
      </c>
      <c r="AR60" s="181">
        <f>IF(OR(P60&gt;=4,U60&gt;12),VLOOKUP(R60&amp;" "&amp;S60,Tables!$D$143:$F$148,2,FALSE),VLOOKUP(R60&amp;" "&amp;S60,Tables!$A$143:$C$148,2,FALSE))</f>
        <v>1.1000000000000001</v>
      </c>
      <c r="AS60" s="181">
        <f>IF(OR(P60&gt;=4,U60&gt;12),VLOOKUP(R60&amp;" "&amp;S60,Tables!$D$143:$F$148,3,FALSE),VLOOKUP(R60&amp;" "&amp;S60,Tables!$A$143:$C$148,3,FALSE))</f>
        <v>1</v>
      </c>
      <c r="AT60" s="181">
        <f t="shared" si="40"/>
        <v>1012.0059440474057</v>
      </c>
      <c r="AU60" s="181">
        <f>IF(AD60=5000,(INDEX(Tables!$B$244:$B$263,MAX(1,MIN(IFERROR(MATCH(AF60,Tables!$A$244:$A$263,1),1),ROWS(Tables!$A$244:$A$263)-1)))+(AF60-INDEX(Tables!$A$244:$A$263,MAX(1,MIN(IFERROR(MATCH(AF60,Tables!$A$244:$A$263,1),1),ROWS(Tables!$A$244:$A$263)-1))))*(INDEX(Tables!$B$244:$B$263,MAX(1,MIN(IFERROR(MATCH(AF60,Tables!$A$244:$A$263,1),1),ROWS(Tables!$A$244:$A$263)-1))+1)-INDEX(Tables!$B$244:$B$263,MAX(1,MIN(IFERROR(MATCH(AF60,Tables!$A$244:$A$263,1),1),ROWS(Tables!$A$244:$A$263)-1))))/(INDEX(Tables!$A$244:$A$263,MAX(1,MIN(IFERROR(MATCH(AF60,Tables!$A$244:$A$263,1),1),ROWS(Tables!$A$244:$A$263)-1))+1)-INDEX(Tables!$A$244:$A$263,MAX(1,MIN(IFERROR(MATCH(AF60,Tables!$A$244:$A$263,1),1),ROWS(Tables!$A$244:$A$263)-1))))),IF(AD60=10000,(INDEX(Tables!$D$244:$D$263,MAX(1,MIN(IFERROR(MATCH(AF60,Tables!$C$244:$C$263,1),1),ROWS(Tables!$C$244:$C$263)-1)))+(AF60-INDEX(Tables!$C$244:$C$263,MAX(1,MIN(IFERROR(MATCH(AF60,Tables!$C$244:$C$263,1),1),ROWS(Tables!$C$244:$C$263)-1))))*(INDEX(Tables!$D$244:$D$263,MAX(1,MIN(IFERROR(MATCH(AF60,Tables!$C$244:$C$263,1),1),ROWS(Tables!$C$244:$C$263)-1))+1)-INDEX(Tables!$D$244:$D$263,MAX(1,MIN(IFERROR(MATCH(AF60,Tables!$C$244:$C$263,1),1),ROWS(Tables!$C$244:$C$263)-1))))/(INDEX(Tables!$C$244:$C$263,MAX(1,MIN(IFERROR(MATCH(AF60,Tables!$C$244:$C$263,1),1),ROWS(Tables!$C$244:$C$263)-1))+1)-INDEX(Tables!$C$244:$C$263,MAX(1,MIN(IFERROR(MATCH(AF60,Tables!$C$244:$C$263,1),1),ROWS(Tables!$C$244:$C$263)-1))))),(INDEX(Tables!$F$244:$F$263,MAX(1,MIN(IFERROR(MATCH(AF60,Tables!$E$244:$E$263,1),1),ROWS(Tables!$E$244:$E$263)-1)))+(AF60-INDEX(Tables!$E$244:$E$263,MAX(1,MIN(IFERROR(MATCH(AF60,Tables!$E$244:$E$263,1),1),ROWS(Tables!$E$244:$E$263)-1))))*(INDEX(Tables!$F$244:$F$263,MAX(1,MIN(IFERROR(MATCH(AF60,Tables!$E$244:$E$263,1),1),ROWS(Tables!$E$244:$E$263)-1))+1)-INDEX(Tables!$F$244:$F$263,MAX(1,MIN(IFERROR(MATCH(AF60,Tables!$E$244:$E$263,1),1),ROWS(Tables!$E$244:$E$263)-1))))/(INDEX(Tables!$E$244:$E$263,MAX(1,MIN(IFERROR(MATCH(AF60,Tables!$E$244:$E$263,1),1),ROWS(Tables!$E$244:$E$263)-1))+1)-INDEX(Tables!$E$244:$E$263,MAX(1,MIN(IFERROR(MATCH(AF60,Tables!$E$244:$E$263,1),1),ROWS(Tables!$E$244:$E$263)-1)))))))</f>
        <v>6.4889019607843137</v>
      </c>
      <c r="AV60" s="181">
        <f>IF(P60&lt;6,(INDEX(Tables!$B$260:$B$274,MAX(1,MIN(IFERROR(MATCH(U60,Tables!$A$260:$A$274,1),1),ROWS(Tables!$A$260:$A$274)-1)))+(U60-INDEX(Tables!$A$260:$A$274,MAX(1,MIN(IFERROR(MATCH(U60,Tables!$A$260:$A$274,1),1),ROWS(Tables!$A$260:$A$274)-1))))*(INDEX(Tables!$B$260:$B$274,MAX(1,MIN(IFERROR(MATCH(U60,Tables!$A$260:$A$274,1),1),ROWS(Tables!$A$260:$A$274)-1))+1)-INDEX(Tables!$B$260:$B$274,MAX(1,MIN(IFERROR(MATCH(U60,Tables!$A$260:$A$274,1),1),ROWS(Tables!$A$260:$A$274)-1))))/(INDEX(Tables!$A$260:$A$274,MAX(1,MIN(IFERROR(MATCH(U60,Tables!$A$260:$A$274,1),1),ROWS(Tables!$A$260:$A$274)-1))+1)-INDEX(Tables!$A$260:$A$274,MAX(1,MIN(IFERROR(MATCH(U60,Tables!$A$260:$A$274,1),1),ROWS(Tables!$A$260:$A$274)-1))))),IF(P60&lt;8,(INDEX(Tables!$D$260:$D$274,MAX(1,MIN(IFERROR(MATCH(U60,Tables!$C$260:$C$274,1),1),ROWS(Tables!$C$260:$C$274)-1)))+(U60-INDEX(Tables!$C$260:$C$274,MAX(1,MIN(IFERROR(MATCH(U60,Tables!$C$260:$C$274,1),1),ROWS(Tables!$C$260:$C$274)-1))))*(INDEX(Tables!$D$260:$D$274,MAX(1,MIN(IFERROR(MATCH(U60,Tables!$C$260:$C$274,1),1),ROWS(Tables!$C$260:$C$274)-1))+1)-INDEX(Tables!$D$260:$D$274,MAX(1,MIN(IFERROR(MATCH(U60,Tables!$C$260:$C$274,1),1),ROWS(Tables!$C$260:$C$274)-1))))/(INDEX(Tables!$C$260:$C$274,MAX(1,MIN(IFERROR(MATCH(U60,Tables!$C$260:$C$274,1),1),ROWS(Tables!$C$260:$C$274)-1))+1)-INDEX(Tables!$C$260:$C$274,MAX(1,MIN(IFERROR(MATCH(U60,Tables!$C$260:$C$274,1),1),ROWS(Tables!$C$260:$C$274)-1))))),IF(P60&lt;10,(INDEX(Tables!$F$260:$F$274,MAX(1,MIN(IFERROR(MATCH(U60,Tables!$E$260:$E$274,1),1),ROWS(Tables!$E$260:$E$274)-1)))+(U60-INDEX(Tables!$E$260:$E$274,MAX(1,MIN(IFERROR(MATCH(U60,Tables!$E$260:$E$274,1),1),ROWS(Tables!$E$260:$E$274)-1))))*(INDEX(Tables!$F$260:$F$274,MAX(1,MIN(IFERROR(MATCH(U60,Tables!$E$260:$E$274,1),1),ROWS(Tables!$E$260:$E$274)-1))+1)-INDEX(Tables!$F$260:$F$274,MAX(1,MIN(IFERROR(MATCH(U60,Tables!$E$260:$E$274,1),1),ROWS(Tables!$E$260:$E$274)-1))))/(INDEX(Tables!$E$260:$E$274,MAX(1,MIN(IFERROR(MATCH(U60,Tables!$E$260:$E$274,1),1),ROWS(Tables!$E$260:$E$274)-1))+1)-INDEX(Tables!$E$260:$E$274,MAX(1,MIN(IFERROR(MATCH(U60,Tables!$E$260:$E$274,1),1),ROWS(Tables!$E$260:$E$274)-1))))),(INDEX(Tables!$H$260:$H$274,MAX(1,MIN(IFERROR(MATCH(U60,Tables!$G$260:$G$274,1),1),ROWS(Tables!$G$260:$G$274)-1)))+(U60-INDEX(Tables!$G$260:$G$274,MAX(1,MIN(IFERROR(MATCH(U60,Tables!$G$260:$G$274,1),1),ROWS(Tables!$G$260:$G$274)-1))))*(INDEX(Tables!$H$260:$H$274,MAX(1,MIN(IFERROR(MATCH(U60,Tables!$G$260:$G$274,1),1),ROWS(Tables!$G$260:$G$274)-1))+1)-INDEX(Tables!$H$260:$H$274,MAX(1,MIN(IFERROR(MATCH(U60,Tables!$G$260:$G$274,1),1),ROWS(Tables!$G$260:$G$274)-1))))/(INDEX(Tables!$G$260:$G$274,MAX(1,MIN(IFERROR(MATCH(U60,Tables!$G$260:$G$274,1),1),ROWS(Tables!$G$260:$G$274)-1))+1)-INDEX(Tables!$G$260:$G$274,MAX(1,MIN(IFERROR(MATCH(U60,Tables!$G$260:$G$274,1),1),ROWS(Tables!$G$260:$G$274)-1))))))))</f>
        <v>1.0024999999999999</v>
      </c>
      <c r="AW60" s="181">
        <f t="shared" si="41"/>
        <v>733.56183514541499</v>
      </c>
      <c r="AX60" s="181">
        <f t="shared" si="42"/>
        <v>27933.333333333336</v>
      </c>
      <c r="AY60" s="181">
        <f t="shared" si="43"/>
        <v>31314.057208506689</v>
      </c>
      <c r="AZ60" s="181">
        <f t="shared" si="44"/>
        <v>9824.1772144831994</v>
      </c>
      <c r="BA60" s="181">
        <f t="shared" si="45"/>
        <v>-800</v>
      </c>
      <c r="BB60" s="181">
        <f t="shared" si="46"/>
        <v>28337.261282924956</v>
      </c>
      <c r="BC60" s="181">
        <f t="shared" si="47"/>
        <v>46800</v>
      </c>
      <c r="BD60" s="181">
        <f>VLOOKUP(V60&amp;" "&amp;J60,Tables!$A$152:$E$239,4,FALSE)</f>
        <v>12000</v>
      </c>
      <c r="BE60" s="181">
        <f>VLOOKUP(V60&amp;" "&amp;J60,Tables!$A$152:$E$239,5,FALSE)</f>
        <v>23000</v>
      </c>
      <c r="BF60" s="181">
        <f t="shared" si="48"/>
        <v>8640</v>
      </c>
      <c r="BG60" s="181">
        <f t="shared" si="49"/>
        <v>16560</v>
      </c>
      <c r="BH60" s="181">
        <f t="shared" si="50"/>
        <v>28333.333333333336</v>
      </c>
      <c r="BI60" s="181">
        <f t="shared" si="51"/>
        <v>46800</v>
      </c>
      <c r="BJ60" s="181">
        <f t="shared" si="52"/>
        <v>28337.261282924956</v>
      </c>
      <c r="BK60" s="181">
        <f t="shared" si="53"/>
        <v>46800</v>
      </c>
      <c r="BL60" s="181">
        <f t="shared" si="54"/>
        <v>733.56183514541499</v>
      </c>
      <c r="BM60" s="181">
        <f t="shared" si="55"/>
        <v>8640</v>
      </c>
      <c r="BN60" s="181">
        <f t="shared" si="56"/>
        <v>1012.0059440474057</v>
      </c>
      <c r="BO60" s="181">
        <f t="shared" si="57"/>
        <v>16560</v>
      </c>
      <c r="BP60" t="str">
        <f t="shared" si="58"/>
        <v>Pass</v>
      </c>
      <c r="BQ60" t="str">
        <f t="shared" si="59"/>
        <v>Pass</v>
      </c>
      <c r="BR60" t="str">
        <f t="shared" si="60"/>
        <v>Pass</v>
      </c>
      <c r="BS60" t="str">
        <f t="shared" si="61"/>
        <v>Pass</v>
      </c>
      <c r="BT60" t="str">
        <f t="shared" si="62"/>
        <v>Pass</v>
      </c>
      <c r="BU60" t="str">
        <f t="shared" si="63"/>
        <v>Effective Stress</v>
      </c>
    </row>
    <row r="61" spans="1:73">
      <c r="A61" t="s">
        <v>653</v>
      </c>
      <c r="B61" s="181">
        <v>59</v>
      </c>
      <c r="C61" t="s">
        <v>594</v>
      </c>
      <c r="D61" s="181">
        <v>16</v>
      </c>
      <c r="E61" s="181">
        <v>0.188</v>
      </c>
      <c r="F61" t="s">
        <v>117</v>
      </c>
      <c r="G61" t="s">
        <v>119</v>
      </c>
      <c r="H61" t="s">
        <v>122</v>
      </c>
      <c r="I61" s="181">
        <v>1</v>
      </c>
      <c r="J61" t="s">
        <v>126</v>
      </c>
      <c r="K61" t="s">
        <v>129</v>
      </c>
      <c r="L61" s="181">
        <v>70</v>
      </c>
      <c r="M61" s="181">
        <v>800</v>
      </c>
      <c r="N61" t="s">
        <v>392</v>
      </c>
      <c r="O61" s="181">
        <v>120</v>
      </c>
      <c r="P61" s="181">
        <v>8</v>
      </c>
      <c r="Q61" s="181">
        <v>18</v>
      </c>
      <c r="R61" t="s">
        <v>417</v>
      </c>
      <c r="S61" t="s">
        <v>156</v>
      </c>
      <c r="T61" s="181">
        <v>70</v>
      </c>
      <c r="U61" s="181">
        <f>HLOOKUP(D61,'Highway Loading'!$C$155:$AD$156,2,FALSE)</f>
        <v>16</v>
      </c>
      <c r="V61" s="181">
        <f>IF(ISBLANK(G61),"",INDEX('Highway Loading'!$C$216:$AG$216,1,MATCH(G61,'Highway Loading'!$C$215:$AG$215,0)))</f>
        <v>65000</v>
      </c>
      <c r="W61" s="181">
        <f>INDEX('Highway Loading'!$I$245:$L$253,MATCH(H61,'Highway Loading'!$H$245:$H$253,0),MATCH(I61,'Highway Loading'!$I$244:$L$244,0))</f>
        <v>0.72</v>
      </c>
      <c r="X61" s="181">
        <f t="shared" si="32"/>
        <v>1</v>
      </c>
      <c r="Y61" s="181">
        <f>VLOOKUP(K61,'Highway Loading'!$B$283:$E$292,2,FALSE)</f>
        <v>29000000</v>
      </c>
      <c r="Z61" s="181">
        <f>VLOOKUP(K61,'Highway Loading'!$B$283:$E$292,3,FALSE)</f>
        <v>0.3</v>
      </c>
      <c r="AA61" s="181">
        <f>VLOOKUP(K61,'Highway Loading'!$B$283:$E$292,4,FALSE)</f>
        <v>6.4999999999999996E-6</v>
      </c>
      <c r="AB61" s="181">
        <f t="shared" si="33"/>
        <v>1</v>
      </c>
      <c r="AC61" s="181">
        <f>VLOOKUP(N61,'Highway Loading'!$B$256:$D$261,2,FALSE)</f>
        <v>2000</v>
      </c>
      <c r="AD61" s="181">
        <f>VLOOKUP(N61,'Highway Loading'!$B$256:$D$261,3,FALSE)</f>
        <v>20000</v>
      </c>
      <c r="AE61" s="181">
        <f>VLOOKUP(S61,'Highway Loading'!$B$340:$C$341,2,FALSE)</f>
        <v>10000</v>
      </c>
      <c r="AF61" s="181">
        <f t="shared" si="34"/>
        <v>1.175E-2</v>
      </c>
      <c r="AG61" s="181">
        <f t="shared" si="35"/>
        <v>5.333333333333333</v>
      </c>
      <c r="AH61" s="181">
        <f t="shared" si="36"/>
        <v>1.125</v>
      </c>
      <c r="AI61" s="181">
        <f t="shared" si="37"/>
        <v>34042.553191489358</v>
      </c>
      <c r="AJ61" s="181">
        <f t="shared" si="38"/>
        <v>46800</v>
      </c>
      <c r="AK61" s="181">
        <f>IF(AC61=200,(INDEX(Tables!$B$17:$B$38,MAX(1,MIN(IFERROR(MATCH(AF61,Tables!$A$17:$A$38,1),1),ROWS(Tables!$A$17:$A$38)-1)))+(AF61-INDEX(Tables!$A$17:$A$38,MAX(1,MIN(IFERROR(MATCH(AF61,Tables!$A$17:$A$38,1),1),ROWS(Tables!$A$17:$A$38)-1))))*(INDEX(Tables!$B$17:$B$38,MAX(1,MIN(IFERROR(MATCH(AF61,Tables!$A$17:$A$38,1),1),ROWS(Tables!$A$17:$A$38)-1))+1)-INDEX(Tables!$B$17:$B$38,MAX(1,MIN(IFERROR(MATCH(AF61,Tables!$A$17:$A$38,1),1),ROWS(Tables!$A$17:$A$38)-1))))/(INDEX(Tables!$A$17:$A$38,MAX(1,MIN(IFERROR(MATCH(AF61,Tables!$A$17:$A$38,1),1),ROWS(Tables!$A$17:$A$38)-1))+1)-INDEX(Tables!$A$17:$A$38,MAX(1,MIN(IFERROR(MATCH(AF61,Tables!$A$17:$A$38,1),1),ROWS(Tables!$A$17:$A$38)-1))))),IF(AC61=500,(INDEX(Tables!$D$17:$D$38,MAX(1,MIN(IFERROR(MATCH(AF61,Tables!$C$17:$C$38,1),1),ROWS(Tables!$C$17:$C$38)-1)))+(AF61-INDEX(Tables!$C$17:$C$38,MAX(1,MIN(IFERROR(MATCH(AF61,Tables!$C$17:$C$38,1),1),ROWS(Tables!$C$17:$C$38)-1))))*(INDEX(Tables!$D$17:$D$38,MAX(1,MIN(IFERROR(MATCH(AF61,Tables!$C$17:$C$38,1),1),ROWS(Tables!$C$17:$C$38)-1))+1)-INDEX(Tables!$D$17:$D$38,MAX(1,MIN(IFERROR(MATCH(AF61,Tables!$C$17:$C$38,1),1),ROWS(Tables!$C$17:$C$38)-1))))/(INDEX(Tables!$C$17:$C$38,MAX(1,MIN(IFERROR(MATCH(AF61,Tables!$C$17:$C$38,1),1),ROWS(Tables!$C$17:$C$38)-1))+1)-INDEX(Tables!$C$17:$C$38,MAX(1,MIN(IFERROR(MATCH(AF61,Tables!$C$17:$C$38,1),1),ROWS(Tables!$C$17:$C$38)-1))))),IF(AC61=1000,(INDEX(Tables!$F$17:$F$38,MAX(1,MIN(IFERROR(MATCH(AF61,Tables!$E$17:$E$38,1),1),ROWS(Tables!$E$17:$E$38)-1)))+(AF61-INDEX(Tables!$E$17:$E$38,MAX(1,MIN(IFERROR(MATCH(AF61,Tables!$E$17:$E$38,1),1),ROWS(Tables!$E$17:$E$38)-1))))*(INDEX(Tables!$F$17:$F$38,MAX(1,MIN(IFERROR(MATCH(AF61,Tables!$E$17:$E$38,1),1),ROWS(Tables!$E$17:$E$38)-1))+1)-INDEX(Tables!$F$17:$F$38,MAX(1,MIN(IFERROR(MATCH(AF61,Tables!$E$17:$E$38,1),1),ROWS(Tables!$E$17:$E$38)-1))))/(INDEX(Tables!$E$17:$E$38,MAX(1,MIN(IFERROR(MATCH(AF61,Tables!$E$17:$E$38,1),1),ROWS(Tables!$E$17:$E$38)-1))+1)-INDEX(Tables!$E$17:$E$38,MAX(1,MIN(IFERROR(MATCH(AF61,Tables!$E$17:$E$38,1),1),ROWS(Tables!$E$17:$E$38)-1))))),(INDEX(Tables!$H$17:$H$38,MAX(1,MIN(IFERROR(MATCH(AF61,Tables!$G$17:$G$38,1),1),ROWS(Tables!$G$17:$G$38)-1)))+(AF61-INDEX(Tables!$G$17:$G$38,MAX(1,MIN(IFERROR(MATCH(AF61,Tables!$G$17:$G$38,1),1),ROWS(Tables!$G$17:$G$38)-1))))*(INDEX(Tables!$H$17:$H$38,MAX(1,MIN(IFERROR(MATCH(AF61,Tables!$G$17:$G$38,1),1),ROWS(Tables!$G$17:$G$38)-1))+1)-INDEX(Tables!$H$17:$H$38,MAX(1,MIN(IFERROR(MATCH(AF61,Tables!$G$17:$G$38,1),1),ROWS(Tables!$G$17:$G$38)-1))))/(INDEX(Tables!$G$17:$G$38,MAX(1,MIN(IFERROR(MATCH(AF61,Tables!$G$17:$G$38,1),1),ROWS(Tables!$G$17:$G$38)-1))+1)-INDEX(Tables!$G$17:$G$38,MAX(1,MIN(IFERROR(MATCH(AF61,Tables!$G$17:$G$38,1),1),ROWS(Tables!$G$17:$G$38)-1))))))))</f>
        <v>2906.3</v>
      </c>
      <c r="AL61" s="181">
        <f>IF(AC61&lt;1000,(INDEX(Tables!$B$43:$B$76,MAX(1,MIN(IFERROR(MATCH(AG61,Tables!$A$43:$A$76,1),1),ROWS(Tables!$A$43:$A$76)-1)))+(AG61-INDEX(Tables!$A$43:$A$76,MAX(1,MIN(IFERROR(MATCH(AG61,Tables!$A$43:$A$76,1),1),ROWS(Tables!$A$43:$A$76)-1))))*(INDEX(Tables!$B$43:$B$76,MAX(1,MIN(IFERROR(MATCH(AG61,Tables!$A$43:$A$76,1),1),ROWS(Tables!$A$43:$A$76)-1))+1)-INDEX(Tables!$B$43:$B$76,MAX(1,MIN(IFERROR(MATCH(AG61,Tables!$A$43:$A$76,1),1),ROWS(Tables!$A$43:$A$76)-1))))/(INDEX(Tables!$A$43:$A$76,MAX(1,MIN(IFERROR(MATCH(AG61,Tables!$A$43:$A$76,1),1),ROWS(Tables!$A$43:$A$76)-1))+1)-INDEX(Tables!$A$43:$A$76,MAX(1,MIN(IFERROR(MATCH(AG61,Tables!$A$43:$A$76,1),1),ROWS(Tables!$A$43:$A$76)-1))))),(INDEX(Tables!$D$43:$D$76,MAX(1,MIN(IFERROR(MATCH(AG61,Tables!$C$43:$C$76,1),1),ROWS(Tables!$C$43:$C$76)-1)))+(AG61-INDEX(Tables!$C$43:$C$76,MAX(1,MIN(IFERROR(MATCH(AG61,Tables!$C$43:$C$76,1),1),ROWS(Tables!$C$43:$C$76)-1))))*(INDEX(Tables!$D$43:$D$76,MAX(1,MIN(IFERROR(MATCH(AG61,Tables!$C$43:$C$76,1),1),ROWS(Tables!$C$43:$C$76)-1))+1)-INDEX(Tables!$D$43:$D$76,MAX(1,MIN(IFERROR(MATCH(AG61,Tables!$C$43:$C$76,1),1),ROWS(Tables!$C$43:$C$76)-1))))/(INDEX(Tables!$C$43:$C$76,MAX(1,MIN(IFERROR(MATCH(AG61,Tables!$C$43:$C$76,1),1),ROWS(Tables!$C$43:$C$76)-1))+1)-INDEX(Tables!$C$43:$C$76,MAX(1,MIN(IFERROR(MATCH(AG61,Tables!$C$43:$C$76,1),1),ROWS(Tables!$C$43:$C$76)-1))))))</f>
        <v>0.98666666666666658</v>
      </c>
      <c r="AM61" s="181">
        <f>(INDEX(Tables!$B$80:$B$87,MAX(1,MIN(IFERROR(MATCH(AH61,Tables!$A$80:$A$87,1),1),ROWS(Tables!$A$80:$A$87)-1)))+(AH61-INDEX(Tables!$A$80:$A$87,MAX(1,MIN(IFERROR(MATCH(AH61,Tables!$A$80:$A$87,1),1),ROWS(Tables!$A$80:$A$87)-1))))*(INDEX(Tables!$B$80:$B$87,MAX(1,MIN(IFERROR(MATCH(AH61,Tables!$A$80:$A$87,1),1),ROWS(Tables!$A$80:$A$87)-1))+1)-INDEX(Tables!$B$80:$B$87,MAX(1,MIN(IFERROR(MATCH(AH61,Tables!$A$80:$A$87,1),1),ROWS(Tables!$A$80:$A$87)-1))))/(INDEX(Tables!$A$80:$A$87,MAX(1,MIN(IFERROR(MATCH(AH61,Tables!$A$80:$A$87,1),1),ROWS(Tables!$A$80:$A$87)-1))+1)-INDEX(Tables!$A$80:$A$87,MAX(1,MIN(IFERROR(MATCH(AH61,Tables!$A$80:$A$87,1),1),ROWS(Tables!$A$80:$A$87)-1)))))</f>
        <v>1.04345</v>
      </c>
      <c r="AN61" s="181">
        <f t="shared" si="39"/>
        <v>3324.6048354074073</v>
      </c>
      <c r="AO61" s="181">
        <f>(INDEX(Tables!$B$91:$B$94,MAX(1,MIN(IFERROR(MATCH(P61,Tables!$A$91:$A$94,1),1),ROWS(Tables!$A$91:$A$94)-1)))+(P61-INDEX(Tables!$A$91:$A$94,MAX(1,MIN(IFERROR(MATCH(P61,Tables!$A$91:$A$94,1),1),ROWS(Tables!$A$91:$A$94)-1))))*(INDEX(Tables!$B$91:$B$94,MAX(1,MIN(IFERROR(MATCH(P61,Tables!$A$91:$A$94,1),1),ROWS(Tables!$A$91:$A$94)-1))+1)-INDEX(Tables!$B$91:$B$94,MAX(1,MIN(IFERROR(MATCH(P61,Tables!$A$91:$A$94,1),1),ROWS(Tables!$A$91:$A$94)-1))))/(INDEX(Tables!$A$91:$A$94,MAX(1,MIN(IFERROR(MATCH(P61,Tables!$A$91:$A$94,1),1),ROWS(Tables!$A$91:$A$94)-1))+1)-INDEX(Tables!$A$91:$A$94,MAX(1,MIN(IFERROR(MATCH(P61,Tables!$A$91:$A$94,1),1),ROWS(Tables!$A$91:$A$94)-1)))))</f>
        <v>1.4152439024390244</v>
      </c>
      <c r="AP61" s="181">
        <f>IF(AD61=5000,(INDEX(Tables!$B$99:$B$118,MAX(1,MIN(IFERROR(MATCH(AF61,Tables!$A$99:$A$118,1),1),ROWS(Tables!$A$99:$A$118)-1)))+(AF61-INDEX(Tables!$A$99:$A$118,MAX(1,MIN(IFERROR(MATCH(AF61,Tables!$A$99:$A$118,1),1),ROWS(Tables!$A$99:$A$118)-1))))*(INDEX(Tables!$B$99:$B$118,MAX(1,MIN(IFERROR(MATCH(AF61,Tables!$A$99:$A$118,1),1),ROWS(Tables!$A$99:$A$118)-1))+1)-INDEX(Tables!$B$99:$B$118,MAX(1,MIN(IFERROR(MATCH(AF61,Tables!$A$99:$A$118,1),1),ROWS(Tables!$A$99:$A$118)-1))))/(INDEX(Tables!$A$99:$A$118,MAX(1,MIN(IFERROR(MATCH(AF61,Tables!$A$99:$A$118,1),1),ROWS(Tables!$A$99:$A$118)-1))+1)-INDEX(Tables!$A$99:$A$118,MAX(1,MIN(IFERROR(MATCH(AF61,Tables!$A$99:$A$118,1),1),ROWS(Tables!$A$99:$A$118)-1))))),IF(AD61=10000,(INDEX(Tables!$D$99:$D$118,MAX(1,MIN(IFERROR(MATCH(AF61,Tables!$C$99:$C$118,1),1),ROWS(Tables!$C$99:$C$118)-1)))+(AF61-INDEX(Tables!$C$99:$C$118,MAX(1,MIN(IFERROR(MATCH(AF61,Tables!$C$99:$C$118,1),1),ROWS(Tables!$C$99:$C$118)-1))))*(INDEX(Tables!$D$99:$D$118,MAX(1,MIN(IFERROR(MATCH(AF61,Tables!$C$99:$C$118,1),1),ROWS(Tables!$C$99:$C$118)-1))+1)-INDEX(Tables!$D$99:$D$118,MAX(1,MIN(IFERROR(MATCH(AF61,Tables!$C$99:$C$118,1),1),ROWS(Tables!$C$99:$C$118)-1))))/(INDEX(Tables!$C$99:$C$118,MAX(1,MIN(IFERROR(MATCH(AF61,Tables!$C$99:$C$118,1),1),ROWS(Tables!$C$99:$C$118)-1))+1)-INDEX(Tables!$C$99:$C$118,MAX(1,MIN(IFERROR(MATCH(AF61,Tables!$C$99:$C$118,1),1),ROWS(Tables!$C$99:$C$118)-1))))),(INDEX(Tables!$F$99:$F$118,MAX(1,MIN(IFERROR(MATCH(AF61,Tables!$E$99:$E$118,1),1),ROWS(Tables!$E$99:$E$118)-1)))+(AF61-INDEX(Tables!$E$99:$E$118,MAX(1,MIN(IFERROR(MATCH(AF61,Tables!$E$99:$E$118,1),1),ROWS(Tables!$E$99:$E$118)-1))))*(INDEX(Tables!$F$99:$F$118,MAX(1,MIN(IFERROR(MATCH(AF61,Tables!$E$99:$E$118,1),1),ROWS(Tables!$E$99:$E$118)-1))+1)-INDEX(Tables!$F$99:$F$118,MAX(1,MIN(IFERROR(MATCH(AF61,Tables!$E$99:$E$118,1),1),ROWS(Tables!$E$99:$E$118)-1))))/(INDEX(Tables!$E$99:$E$118,MAX(1,MIN(IFERROR(MATCH(AF61,Tables!$E$99:$E$118,1),1),ROWS(Tables!$E$99:$E$118)-1))+1)-INDEX(Tables!$E$99:$E$118,MAX(1,MIN(IFERROR(MATCH(AF61,Tables!$E$99:$E$118,1),1),ROWS(Tables!$E$99:$E$118)-1)))))))</f>
        <v>7.8903600000000003</v>
      </c>
      <c r="AQ61" s="181">
        <f>IF(P61&lt;6,(INDEX(Tables!$B$123:$B$138,MAX(1,MIN(IFERROR(MATCH(U61,Tables!$A$123:$A$138,1),1),ROWS(Tables!$A$123:$A$138)-1)))+(U61-INDEX(Tables!$A$123:$A$138,MAX(1,MIN(IFERROR(MATCH(U61,Tables!$A$123:$A$138,1),1),ROWS(Tables!$A$123:$A$138)-1))))*(INDEX(Tables!$B$123:$B$138,MAX(1,MIN(IFERROR(MATCH(U61,Tables!$A$123:$A$138,1),1),ROWS(Tables!$A$123:$A$138)-1))+1)-INDEX(Tables!$B$123:$B$138,MAX(1,MIN(IFERROR(MATCH(U61,Tables!$A$123:$A$138,1),1),ROWS(Tables!$A$123:$A$138)-1))))/(INDEX(Tables!$A$123:$A$138,MAX(1,MIN(IFERROR(MATCH(U61,Tables!$A$123:$A$138,1),1),ROWS(Tables!$A$123:$A$138)-1))+1)-INDEX(Tables!$A$123:$A$138,MAX(1,MIN(IFERROR(MATCH(U61,Tables!$A$123:$A$138,1),1),ROWS(Tables!$A$123:$A$138)-1))))),IF(P61&lt;8,(INDEX(Tables!$D$123:$D$138,MAX(1,MIN(IFERROR(MATCH(U61,Tables!$C$123:$C$138,1),1),ROWS(Tables!$C$123:$C$138)-1)))+(U61-INDEX(Tables!$C$123:$C$138,MAX(1,MIN(IFERROR(MATCH(U61,Tables!$C$123:$C$138,1),1),ROWS(Tables!$C$123:$C$138)-1))))*(INDEX(Tables!$D$123:$D$138,MAX(1,MIN(IFERROR(MATCH(U61,Tables!$C$123:$C$138,1),1),ROWS(Tables!$C$123:$C$138)-1))+1)-INDEX(Tables!$D$123:$D$138,MAX(1,MIN(IFERROR(MATCH(U61,Tables!$C$123:$C$138,1),1),ROWS(Tables!$C$123:$C$138)-1))))/(INDEX(Tables!$C$123:$C$138,MAX(1,MIN(IFERROR(MATCH(U61,Tables!$C$123:$C$138,1),1),ROWS(Tables!$C$123:$C$138)-1))+1)-INDEX(Tables!$C$123:$C$138,MAX(1,MIN(IFERROR(MATCH(U61,Tables!$C$123:$C$138,1),1),ROWS(Tables!$C$123:$C$138)-1))))),IF(P61&lt;10,(INDEX(Tables!$F$123:$F$138,MAX(1,MIN(IFERROR(MATCH(U61,Tables!$E$123:$E$138,1),1),ROWS(Tables!$E$123:$E$138)-1)))+(U61-INDEX(Tables!$E$123:$E$138,MAX(1,MIN(IFERROR(MATCH(U61,Tables!$E$123:$E$138,1),1),ROWS(Tables!$E$123:$E$138)-1))))*(INDEX(Tables!$F$123:$F$138,MAX(1,MIN(IFERROR(MATCH(U61,Tables!$E$123:$E$138,1),1),ROWS(Tables!$E$123:$E$138)-1))+1)-INDEX(Tables!$F$123:$F$138,MAX(1,MIN(IFERROR(MATCH(U61,Tables!$E$123:$E$138,1),1),ROWS(Tables!$E$123:$E$138)-1))))/(INDEX(Tables!$E$123:$E$138,MAX(1,MIN(IFERROR(MATCH(U61,Tables!$E$123:$E$138,1),1),ROWS(Tables!$E$123:$E$138)-1))+1)-INDEX(Tables!$E$123:$E$138,MAX(1,MIN(IFERROR(MATCH(U61,Tables!$E$123:$E$138,1),1),ROWS(Tables!$E$123:$E$138)-1))))),(INDEX(Tables!$H$123:$H$138,MAX(1,MIN(IFERROR(MATCH(U61,Tables!$G$123:$G$138,1),1),ROWS(Tables!$G$123:$G$138)-1)))+(U61-INDEX(Tables!$G$123:$G$138,MAX(1,MIN(IFERROR(MATCH(U61,Tables!$G$123:$G$138,1),1),ROWS(Tables!$G$123:$G$138)-1))))*(INDEX(Tables!$H$123:$H$138,MAX(1,MIN(IFERROR(MATCH(U61,Tables!$G$123:$G$138,1),1),ROWS(Tables!$G$123:$G$138)-1))+1)-INDEX(Tables!$H$123:$H$138,MAX(1,MIN(IFERROR(MATCH(U61,Tables!$G$123:$G$138,1),1),ROWS(Tables!$G$123:$G$138)-1))))/(INDEX(Tables!$G$123:$G$138,MAX(1,MIN(IFERROR(MATCH(U61,Tables!$G$123:$G$138,1),1),ROWS(Tables!$G$123:$G$138)-1))+1)-INDEX(Tables!$G$123:$G$138,MAX(1,MIN(IFERROR(MATCH(U61,Tables!$G$123:$G$138,1),1),ROWS(Tables!$G$123:$G$138)-1))))))))</f>
        <v>0.79200000000000004</v>
      </c>
      <c r="AR61" s="181">
        <f>IF(OR(P61&gt;=4,U61&gt;12),VLOOKUP(R61&amp;" "&amp;S61,Tables!$D$143:$F$148,2,FALSE),VLOOKUP(R61&amp;" "&amp;S61,Tables!$A$143:$C$148,2,FALSE))</f>
        <v>1.1000000000000001</v>
      </c>
      <c r="AS61" s="181">
        <f>IF(OR(P61&gt;=4,U61&gt;12),VLOOKUP(R61&amp;" "&amp;S61,Tables!$D$143:$F$148,3,FALSE),VLOOKUP(R61&amp;" "&amp;S61,Tables!$A$143:$C$148,3,FALSE))</f>
        <v>1</v>
      </c>
      <c r="AT61" s="181">
        <f t="shared" si="40"/>
        <v>675.59042462195123</v>
      </c>
      <c r="AU61" s="181">
        <f>IF(AD61=5000,(INDEX(Tables!$B$244:$B$263,MAX(1,MIN(IFERROR(MATCH(AF61,Tables!$A$244:$A$263,1),1),ROWS(Tables!$A$244:$A$263)-1)))+(AF61-INDEX(Tables!$A$244:$A$263,MAX(1,MIN(IFERROR(MATCH(AF61,Tables!$A$244:$A$263,1),1),ROWS(Tables!$A$244:$A$263)-1))))*(INDEX(Tables!$B$244:$B$263,MAX(1,MIN(IFERROR(MATCH(AF61,Tables!$A$244:$A$263,1),1),ROWS(Tables!$A$244:$A$263)-1))+1)-INDEX(Tables!$B$244:$B$263,MAX(1,MIN(IFERROR(MATCH(AF61,Tables!$A$244:$A$263,1),1),ROWS(Tables!$A$244:$A$263)-1))))/(INDEX(Tables!$A$244:$A$263,MAX(1,MIN(IFERROR(MATCH(AF61,Tables!$A$244:$A$263,1),1),ROWS(Tables!$A$244:$A$263)-1))+1)-INDEX(Tables!$A$244:$A$263,MAX(1,MIN(IFERROR(MATCH(AF61,Tables!$A$244:$A$263,1),1),ROWS(Tables!$A$244:$A$263)-1))))),IF(AD61=10000,(INDEX(Tables!$D$244:$D$263,MAX(1,MIN(IFERROR(MATCH(AF61,Tables!$C$244:$C$263,1),1),ROWS(Tables!$C$244:$C$263)-1)))+(AF61-INDEX(Tables!$C$244:$C$263,MAX(1,MIN(IFERROR(MATCH(AF61,Tables!$C$244:$C$263,1),1),ROWS(Tables!$C$244:$C$263)-1))))*(INDEX(Tables!$D$244:$D$263,MAX(1,MIN(IFERROR(MATCH(AF61,Tables!$C$244:$C$263,1),1),ROWS(Tables!$C$244:$C$263)-1))+1)-INDEX(Tables!$D$244:$D$263,MAX(1,MIN(IFERROR(MATCH(AF61,Tables!$C$244:$C$263,1),1),ROWS(Tables!$C$244:$C$263)-1))))/(INDEX(Tables!$C$244:$C$263,MAX(1,MIN(IFERROR(MATCH(AF61,Tables!$C$244:$C$263,1),1),ROWS(Tables!$C$244:$C$263)-1))+1)-INDEX(Tables!$C$244:$C$263,MAX(1,MIN(IFERROR(MATCH(AF61,Tables!$C$244:$C$263,1),1),ROWS(Tables!$C$244:$C$263)-1))))),(INDEX(Tables!$F$244:$F$263,MAX(1,MIN(IFERROR(MATCH(AF61,Tables!$E$244:$E$263,1),1),ROWS(Tables!$E$244:$E$263)-1)))+(AF61-INDEX(Tables!$E$244:$E$263,MAX(1,MIN(IFERROR(MATCH(AF61,Tables!$E$244:$E$263,1),1),ROWS(Tables!$E$244:$E$263)-1))))*(INDEX(Tables!$F$244:$F$263,MAX(1,MIN(IFERROR(MATCH(AF61,Tables!$E$244:$E$263,1),1),ROWS(Tables!$E$244:$E$263)-1))+1)-INDEX(Tables!$F$244:$F$263,MAX(1,MIN(IFERROR(MATCH(AF61,Tables!$E$244:$E$263,1),1),ROWS(Tables!$E$244:$E$263)-1))))/(INDEX(Tables!$E$244:$E$263,MAX(1,MIN(IFERROR(MATCH(AF61,Tables!$E$244:$E$263,1),1),ROWS(Tables!$E$244:$E$263)-1))+1)-INDEX(Tables!$E$244:$E$263,MAX(1,MIN(IFERROR(MATCH(AF61,Tables!$E$244:$E$263,1),1),ROWS(Tables!$E$244:$E$263)-1)))))))</f>
        <v>6.2337222222222222</v>
      </c>
      <c r="AV61" s="181">
        <f>IF(P61&lt;6,(INDEX(Tables!$B$260:$B$274,MAX(1,MIN(IFERROR(MATCH(U61,Tables!$A$260:$A$274,1),1),ROWS(Tables!$A$260:$A$274)-1)))+(U61-INDEX(Tables!$A$260:$A$274,MAX(1,MIN(IFERROR(MATCH(U61,Tables!$A$260:$A$274,1),1),ROWS(Tables!$A$260:$A$274)-1))))*(INDEX(Tables!$B$260:$B$274,MAX(1,MIN(IFERROR(MATCH(U61,Tables!$A$260:$A$274,1),1),ROWS(Tables!$A$260:$A$274)-1))+1)-INDEX(Tables!$B$260:$B$274,MAX(1,MIN(IFERROR(MATCH(U61,Tables!$A$260:$A$274,1),1),ROWS(Tables!$A$260:$A$274)-1))))/(INDEX(Tables!$A$260:$A$274,MAX(1,MIN(IFERROR(MATCH(U61,Tables!$A$260:$A$274,1),1),ROWS(Tables!$A$260:$A$274)-1))+1)-INDEX(Tables!$A$260:$A$274,MAX(1,MIN(IFERROR(MATCH(U61,Tables!$A$260:$A$274,1),1),ROWS(Tables!$A$260:$A$274)-1))))),IF(P61&lt;8,(INDEX(Tables!$D$260:$D$274,MAX(1,MIN(IFERROR(MATCH(U61,Tables!$C$260:$C$274,1),1),ROWS(Tables!$C$260:$C$274)-1)))+(U61-INDEX(Tables!$C$260:$C$274,MAX(1,MIN(IFERROR(MATCH(U61,Tables!$C$260:$C$274,1),1),ROWS(Tables!$C$260:$C$274)-1))))*(INDEX(Tables!$D$260:$D$274,MAX(1,MIN(IFERROR(MATCH(U61,Tables!$C$260:$C$274,1),1),ROWS(Tables!$C$260:$C$274)-1))+1)-INDEX(Tables!$D$260:$D$274,MAX(1,MIN(IFERROR(MATCH(U61,Tables!$C$260:$C$274,1),1),ROWS(Tables!$C$260:$C$274)-1))))/(INDEX(Tables!$C$260:$C$274,MAX(1,MIN(IFERROR(MATCH(U61,Tables!$C$260:$C$274,1),1),ROWS(Tables!$C$260:$C$274)-1))+1)-INDEX(Tables!$C$260:$C$274,MAX(1,MIN(IFERROR(MATCH(U61,Tables!$C$260:$C$274,1),1),ROWS(Tables!$C$260:$C$274)-1))))),IF(P61&lt;10,(INDEX(Tables!$F$260:$F$274,MAX(1,MIN(IFERROR(MATCH(U61,Tables!$E$260:$E$274,1),1),ROWS(Tables!$E$260:$E$274)-1)))+(U61-INDEX(Tables!$E$260:$E$274,MAX(1,MIN(IFERROR(MATCH(U61,Tables!$E$260:$E$274,1),1),ROWS(Tables!$E$260:$E$274)-1))))*(INDEX(Tables!$F$260:$F$274,MAX(1,MIN(IFERROR(MATCH(U61,Tables!$E$260:$E$274,1),1),ROWS(Tables!$E$260:$E$274)-1))+1)-INDEX(Tables!$F$260:$F$274,MAX(1,MIN(IFERROR(MATCH(U61,Tables!$E$260:$E$274,1),1),ROWS(Tables!$E$260:$E$274)-1))))/(INDEX(Tables!$E$260:$E$274,MAX(1,MIN(IFERROR(MATCH(U61,Tables!$E$260:$E$274,1),1),ROWS(Tables!$E$260:$E$274)-1))+1)-INDEX(Tables!$E$260:$E$274,MAX(1,MIN(IFERROR(MATCH(U61,Tables!$E$260:$E$274,1),1),ROWS(Tables!$E$260:$E$274)-1))))),(INDEX(Tables!$H$260:$H$274,MAX(1,MIN(IFERROR(MATCH(U61,Tables!$G$260:$G$274,1),1),ROWS(Tables!$G$260:$G$274)-1)))+(U61-INDEX(Tables!$G$260:$G$274,MAX(1,MIN(IFERROR(MATCH(U61,Tables!$G$260:$G$274,1),1),ROWS(Tables!$G$260:$G$274)-1))))*(INDEX(Tables!$H$260:$H$274,MAX(1,MIN(IFERROR(MATCH(U61,Tables!$G$260:$G$274,1),1),ROWS(Tables!$G$260:$G$274)-1))+1)-INDEX(Tables!$H$260:$H$274,MAX(1,MIN(IFERROR(MATCH(U61,Tables!$G$260:$G$274,1),1),ROWS(Tables!$G$260:$G$274)-1))))/(INDEX(Tables!$G$260:$G$274,MAX(1,MIN(IFERROR(MATCH(U61,Tables!$G$260:$G$274,1),1),ROWS(Tables!$G$260:$G$274)-1))+1)-INDEX(Tables!$G$260:$G$274,MAX(1,MIN(IFERROR(MATCH(U61,Tables!$G$260:$G$274,1),1),ROWS(Tables!$G$260:$G$274)-1))))))))</f>
        <v>0.84099999999999997</v>
      </c>
      <c r="AW61" s="181">
        <f t="shared" si="41"/>
        <v>566.7674851317845</v>
      </c>
      <c r="AX61" s="181">
        <f t="shared" si="42"/>
        <v>33642.553191489365</v>
      </c>
      <c r="AY61" s="181">
        <f t="shared" si="43"/>
        <v>37642.748451518724</v>
      </c>
      <c r="AZ61" s="181">
        <f t="shared" si="44"/>
        <v>11656.914893200816</v>
      </c>
      <c r="BA61" s="181">
        <f t="shared" si="45"/>
        <v>-800</v>
      </c>
      <c r="BB61" s="181">
        <f t="shared" si="46"/>
        <v>33972.659469666156</v>
      </c>
      <c r="BC61" s="181">
        <f t="shared" si="47"/>
        <v>46800</v>
      </c>
      <c r="BD61" s="181">
        <f>VLOOKUP(V61&amp;" "&amp;J61,Tables!$A$152:$E$239,4,FALSE)</f>
        <v>12000</v>
      </c>
      <c r="BE61" s="181">
        <f>VLOOKUP(V61&amp;" "&amp;J61,Tables!$A$152:$E$239,5,FALSE)</f>
        <v>23000</v>
      </c>
      <c r="BF61" s="181">
        <f t="shared" si="48"/>
        <v>8640</v>
      </c>
      <c r="BG61" s="181">
        <f t="shared" si="49"/>
        <v>16560</v>
      </c>
      <c r="BH61" s="181">
        <f t="shared" si="50"/>
        <v>34042.553191489358</v>
      </c>
      <c r="BI61" s="181">
        <f t="shared" si="51"/>
        <v>46800</v>
      </c>
      <c r="BJ61" s="181">
        <f t="shared" si="52"/>
        <v>33972.659469666156</v>
      </c>
      <c r="BK61" s="181">
        <f t="shared" si="53"/>
        <v>46800</v>
      </c>
      <c r="BL61" s="181">
        <f t="shared" si="54"/>
        <v>566.7674851317845</v>
      </c>
      <c r="BM61" s="181">
        <f t="shared" si="55"/>
        <v>8640</v>
      </c>
      <c r="BN61" s="181">
        <f t="shared" si="56"/>
        <v>675.59042462195123</v>
      </c>
      <c r="BO61" s="181">
        <f t="shared" si="57"/>
        <v>16560</v>
      </c>
      <c r="BP61" t="str">
        <f t="shared" si="58"/>
        <v>Pass</v>
      </c>
      <c r="BQ61" t="str">
        <f t="shared" si="59"/>
        <v>Pass</v>
      </c>
      <c r="BR61" t="str">
        <f t="shared" si="60"/>
        <v>Pass</v>
      </c>
      <c r="BS61" t="str">
        <f t="shared" si="61"/>
        <v>Pass</v>
      </c>
      <c r="BT61" t="str">
        <f t="shared" si="62"/>
        <v>Pass</v>
      </c>
      <c r="BU61" t="str">
        <f t="shared" si="63"/>
        <v>Barlow Stress</v>
      </c>
    </row>
    <row r="62" spans="1:73">
      <c r="A62" t="s">
        <v>654</v>
      </c>
      <c r="B62" s="181">
        <v>60</v>
      </c>
      <c r="C62" t="s">
        <v>594</v>
      </c>
      <c r="D62" s="181">
        <v>24</v>
      </c>
      <c r="E62" s="181">
        <v>0.25</v>
      </c>
      <c r="F62" t="s">
        <v>117</v>
      </c>
      <c r="G62" t="s">
        <v>119</v>
      </c>
      <c r="H62" t="s">
        <v>122</v>
      </c>
      <c r="I62" s="181">
        <v>1</v>
      </c>
      <c r="J62" t="s">
        <v>126</v>
      </c>
      <c r="K62" t="s">
        <v>129</v>
      </c>
      <c r="L62" s="181">
        <v>70</v>
      </c>
      <c r="M62" s="181">
        <v>1000</v>
      </c>
      <c r="N62" t="s">
        <v>388</v>
      </c>
      <c r="O62" s="181">
        <v>120</v>
      </c>
      <c r="P62" s="181">
        <v>10</v>
      </c>
      <c r="Q62" s="181">
        <v>26</v>
      </c>
      <c r="R62" t="s">
        <v>417</v>
      </c>
      <c r="S62" t="s">
        <v>156</v>
      </c>
      <c r="T62" s="181">
        <v>70</v>
      </c>
      <c r="U62" s="181">
        <f>HLOOKUP(D62,'Highway Loading'!$C$155:$AD$156,2,FALSE)</f>
        <v>24</v>
      </c>
      <c r="V62" s="181">
        <f>IF(ISBLANK(G62),"",INDEX('Highway Loading'!$C$216:$AG$216,1,MATCH(G62,'Highway Loading'!$C$215:$AG$215,0)))</f>
        <v>65000</v>
      </c>
      <c r="W62" s="181">
        <f>INDEX('Highway Loading'!$I$245:$L$253,MATCH(H62,'Highway Loading'!$H$245:$H$253,0),MATCH(I62,'Highway Loading'!$I$244:$L$244,0))</f>
        <v>0.72</v>
      </c>
      <c r="X62" s="181">
        <f t="shared" si="32"/>
        <v>1</v>
      </c>
      <c r="Y62" s="181">
        <f>VLOOKUP(K62,'Highway Loading'!$B$283:$E$292,2,FALSE)</f>
        <v>29000000</v>
      </c>
      <c r="Z62" s="181">
        <f>VLOOKUP(K62,'Highway Loading'!$B$283:$E$292,3,FALSE)</f>
        <v>0.3</v>
      </c>
      <c r="AA62" s="181">
        <f>VLOOKUP(K62,'Highway Loading'!$B$283:$E$292,4,FALSE)</f>
        <v>6.4999999999999996E-6</v>
      </c>
      <c r="AB62" s="181">
        <f t="shared" si="33"/>
        <v>1</v>
      </c>
      <c r="AC62" s="181">
        <f>VLOOKUP(N62,'Highway Loading'!$B$256:$D$261,2,FALSE)</f>
        <v>200</v>
      </c>
      <c r="AD62" s="181">
        <f>VLOOKUP(N62,'Highway Loading'!$B$256:$D$261,3,FALSE)</f>
        <v>5000</v>
      </c>
      <c r="AE62" s="181">
        <f>VLOOKUP(S62,'Highway Loading'!$B$340:$C$341,2,FALSE)</f>
        <v>10000</v>
      </c>
      <c r="AF62" s="181">
        <f t="shared" si="34"/>
        <v>1.0416666666666666E-2</v>
      </c>
      <c r="AG62" s="181">
        <f t="shared" si="35"/>
        <v>4.615384615384615</v>
      </c>
      <c r="AH62" s="181">
        <f t="shared" si="36"/>
        <v>1.0833333333333333</v>
      </c>
      <c r="AI62" s="181">
        <f t="shared" si="37"/>
        <v>48000</v>
      </c>
      <c r="AJ62" s="181">
        <f t="shared" si="38"/>
        <v>46800</v>
      </c>
      <c r="AK62" s="181">
        <f>IF(AC62=200,(INDEX(Tables!$B$17:$B$38,MAX(1,MIN(IFERROR(MATCH(AF62,Tables!$A$17:$A$38,1),1),ROWS(Tables!$A$17:$A$38)-1)))+(AF62-INDEX(Tables!$A$17:$A$38,MAX(1,MIN(IFERROR(MATCH(AF62,Tables!$A$17:$A$38,1),1),ROWS(Tables!$A$17:$A$38)-1))))*(INDEX(Tables!$B$17:$B$38,MAX(1,MIN(IFERROR(MATCH(AF62,Tables!$A$17:$A$38,1),1),ROWS(Tables!$A$17:$A$38)-1))+1)-INDEX(Tables!$B$17:$B$38,MAX(1,MIN(IFERROR(MATCH(AF62,Tables!$A$17:$A$38,1),1),ROWS(Tables!$A$17:$A$38)-1))))/(INDEX(Tables!$A$17:$A$38,MAX(1,MIN(IFERROR(MATCH(AF62,Tables!$A$17:$A$38,1),1),ROWS(Tables!$A$17:$A$38)-1))+1)-INDEX(Tables!$A$17:$A$38,MAX(1,MIN(IFERROR(MATCH(AF62,Tables!$A$17:$A$38,1),1),ROWS(Tables!$A$17:$A$38)-1))))),IF(AC62=500,(INDEX(Tables!$D$17:$D$38,MAX(1,MIN(IFERROR(MATCH(AF62,Tables!$C$17:$C$38,1),1),ROWS(Tables!$C$17:$C$38)-1)))+(AF62-INDEX(Tables!$C$17:$C$38,MAX(1,MIN(IFERROR(MATCH(AF62,Tables!$C$17:$C$38,1),1),ROWS(Tables!$C$17:$C$38)-1))))*(INDEX(Tables!$D$17:$D$38,MAX(1,MIN(IFERROR(MATCH(AF62,Tables!$C$17:$C$38,1),1),ROWS(Tables!$C$17:$C$38)-1))+1)-INDEX(Tables!$D$17:$D$38,MAX(1,MIN(IFERROR(MATCH(AF62,Tables!$C$17:$C$38,1),1),ROWS(Tables!$C$17:$C$38)-1))))/(INDEX(Tables!$C$17:$C$38,MAX(1,MIN(IFERROR(MATCH(AF62,Tables!$C$17:$C$38,1),1),ROWS(Tables!$C$17:$C$38)-1))+1)-INDEX(Tables!$C$17:$C$38,MAX(1,MIN(IFERROR(MATCH(AF62,Tables!$C$17:$C$38,1),1),ROWS(Tables!$C$17:$C$38)-1))))),IF(AC62=1000,(INDEX(Tables!$F$17:$F$38,MAX(1,MIN(IFERROR(MATCH(AF62,Tables!$E$17:$E$38,1),1),ROWS(Tables!$E$17:$E$38)-1)))+(AF62-INDEX(Tables!$E$17:$E$38,MAX(1,MIN(IFERROR(MATCH(AF62,Tables!$E$17:$E$38,1),1),ROWS(Tables!$E$17:$E$38)-1))))*(INDEX(Tables!$F$17:$F$38,MAX(1,MIN(IFERROR(MATCH(AF62,Tables!$E$17:$E$38,1),1),ROWS(Tables!$E$17:$E$38)-1))+1)-INDEX(Tables!$F$17:$F$38,MAX(1,MIN(IFERROR(MATCH(AF62,Tables!$E$17:$E$38,1),1),ROWS(Tables!$E$17:$E$38)-1))))/(INDEX(Tables!$E$17:$E$38,MAX(1,MIN(IFERROR(MATCH(AF62,Tables!$E$17:$E$38,1),1),ROWS(Tables!$E$17:$E$38)-1))+1)-INDEX(Tables!$E$17:$E$38,MAX(1,MIN(IFERROR(MATCH(AF62,Tables!$E$17:$E$38,1),1),ROWS(Tables!$E$17:$E$38)-1))))),(INDEX(Tables!$H$17:$H$38,MAX(1,MIN(IFERROR(MATCH(AF62,Tables!$G$17:$G$38,1),1),ROWS(Tables!$G$17:$G$38)-1)))+(AF62-INDEX(Tables!$G$17:$G$38,MAX(1,MIN(IFERROR(MATCH(AF62,Tables!$G$17:$G$38,1),1),ROWS(Tables!$G$17:$G$38)-1))))*(INDEX(Tables!$H$17:$H$38,MAX(1,MIN(IFERROR(MATCH(AF62,Tables!$G$17:$G$38,1),1),ROWS(Tables!$G$17:$G$38)-1))+1)-INDEX(Tables!$H$17:$H$38,MAX(1,MIN(IFERROR(MATCH(AF62,Tables!$G$17:$G$38,1),1),ROWS(Tables!$G$17:$G$38)-1))))/(INDEX(Tables!$G$17:$G$38,MAX(1,MIN(IFERROR(MATCH(AF62,Tables!$G$17:$G$38,1),1),ROWS(Tables!$G$17:$G$38)-1))+1)-INDEX(Tables!$G$17:$G$38,MAX(1,MIN(IFERROR(MATCH(AF62,Tables!$G$17:$G$38,1),1),ROWS(Tables!$G$17:$G$38)-1))))))))</f>
        <v>8220.6666666666679</v>
      </c>
      <c r="AL62" s="181">
        <f>IF(AC62&lt;1000,(INDEX(Tables!$B$43:$B$76,MAX(1,MIN(IFERROR(MATCH(AG62,Tables!$A$43:$A$76,1),1),ROWS(Tables!$A$43:$A$76)-1)))+(AG62-INDEX(Tables!$A$43:$A$76,MAX(1,MIN(IFERROR(MATCH(AG62,Tables!$A$43:$A$76,1),1),ROWS(Tables!$A$43:$A$76)-1))))*(INDEX(Tables!$B$43:$B$76,MAX(1,MIN(IFERROR(MATCH(AG62,Tables!$A$43:$A$76,1),1),ROWS(Tables!$A$43:$A$76)-1))+1)-INDEX(Tables!$B$43:$B$76,MAX(1,MIN(IFERROR(MATCH(AG62,Tables!$A$43:$A$76,1),1),ROWS(Tables!$A$43:$A$76)-1))))/(INDEX(Tables!$A$43:$A$76,MAX(1,MIN(IFERROR(MATCH(AG62,Tables!$A$43:$A$76,1),1),ROWS(Tables!$A$43:$A$76)-1))+1)-INDEX(Tables!$A$43:$A$76,MAX(1,MIN(IFERROR(MATCH(AG62,Tables!$A$43:$A$76,1),1),ROWS(Tables!$A$43:$A$76)-1))))),(INDEX(Tables!$D$43:$D$76,MAX(1,MIN(IFERROR(MATCH(AG62,Tables!$C$43:$C$76,1),1),ROWS(Tables!$C$43:$C$76)-1)))+(AG62-INDEX(Tables!$C$43:$C$76,MAX(1,MIN(IFERROR(MATCH(AG62,Tables!$C$43:$C$76,1),1),ROWS(Tables!$C$43:$C$76)-1))))*(INDEX(Tables!$D$43:$D$76,MAX(1,MIN(IFERROR(MATCH(AG62,Tables!$C$43:$C$76,1),1),ROWS(Tables!$C$43:$C$76)-1))+1)-INDEX(Tables!$D$43:$D$76,MAX(1,MIN(IFERROR(MATCH(AG62,Tables!$C$43:$C$76,1),1),ROWS(Tables!$C$43:$C$76)-1))))/(INDEX(Tables!$C$43:$C$76,MAX(1,MIN(IFERROR(MATCH(AG62,Tables!$C$43:$C$76,1),1),ROWS(Tables!$C$43:$C$76)-1))+1)-INDEX(Tables!$C$43:$C$76,MAX(1,MIN(IFERROR(MATCH(AG62,Tables!$C$43:$C$76,1),1),ROWS(Tables!$C$43:$C$76)-1))))))</f>
        <v>1.0408461538461538</v>
      </c>
      <c r="AM62" s="181">
        <f>(INDEX(Tables!$B$80:$B$87,MAX(1,MIN(IFERROR(MATCH(AH62,Tables!$A$80:$A$87,1),1),ROWS(Tables!$A$80:$A$87)-1)))+(AH62-INDEX(Tables!$A$80:$A$87,MAX(1,MIN(IFERROR(MATCH(AH62,Tables!$A$80:$A$87,1),1),ROWS(Tables!$A$80:$A$87)-1))))*(INDEX(Tables!$B$80:$B$87,MAX(1,MIN(IFERROR(MATCH(AH62,Tables!$A$80:$A$87,1),1),ROWS(Tables!$A$80:$A$87)-1))+1)-INDEX(Tables!$B$80:$B$87,MAX(1,MIN(IFERROR(MATCH(AH62,Tables!$A$80:$A$87,1),1),ROWS(Tables!$A$80:$A$87)-1))))/(INDEX(Tables!$A$80:$A$87,MAX(1,MIN(IFERROR(MATCH(AH62,Tables!$A$80:$A$87,1),1),ROWS(Tables!$A$80:$A$87)-1))+1)-INDEX(Tables!$A$80:$A$87,MAX(1,MIN(IFERROR(MATCH(AH62,Tables!$A$80:$A$87,1),1),ROWS(Tables!$A$80:$A$87)-1)))))</f>
        <v>0.96739999999999982</v>
      </c>
      <c r="AN62" s="181">
        <f t="shared" si="39"/>
        <v>13795.848392427348</v>
      </c>
      <c r="AO62" s="181">
        <f>(INDEX(Tables!$B$91:$B$94,MAX(1,MIN(IFERROR(MATCH(P62,Tables!$A$91:$A$94,1),1),ROWS(Tables!$A$91:$A$94)-1)))+(P62-INDEX(Tables!$A$91:$A$94,MAX(1,MIN(IFERROR(MATCH(P62,Tables!$A$91:$A$94,1),1),ROWS(Tables!$A$91:$A$94)-1))))*(INDEX(Tables!$B$91:$B$94,MAX(1,MIN(IFERROR(MATCH(P62,Tables!$A$91:$A$94,1),1),ROWS(Tables!$A$91:$A$94)-1))+1)-INDEX(Tables!$B$91:$B$94,MAX(1,MIN(IFERROR(MATCH(P62,Tables!$A$91:$A$94,1),1),ROWS(Tables!$A$91:$A$94)-1))))/(INDEX(Tables!$A$91:$A$94,MAX(1,MIN(IFERROR(MATCH(P62,Tables!$A$91:$A$94,1),1),ROWS(Tables!$A$91:$A$94)-1))+1)-INDEX(Tables!$A$91:$A$94,MAX(1,MIN(IFERROR(MATCH(P62,Tables!$A$91:$A$94,1),1),ROWS(Tables!$A$91:$A$94)-1)))))</f>
        <v>1.3542682926829268</v>
      </c>
      <c r="AP62" s="181">
        <f>IF(AD62=5000,(INDEX(Tables!$B$99:$B$118,MAX(1,MIN(IFERROR(MATCH(AF62,Tables!$A$99:$A$118,1),1),ROWS(Tables!$A$99:$A$118)-1)))+(AF62-INDEX(Tables!$A$99:$A$118,MAX(1,MIN(IFERROR(MATCH(AF62,Tables!$A$99:$A$118,1),1),ROWS(Tables!$A$99:$A$118)-1))))*(INDEX(Tables!$B$99:$B$118,MAX(1,MIN(IFERROR(MATCH(AF62,Tables!$A$99:$A$118,1),1),ROWS(Tables!$A$99:$A$118)-1))+1)-INDEX(Tables!$B$99:$B$118,MAX(1,MIN(IFERROR(MATCH(AF62,Tables!$A$99:$A$118,1),1),ROWS(Tables!$A$99:$A$118)-1))))/(INDEX(Tables!$A$99:$A$118,MAX(1,MIN(IFERROR(MATCH(AF62,Tables!$A$99:$A$118,1),1),ROWS(Tables!$A$99:$A$118)-1))+1)-INDEX(Tables!$A$99:$A$118,MAX(1,MIN(IFERROR(MATCH(AF62,Tables!$A$99:$A$118,1),1),ROWS(Tables!$A$99:$A$118)-1))))),IF(AD62=10000,(INDEX(Tables!$D$99:$D$118,MAX(1,MIN(IFERROR(MATCH(AF62,Tables!$C$99:$C$118,1),1),ROWS(Tables!$C$99:$C$118)-1)))+(AF62-INDEX(Tables!$C$99:$C$118,MAX(1,MIN(IFERROR(MATCH(AF62,Tables!$C$99:$C$118,1),1),ROWS(Tables!$C$99:$C$118)-1))))*(INDEX(Tables!$D$99:$D$118,MAX(1,MIN(IFERROR(MATCH(AF62,Tables!$C$99:$C$118,1),1),ROWS(Tables!$C$99:$C$118)-1))+1)-INDEX(Tables!$D$99:$D$118,MAX(1,MIN(IFERROR(MATCH(AF62,Tables!$C$99:$C$118,1),1),ROWS(Tables!$C$99:$C$118)-1))))/(INDEX(Tables!$C$99:$C$118,MAX(1,MIN(IFERROR(MATCH(AF62,Tables!$C$99:$C$118,1),1),ROWS(Tables!$C$99:$C$118)-1))+1)-INDEX(Tables!$C$99:$C$118,MAX(1,MIN(IFERROR(MATCH(AF62,Tables!$C$99:$C$118,1),1),ROWS(Tables!$C$99:$C$118)-1))))),(INDEX(Tables!$F$99:$F$118,MAX(1,MIN(IFERROR(MATCH(AF62,Tables!$E$99:$E$118,1),1),ROWS(Tables!$E$99:$E$118)-1)))+(AF62-INDEX(Tables!$E$99:$E$118,MAX(1,MIN(IFERROR(MATCH(AF62,Tables!$E$99:$E$118,1),1),ROWS(Tables!$E$99:$E$118)-1))))*(INDEX(Tables!$F$99:$F$118,MAX(1,MIN(IFERROR(MATCH(AF62,Tables!$E$99:$E$118,1),1),ROWS(Tables!$E$99:$E$118)-1))+1)-INDEX(Tables!$F$99:$F$118,MAX(1,MIN(IFERROR(MATCH(AF62,Tables!$E$99:$E$118,1),1),ROWS(Tables!$E$99:$E$118)-1))))/(INDEX(Tables!$E$99:$E$118,MAX(1,MIN(IFERROR(MATCH(AF62,Tables!$E$99:$E$118,1),1),ROWS(Tables!$E$99:$E$118)-1))+1)-INDEX(Tables!$E$99:$E$118,MAX(1,MIN(IFERROR(MATCH(AF62,Tables!$E$99:$E$118,1),1),ROWS(Tables!$E$99:$E$118)-1)))))))</f>
        <v>19.818999999999999</v>
      </c>
      <c r="AQ62" s="181">
        <f>IF(P62&lt;6,(INDEX(Tables!$B$123:$B$138,MAX(1,MIN(IFERROR(MATCH(U62,Tables!$A$123:$A$138,1),1),ROWS(Tables!$A$123:$A$138)-1)))+(U62-INDEX(Tables!$A$123:$A$138,MAX(1,MIN(IFERROR(MATCH(U62,Tables!$A$123:$A$138,1),1),ROWS(Tables!$A$123:$A$138)-1))))*(INDEX(Tables!$B$123:$B$138,MAX(1,MIN(IFERROR(MATCH(U62,Tables!$A$123:$A$138,1),1),ROWS(Tables!$A$123:$A$138)-1))+1)-INDEX(Tables!$B$123:$B$138,MAX(1,MIN(IFERROR(MATCH(U62,Tables!$A$123:$A$138,1),1),ROWS(Tables!$A$123:$A$138)-1))))/(INDEX(Tables!$A$123:$A$138,MAX(1,MIN(IFERROR(MATCH(U62,Tables!$A$123:$A$138,1),1),ROWS(Tables!$A$123:$A$138)-1))+1)-INDEX(Tables!$A$123:$A$138,MAX(1,MIN(IFERROR(MATCH(U62,Tables!$A$123:$A$138,1),1),ROWS(Tables!$A$123:$A$138)-1))))),IF(P62&lt;8,(INDEX(Tables!$D$123:$D$138,MAX(1,MIN(IFERROR(MATCH(U62,Tables!$C$123:$C$138,1),1),ROWS(Tables!$C$123:$C$138)-1)))+(U62-INDEX(Tables!$C$123:$C$138,MAX(1,MIN(IFERROR(MATCH(U62,Tables!$C$123:$C$138,1),1),ROWS(Tables!$C$123:$C$138)-1))))*(INDEX(Tables!$D$123:$D$138,MAX(1,MIN(IFERROR(MATCH(U62,Tables!$C$123:$C$138,1),1),ROWS(Tables!$C$123:$C$138)-1))+1)-INDEX(Tables!$D$123:$D$138,MAX(1,MIN(IFERROR(MATCH(U62,Tables!$C$123:$C$138,1),1),ROWS(Tables!$C$123:$C$138)-1))))/(INDEX(Tables!$C$123:$C$138,MAX(1,MIN(IFERROR(MATCH(U62,Tables!$C$123:$C$138,1),1),ROWS(Tables!$C$123:$C$138)-1))+1)-INDEX(Tables!$C$123:$C$138,MAX(1,MIN(IFERROR(MATCH(U62,Tables!$C$123:$C$138,1),1),ROWS(Tables!$C$123:$C$138)-1))))),IF(P62&lt;10,(INDEX(Tables!$F$123:$F$138,MAX(1,MIN(IFERROR(MATCH(U62,Tables!$E$123:$E$138,1),1),ROWS(Tables!$E$123:$E$138)-1)))+(U62-INDEX(Tables!$E$123:$E$138,MAX(1,MIN(IFERROR(MATCH(U62,Tables!$E$123:$E$138,1),1),ROWS(Tables!$E$123:$E$138)-1))))*(INDEX(Tables!$F$123:$F$138,MAX(1,MIN(IFERROR(MATCH(U62,Tables!$E$123:$E$138,1),1),ROWS(Tables!$E$123:$E$138)-1))+1)-INDEX(Tables!$F$123:$F$138,MAX(1,MIN(IFERROR(MATCH(U62,Tables!$E$123:$E$138,1),1),ROWS(Tables!$E$123:$E$138)-1))))/(INDEX(Tables!$E$123:$E$138,MAX(1,MIN(IFERROR(MATCH(U62,Tables!$E$123:$E$138,1),1),ROWS(Tables!$E$123:$E$138)-1))+1)-INDEX(Tables!$E$123:$E$138,MAX(1,MIN(IFERROR(MATCH(U62,Tables!$E$123:$E$138,1),1),ROWS(Tables!$E$123:$E$138)-1))))),(INDEX(Tables!$H$123:$H$138,MAX(1,MIN(IFERROR(MATCH(U62,Tables!$G$123:$G$138,1),1),ROWS(Tables!$G$123:$G$138)-1)))+(U62-INDEX(Tables!$G$123:$G$138,MAX(1,MIN(IFERROR(MATCH(U62,Tables!$G$123:$G$138,1),1),ROWS(Tables!$G$123:$G$138)-1))))*(INDEX(Tables!$H$123:$H$138,MAX(1,MIN(IFERROR(MATCH(U62,Tables!$G$123:$G$138,1),1),ROWS(Tables!$G$123:$G$138)-1))+1)-INDEX(Tables!$H$123:$H$138,MAX(1,MIN(IFERROR(MATCH(U62,Tables!$G$123:$G$138,1),1),ROWS(Tables!$G$123:$G$138)-1))))/(INDEX(Tables!$G$123:$G$138,MAX(1,MIN(IFERROR(MATCH(U62,Tables!$G$123:$G$138,1),1),ROWS(Tables!$G$123:$G$138)-1))+1)-INDEX(Tables!$G$123:$G$138,MAX(1,MIN(IFERROR(MATCH(U62,Tables!$G$123:$G$138,1),1),ROWS(Tables!$G$123:$G$138)-1))))))))</f>
        <v>0.57750000000000001</v>
      </c>
      <c r="AR62" s="181">
        <f>IF(OR(P62&gt;=4,U62&gt;12),VLOOKUP(R62&amp;" "&amp;S62,Tables!$D$143:$F$148,2,FALSE),VLOOKUP(R62&amp;" "&amp;S62,Tables!$A$143:$C$148,2,FALSE))</f>
        <v>1.1000000000000001</v>
      </c>
      <c r="AS62" s="181">
        <f>IF(OR(P62&gt;=4,U62&gt;12),VLOOKUP(R62&amp;" "&amp;S62,Tables!$D$143:$F$148,3,FALSE),VLOOKUP(R62&amp;" "&amp;S62,Tables!$A$143:$C$148,3,FALSE))</f>
        <v>1</v>
      </c>
      <c r="AT62" s="181">
        <f t="shared" si="40"/>
        <v>1184.0461494220021</v>
      </c>
      <c r="AU62" s="181">
        <f>IF(AD62=5000,(INDEX(Tables!$B$244:$B$263,MAX(1,MIN(IFERROR(MATCH(AF62,Tables!$A$244:$A$263,1),1),ROWS(Tables!$A$244:$A$263)-1)))+(AF62-INDEX(Tables!$A$244:$A$263,MAX(1,MIN(IFERROR(MATCH(AF62,Tables!$A$244:$A$263,1),1),ROWS(Tables!$A$244:$A$263)-1))))*(INDEX(Tables!$B$244:$B$263,MAX(1,MIN(IFERROR(MATCH(AF62,Tables!$A$244:$A$263,1),1),ROWS(Tables!$A$244:$A$263)-1))+1)-INDEX(Tables!$B$244:$B$263,MAX(1,MIN(IFERROR(MATCH(AF62,Tables!$A$244:$A$263,1),1),ROWS(Tables!$A$244:$A$263)-1))))/(INDEX(Tables!$A$244:$A$263,MAX(1,MIN(IFERROR(MATCH(AF62,Tables!$A$244:$A$263,1),1),ROWS(Tables!$A$244:$A$263)-1))+1)-INDEX(Tables!$A$244:$A$263,MAX(1,MIN(IFERROR(MATCH(AF62,Tables!$A$244:$A$263,1),1),ROWS(Tables!$A$244:$A$263)-1))))),IF(AD62=10000,(INDEX(Tables!$D$244:$D$263,MAX(1,MIN(IFERROR(MATCH(AF62,Tables!$C$244:$C$263,1),1),ROWS(Tables!$C$244:$C$263)-1)))+(AF62-INDEX(Tables!$C$244:$C$263,MAX(1,MIN(IFERROR(MATCH(AF62,Tables!$C$244:$C$263,1),1),ROWS(Tables!$C$244:$C$263)-1))))*(INDEX(Tables!$D$244:$D$263,MAX(1,MIN(IFERROR(MATCH(AF62,Tables!$C$244:$C$263,1),1),ROWS(Tables!$C$244:$C$263)-1))+1)-INDEX(Tables!$D$244:$D$263,MAX(1,MIN(IFERROR(MATCH(AF62,Tables!$C$244:$C$263,1),1),ROWS(Tables!$C$244:$C$263)-1))))/(INDEX(Tables!$C$244:$C$263,MAX(1,MIN(IFERROR(MATCH(AF62,Tables!$C$244:$C$263,1),1),ROWS(Tables!$C$244:$C$263)-1))+1)-INDEX(Tables!$C$244:$C$263,MAX(1,MIN(IFERROR(MATCH(AF62,Tables!$C$244:$C$263,1),1),ROWS(Tables!$C$244:$C$263)-1))))),(INDEX(Tables!$F$244:$F$263,MAX(1,MIN(IFERROR(MATCH(AF62,Tables!$E$244:$E$263,1),1),ROWS(Tables!$E$244:$E$263)-1)))+(AF62-INDEX(Tables!$E$244:$E$263,MAX(1,MIN(IFERROR(MATCH(AF62,Tables!$E$244:$E$263,1),1),ROWS(Tables!$E$244:$E$263)-1))))*(INDEX(Tables!$F$244:$F$263,MAX(1,MIN(IFERROR(MATCH(AF62,Tables!$E$244:$E$263,1),1),ROWS(Tables!$E$244:$E$263)-1))+1)-INDEX(Tables!$F$244:$F$263,MAX(1,MIN(IFERROR(MATCH(AF62,Tables!$E$244:$E$263,1),1),ROWS(Tables!$E$244:$E$263)-1))))/(INDEX(Tables!$E$244:$E$263,MAX(1,MIN(IFERROR(MATCH(AF62,Tables!$E$244:$E$263,1),1),ROWS(Tables!$E$244:$E$263)-1))+1)-INDEX(Tables!$E$244:$E$263,MAX(1,MIN(IFERROR(MATCH(AF62,Tables!$E$244:$E$263,1),1),ROWS(Tables!$E$244:$E$263)-1)))))))</f>
        <v>14.659000000000001</v>
      </c>
      <c r="AV62" s="181">
        <f>IF(P62&lt;6,(INDEX(Tables!$B$260:$B$274,MAX(1,MIN(IFERROR(MATCH(U62,Tables!$A$260:$A$274,1),1),ROWS(Tables!$A$260:$A$274)-1)))+(U62-INDEX(Tables!$A$260:$A$274,MAX(1,MIN(IFERROR(MATCH(U62,Tables!$A$260:$A$274,1),1),ROWS(Tables!$A$260:$A$274)-1))))*(INDEX(Tables!$B$260:$B$274,MAX(1,MIN(IFERROR(MATCH(U62,Tables!$A$260:$A$274,1),1),ROWS(Tables!$A$260:$A$274)-1))+1)-INDEX(Tables!$B$260:$B$274,MAX(1,MIN(IFERROR(MATCH(U62,Tables!$A$260:$A$274,1),1),ROWS(Tables!$A$260:$A$274)-1))))/(INDEX(Tables!$A$260:$A$274,MAX(1,MIN(IFERROR(MATCH(U62,Tables!$A$260:$A$274,1),1),ROWS(Tables!$A$260:$A$274)-1))+1)-INDEX(Tables!$A$260:$A$274,MAX(1,MIN(IFERROR(MATCH(U62,Tables!$A$260:$A$274,1),1),ROWS(Tables!$A$260:$A$274)-1))))),IF(P62&lt;8,(INDEX(Tables!$D$260:$D$274,MAX(1,MIN(IFERROR(MATCH(U62,Tables!$C$260:$C$274,1),1),ROWS(Tables!$C$260:$C$274)-1)))+(U62-INDEX(Tables!$C$260:$C$274,MAX(1,MIN(IFERROR(MATCH(U62,Tables!$C$260:$C$274,1),1),ROWS(Tables!$C$260:$C$274)-1))))*(INDEX(Tables!$D$260:$D$274,MAX(1,MIN(IFERROR(MATCH(U62,Tables!$C$260:$C$274,1),1),ROWS(Tables!$C$260:$C$274)-1))+1)-INDEX(Tables!$D$260:$D$274,MAX(1,MIN(IFERROR(MATCH(U62,Tables!$C$260:$C$274,1),1),ROWS(Tables!$C$260:$C$274)-1))))/(INDEX(Tables!$C$260:$C$274,MAX(1,MIN(IFERROR(MATCH(U62,Tables!$C$260:$C$274,1),1),ROWS(Tables!$C$260:$C$274)-1))+1)-INDEX(Tables!$C$260:$C$274,MAX(1,MIN(IFERROR(MATCH(U62,Tables!$C$260:$C$274,1),1),ROWS(Tables!$C$260:$C$274)-1))))),IF(P62&lt;10,(INDEX(Tables!$F$260:$F$274,MAX(1,MIN(IFERROR(MATCH(U62,Tables!$E$260:$E$274,1),1),ROWS(Tables!$E$260:$E$274)-1)))+(U62-INDEX(Tables!$E$260:$E$274,MAX(1,MIN(IFERROR(MATCH(U62,Tables!$E$260:$E$274,1),1),ROWS(Tables!$E$260:$E$274)-1))))*(INDEX(Tables!$F$260:$F$274,MAX(1,MIN(IFERROR(MATCH(U62,Tables!$E$260:$E$274,1),1),ROWS(Tables!$E$260:$E$274)-1))+1)-INDEX(Tables!$F$260:$F$274,MAX(1,MIN(IFERROR(MATCH(U62,Tables!$E$260:$E$274,1),1),ROWS(Tables!$E$260:$E$274)-1))))/(INDEX(Tables!$E$260:$E$274,MAX(1,MIN(IFERROR(MATCH(U62,Tables!$E$260:$E$274,1),1),ROWS(Tables!$E$260:$E$274)-1))+1)-INDEX(Tables!$E$260:$E$274,MAX(1,MIN(IFERROR(MATCH(U62,Tables!$E$260:$E$274,1),1),ROWS(Tables!$E$260:$E$274)-1))))),(INDEX(Tables!$H$260:$H$274,MAX(1,MIN(IFERROR(MATCH(U62,Tables!$G$260:$G$274,1),1),ROWS(Tables!$G$260:$G$274)-1)))+(U62-INDEX(Tables!$G$260:$G$274,MAX(1,MIN(IFERROR(MATCH(U62,Tables!$G$260:$G$274,1),1),ROWS(Tables!$G$260:$G$274)-1))))*(INDEX(Tables!$H$260:$H$274,MAX(1,MIN(IFERROR(MATCH(U62,Tables!$G$260:$G$274,1),1),ROWS(Tables!$G$260:$G$274)-1))+1)-INDEX(Tables!$H$260:$H$274,MAX(1,MIN(IFERROR(MATCH(U62,Tables!$G$260:$G$274,1),1),ROWS(Tables!$G$260:$G$274)-1))))/(INDEX(Tables!$G$260:$G$274,MAX(1,MIN(IFERROR(MATCH(U62,Tables!$G$260:$G$274,1),1),ROWS(Tables!$G$260:$G$274)-1))+1)-INDEX(Tables!$G$260:$G$274,MAX(1,MIN(IFERROR(MATCH(U62,Tables!$G$260:$G$274,1),1),ROWS(Tables!$G$260:$G$274)-1))))))))</f>
        <v>0.64533333333333331</v>
      </c>
      <c r="AW62" s="181">
        <f t="shared" si="41"/>
        <v>978.64086515356826</v>
      </c>
      <c r="AX62" s="181">
        <f t="shared" si="42"/>
        <v>47500</v>
      </c>
      <c r="AY62" s="181">
        <f t="shared" si="43"/>
        <v>62479.894541849353</v>
      </c>
      <c r="AZ62" s="181">
        <f t="shared" si="44"/>
        <v>19367.395382881772</v>
      </c>
      <c r="BA62" s="181">
        <f t="shared" si="45"/>
        <v>-1000</v>
      </c>
      <c r="BB62" s="181">
        <f t="shared" si="46"/>
        <v>56139.181457601109</v>
      </c>
      <c r="BC62" s="181">
        <f t="shared" si="47"/>
        <v>46800</v>
      </c>
      <c r="BD62" s="181">
        <f>VLOOKUP(V62&amp;" "&amp;J62,Tables!$A$152:$E$239,4,FALSE)</f>
        <v>12000</v>
      </c>
      <c r="BE62" s="181">
        <f>VLOOKUP(V62&amp;" "&amp;J62,Tables!$A$152:$E$239,5,FALSE)</f>
        <v>23000</v>
      </c>
      <c r="BF62" s="181">
        <f t="shared" si="48"/>
        <v>8640</v>
      </c>
      <c r="BG62" s="181">
        <f t="shared" si="49"/>
        <v>16560</v>
      </c>
      <c r="BH62" s="181">
        <f t="shared" si="50"/>
        <v>48000</v>
      </c>
      <c r="BI62" s="181">
        <f t="shared" si="51"/>
        <v>46800</v>
      </c>
      <c r="BJ62" s="181">
        <f t="shared" si="52"/>
        <v>56139.181457601109</v>
      </c>
      <c r="BK62" s="181">
        <f t="shared" si="53"/>
        <v>46800</v>
      </c>
      <c r="BL62" s="181">
        <f t="shared" si="54"/>
        <v>978.64086515356826</v>
      </c>
      <c r="BM62" s="181">
        <f t="shared" si="55"/>
        <v>8640</v>
      </c>
      <c r="BN62" s="181">
        <f t="shared" si="56"/>
        <v>1184.0461494220021</v>
      </c>
      <c r="BO62" s="181">
        <f t="shared" si="57"/>
        <v>16560</v>
      </c>
      <c r="BP62" t="str">
        <f t="shared" si="58"/>
        <v>Fail</v>
      </c>
      <c r="BQ62" t="str">
        <f t="shared" si="59"/>
        <v>Fail</v>
      </c>
      <c r="BR62" t="str">
        <f t="shared" si="60"/>
        <v>Pass</v>
      </c>
      <c r="BS62" t="str">
        <f t="shared" si="61"/>
        <v>Pass</v>
      </c>
      <c r="BT62" t="str">
        <f t="shared" si="62"/>
        <v>Fail</v>
      </c>
      <c r="BU62" t="str">
        <f t="shared" si="63"/>
        <v>Effective Stress</v>
      </c>
    </row>
    <row r="63" spans="1:73">
      <c r="A63" t="s">
        <v>655</v>
      </c>
      <c r="B63" s="181">
        <v>61</v>
      </c>
      <c r="C63" t="s">
        <v>594</v>
      </c>
      <c r="D63" s="181">
        <v>36</v>
      </c>
      <c r="E63" s="181">
        <v>0.312</v>
      </c>
      <c r="F63" t="s">
        <v>117</v>
      </c>
      <c r="G63" t="s">
        <v>119</v>
      </c>
      <c r="H63" t="s">
        <v>122</v>
      </c>
      <c r="I63" s="181">
        <v>1</v>
      </c>
      <c r="J63" t="s">
        <v>126</v>
      </c>
      <c r="K63" t="s">
        <v>129</v>
      </c>
      <c r="L63" s="181">
        <v>70</v>
      </c>
      <c r="M63" s="181">
        <v>1000</v>
      </c>
      <c r="N63" t="s">
        <v>388</v>
      </c>
      <c r="O63" s="181">
        <v>120</v>
      </c>
      <c r="P63" s="181">
        <v>14</v>
      </c>
      <c r="Q63" s="181">
        <v>38</v>
      </c>
      <c r="R63" t="s">
        <v>417</v>
      </c>
      <c r="S63" t="s">
        <v>156</v>
      </c>
      <c r="T63" s="181">
        <v>70</v>
      </c>
      <c r="U63" s="181">
        <f>HLOOKUP(D63,'Highway Loading'!$C$155:$AD$156,2,FALSE)</f>
        <v>36</v>
      </c>
      <c r="V63" s="181">
        <f>IF(ISBLANK(G63),"",INDEX('Highway Loading'!$C$216:$AG$216,1,MATCH(G63,'Highway Loading'!$C$215:$AG$215,0)))</f>
        <v>65000</v>
      </c>
      <c r="W63" s="181">
        <f>INDEX('Highway Loading'!$I$245:$L$253,MATCH(H63,'Highway Loading'!$H$245:$H$253,0),MATCH(I63,'Highway Loading'!$I$244:$L$244,0))</f>
        <v>0.72</v>
      </c>
      <c r="X63" s="181">
        <f t="shared" si="32"/>
        <v>1</v>
      </c>
      <c r="Y63" s="181">
        <f>VLOOKUP(K63,'Highway Loading'!$B$283:$E$292,2,FALSE)</f>
        <v>29000000</v>
      </c>
      <c r="Z63" s="181">
        <f>VLOOKUP(K63,'Highway Loading'!$B$283:$E$292,3,FALSE)</f>
        <v>0.3</v>
      </c>
      <c r="AA63" s="181">
        <f>VLOOKUP(K63,'Highway Loading'!$B$283:$E$292,4,FALSE)</f>
        <v>6.4999999999999996E-6</v>
      </c>
      <c r="AB63" s="181">
        <f t="shared" si="33"/>
        <v>1</v>
      </c>
      <c r="AC63" s="181">
        <f>VLOOKUP(N63,'Highway Loading'!$B$256:$D$261,2,FALSE)</f>
        <v>200</v>
      </c>
      <c r="AD63" s="181">
        <f>VLOOKUP(N63,'Highway Loading'!$B$256:$D$261,3,FALSE)</f>
        <v>5000</v>
      </c>
      <c r="AE63" s="181">
        <f>VLOOKUP(S63,'Highway Loading'!$B$340:$C$341,2,FALSE)</f>
        <v>10000</v>
      </c>
      <c r="AF63" s="181">
        <f t="shared" si="34"/>
        <v>8.6666666666666663E-3</v>
      </c>
      <c r="AG63" s="181">
        <f t="shared" si="35"/>
        <v>4.4210526315789478</v>
      </c>
      <c r="AH63" s="181">
        <f t="shared" si="36"/>
        <v>1.0555555555555556</v>
      </c>
      <c r="AI63" s="181">
        <f t="shared" si="37"/>
        <v>57692.307692307695</v>
      </c>
      <c r="AJ63" s="181">
        <f t="shared" si="38"/>
        <v>46800</v>
      </c>
      <c r="AK63" s="181">
        <f>IF(AC63=200,(INDEX(Tables!$B$17:$B$38,MAX(1,MIN(IFERROR(MATCH(AF63,Tables!$A$17:$A$38,1),1),ROWS(Tables!$A$17:$A$38)-1)))+(AF63-INDEX(Tables!$A$17:$A$38,MAX(1,MIN(IFERROR(MATCH(AF63,Tables!$A$17:$A$38,1),1),ROWS(Tables!$A$17:$A$38)-1))))*(INDEX(Tables!$B$17:$B$38,MAX(1,MIN(IFERROR(MATCH(AF63,Tables!$A$17:$A$38,1),1),ROWS(Tables!$A$17:$A$38)-1))+1)-INDEX(Tables!$B$17:$B$38,MAX(1,MIN(IFERROR(MATCH(AF63,Tables!$A$17:$A$38,1),1),ROWS(Tables!$A$17:$A$38)-1))))/(INDEX(Tables!$A$17:$A$38,MAX(1,MIN(IFERROR(MATCH(AF63,Tables!$A$17:$A$38,1),1),ROWS(Tables!$A$17:$A$38)-1))+1)-INDEX(Tables!$A$17:$A$38,MAX(1,MIN(IFERROR(MATCH(AF63,Tables!$A$17:$A$38,1),1),ROWS(Tables!$A$17:$A$38)-1))))),IF(AC63=500,(INDEX(Tables!$D$17:$D$38,MAX(1,MIN(IFERROR(MATCH(AF63,Tables!$C$17:$C$38,1),1),ROWS(Tables!$C$17:$C$38)-1)))+(AF63-INDEX(Tables!$C$17:$C$38,MAX(1,MIN(IFERROR(MATCH(AF63,Tables!$C$17:$C$38,1),1),ROWS(Tables!$C$17:$C$38)-1))))*(INDEX(Tables!$D$17:$D$38,MAX(1,MIN(IFERROR(MATCH(AF63,Tables!$C$17:$C$38,1),1),ROWS(Tables!$C$17:$C$38)-1))+1)-INDEX(Tables!$D$17:$D$38,MAX(1,MIN(IFERROR(MATCH(AF63,Tables!$C$17:$C$38,1),1),ROWS(Tables!$C$17:$C$38)-1))))/(INDEX(Tables!$C$17:$C$38,MAX(1,MIN(IFERROR(MATCH(AF63,Tables!$C$17:$C$38,1),1),ROWS(Tables!$C$17:$C$38)-1))+1)-INDEX(Tables!$C$17:$C$38,MAX(1,MIN(IFERROR(MATCH(AF63,Tables!$C$17:$C$38,1),1),ROWS(Tables!$C$17:$C$38)-1))))),IF(AC63=1000,(INDEX(Tables!$F$17:$F$38,MAX(1,MIN(IFERROR(MATCH(AF63,Tables!$E$17:$E$38,1),1),ROWS(Tables!$E$17:$E$38)-1)))+(AF63-INDEX(Tables!$E$17:$E$38,MAX(1,MIN(IFERROR(MATCH(AF63,Tables!$E$17:$E$38,1),1),ROWS(Tables!$E$17:$E$38)-1))))*(INDEX(Tables!$F$17:$F$38,MAX(1,MIN(IFERROR(MATCH(AF63,Tables!$E$17:$E$38,1),1),ROWS(Tables!$E$17:$E$38)-1))+1)-INDEX(Tables!$F$17:$F$38,MAX(1,MIN(IFERROR(MATCH(AF63,Tables!$E$17:$E$38,1),1),ROWS(Tables!$E$17:$E$38)-1))))/(INDEX(Tables!$E$17:$E$38,MAX(1,MIN(IFERROR(MATCH(AF63,Tables!$E$17:$E$38,1),1),ROWS(Tables!$E$17:$E$38)-1))+1)-INDEX(Tables!$E$17:$E$38,MAX(1,MIN(IFERROR(MATCH(AF63,Tables!$E$17:$E$38,1),1),ROWS(Tables!$E$17:$E$38)-1))))),(INDEX(Tables!$H$17:$H$38,MAX(1,MIN(IFERROR(MATCH(AF63,Tables!$G$17:$G$38,1),1),ROWS(Tables!$G$17:$G$38)-1)))+(AF63-INDEX(Tables!$G$17:$G$38,MAX(1,MIN(IFERROR(MATCH(AF63,Tables!$G$17:$G$38,1),1),ROWS(Tables!$G$17:$G$38)-1))))*(INDEX(Tables!$H$17:$H$38,MAX(1,MIN(IFERROR(MATCH(AF63,Tables!$G$17:$G$38,1),1),ROWS(Tables!$G$17:$G$38)-1))+1)-INDEX(Tables!$H$17:$H$38,MAX(1,MIN(IFERROR(MATCH(AF63,Tables!$G$17:$G$38,1),1),ROWS(Tables!$G$17:$G$38)-1))))/(INDEX(Tables!$G$17:$G$38,MAX(1,MIN(IFERROR(MATCH(AF63,Tables!$G$17:$G$38,1),1),ROWS(Tables!$G$17:$G$38)-1))+1)-INDEX(Tables!$G$17:$G$38,MAX(1,MIN(IFERROR(MATCH(AF63,Tables!$G$17:$G$38,1),1),ROWS(Tables!$G$17:$G$38)-1))))))))</f>
        <v>10674.666666666668</v>
      </c>
      <c r="AL63" s="181">
        <f>IF(AC63&lt;1000,(INDEX(Tables!$B$43:$B$76,MAX(1,MIN(IFERROR(MATCH(AG63,Tables!$A$43:$A$76,1),1),ROWS(Tables!$A$43:$A$76)-1)))+(AG63-INDEX(Tables!$A$43:$A$76,MAX(1,MIN(IFERROR(MATCH(AG63,Tables!$A$43:$A$76,1),1),ROWS(Tables!$A$43:$A$76)-1))))*(INDEX(Tables!$B$43:$B$76,MAX(1,MIN(IFERROR(MATCH(AG63,Tables!$A$43:$A$76,1),1),ROWS(Tables!$A$43:$A$76)-1))+1)-INDEX(Tables!$B$43:$B$76,MAX(1,MIN(IFERROR(MATCH(AG63,Tables!$A$43:$A$76,1),1),ROWS(Tables!$A$43:$A$76)-1))))/(INDEX(Tables!$A$43:$A$76,MAX(1,MIN(IFERROR(MATCH(AG63,Tables!$A$43:$A$76,1),1),ROWS(Tables!$A$43:$A$76)-1))+1)-INDEX(Tables!$A$43:$A$76,MAX(1,MIN(IFERROR(MATCH(AG63,Tables!$A$43:$A$76,1),1),ROWS(Tables!$A$43:$A$76)-1))))),(INDEX(Tables!$D$43:$D$76,MAX(1,MIN(IFERROR(MATCH(AG63,Tables!$C$43:$C$76,1),1),ROWS(Tables!$C$43:$C$76)-1)))+(AG63-INDEX(Tables!$C$43:$C$76,MAX(1,MIN(IFERROR(MATCH(AG63,Tables!$C$43:$C$76,1),1),ROWS(Tables!$C$43:$C$76)-1))))*(INDEX(Tables!$D$43:$D$76,MAX(1,MIN(IFERROR(MATCH(AG63,Tables!$C$43:$C$76,1),1),ROWS(Tables!$C$43:$C$76)-1))+1)-INDEX(Tables!$D$43:$D$76,MAX(1,MIN(IFERROR(MATCH(AG63,Tables!$C$43:$C$76,1),1),ROWS(Tables!$C$43:$C$76)-1))))/(INDEX(Tables!$C$43:$C$76,MAX(1,MIN(IFERROR(MATCH(AG63,Tables!$C$43:$C$76,1),1),ROWS(Tables!$C$43:$C$76)-1))+1)-INDEX(Tables!$C$43:$C$76,MAX(1,MIN(IFERROR(MATCH(AG63,Tables!$C$43:$C$76,1),1),ROWS(Tables!$C$43:$C$76)-1))))))</f>
        <v>1.022578947368421</v>
      </c>
      <c r="AM63" s="181">
        <f>(INDEX(Tables!$B$80:$B$87,MAX(1,MIN(IFERROR(MATCH(AH63,Tables!$A$80:$A$87,1),1),ROWS(Tables!$A$80:$A$87)-1)))+(AH63-INDEX(Tables!$A$80:$A$87,MAX(1,MIN(IFERROR(MATCH(AH63,Tables!$A$80:$A$87,1),1),ROWS(Tables!$A$80:$A$87)-1))))*(INDEX(Tables!$B$80:$B$87,MAX(1,MIN(IFERROR(MATCH(AH63,Tables!$A$80:$A$87,1),1),ROWS(Tables!$A$80:$A$87)-1))+1)-INDEX(Tables!$B$80:$B$87,MAX(1,MIN(IFERROR(MATCH(AH63,Tables!$A$80:$A$87,1),1),ROWS(Tables!$A$80:$A$87)-1))))/(INDEX(Tables!$A$80:$A$87,MAX(1,MIN(IFERROR(MATCH(AH63,Tables!$A$80:$A$87,1),1),ROWS(Tables!$A$80:$A$87)-1))+1)-INDEX(Tables!$A$80:$A$87,MAX(1,MIN(IFERROR(MATCH(AH63,Tables!$A$80:$A$87,1),1),ROWS(Tables!$A$80:$A$87)-1)))))</f>
        <v>0.91873333333333329</v>
      </c>
      <c r="AN63" s="181">
        <f t="shared" si="39"/>
        <v>25071.519278292399</v>
      </c>
      <c r="AO63" s="181">
        <f>(INDEX(Tables!$B$91:$B$94,MAX(1,MIN(IFERROR(MATCH(P63,Tables!$A$91:$A$94,1),1),ROWS(Tables!$A$91:$A$94)-1)))+(P63-INDEX(Tables!$A$91:$A$94,MAX(1,MIN(IFERROR(MATCH(P63,Tables!$A$91:$A$94,1),1),ROWS(Tables!$A$91:$A$94)-1))))*(INDEX(Tables!$B$91:$B$94,MAX(1,MIN(IFERROR(MATCH(P63,Tables!$A$91:$A$94,1),1),ROWS(Tables!$A$91:$A$94)-1))+1)-INDEX(Tables!$B$91:$B$94,MAX(1,MIN(IFERROR(MATCH(P63,Tables!$A$91:$A$94,1),1),ROWS(Tables!$A$91:$A$94)-1))))/(INDEX(Tables!$A$91:$A$94,MAX(1,MIN(IFERROR(MATCH(P63,Tables!$A$91:$A$94,1),1),ROWS(Tables!$A$91:$A$94)-1))+1)-INDEX(Tables!$A$91:$A$94,MAX(1,MIN(IFERROR(MATCH(P63,Tables!$A$91:$A$94,1),1),ROWS(Tables!$A$91:$A$94)-1)))))</f>
        <v>1.2323170731707318</v>
      </c>
      <c r="AP63" s="181">
        <f>IF(AD63=5000,(INDEX(Tables!$B$99:$B$118,MAX(1,MIN(IFERROR(MATCH(AF63,Tables!$A$99:$A$118,1),1),ROWS(Tables!$A$99:$A$118)-1)))+(AF63-INDEX(Tables!$A$99:$A$118,MAX(1,MIN(IFERROR(MATCH(AF63,Tables!$A$99:$A$118,1),1),ROWS(Tables!$A$99:$A$118)-1))))*(INDEX(Tables!$B$99:$B$118,MAX(1,MIN(IFERROR(MATCH(AF63,Tables!$A$99:$A$118,1),1),ROWS(Tables!$A$99:$A$118)-1))+1)-INDEX(Tables!$B$99:$B$118,MAX(1,MIN(IFERROR(MATCH(AF63,Tables!$A$99:$A$118,1),1),ROWS(Tables!$A$99:$A$118)-1))))/(INDEX(Tables!$A$99:$A$118,MAX(1,MIN(IFERROR(MATCH(AF63,Tables!$A$99:$A$118,1),1),ROWS(Tables!$A$99:$A$118)-1))+1)-INDEX(Tables!$A$99:$A$118,MAX(1,MIN(IFERROR(MATCH(AF63,Tables!$A$99:$A$118,1),1),ROWS(Tables!$A$99:$A$118)-1))))),IF(AD63=10000,(INDEX(Tables!$D$99:$D$118,MAX(1,MIN(IFERROR(MATCH(AF63,Tables!$C$99:$C$118,1),1),ROWS(Tables!$C$99:$C$118)-1)))+(AF63-INDEX(Tables!$C$99:$C$118,MAX(1,MIN(IFERROR(MATCH(AF63,Tables!$C$99:$C$118,1),1),ROWS(Tables!$C$99:$C$118)-1))))*(INDEX(Tables!$D$99:$D$118,MAX(1,MIN(IFERROR(MATCH(AF63,Tables!$C$99:$C$118,1),1),ROWS(Tables!$C$99:$C$118)-1))+1)-INDEX(Tables!$D$99:$D$118,MAX(1,MIN(IFERROR(MATCH(AF63,Tables!$C$99:$C$118,1),1),ROWS(Tables!$C$99:$C$118)-1))))/(INDEX(Tables!$C$99:$C$118,MAX(1,MIN(IFERROR(MATCH(AF63,Tables!$C$99:$C$118,1),1),ROWS(Tables!$C$99:$C$118)-1))+1)-INDEX(Tables!$C$99:$C$118,MAX(1,MIN(IFERROR(MATCH(AF63,Tables!$C$99:$C$118,1),1),ROWS(Tables!$C$99:$C$118)-1))))),(INDEX(Tables!$F$99:$F$118,MAX(1,MIN(IFERROR(MATCH(AF63,Tables!$E$99:$E$118,1),1),ROWS(Tables!$E$99:$E$118)-1)))+(AF63-INDEX(Tables!$E$99:$E$118,MAX(1,MIN(IFERROR(MATCH(AF63,Tables!$E$99:$E$118,1),1),ROWS(Tables!$E$99:$E$118)-1))))*(INDEX(Tables!$F$99:$F$118,MAX(1,MIN(IFERROR(MATCH(AF63,Tables!$E$99:$E$118,1),1),ROWS(Tables!$E$99:$E$118)-1))+1)-INDEX(Tables!$F$99:$F$118,MAX(1,MIN(IFERROR(MATCH(AF63,Tables!$E$99:$E$118,1),1),ROWS(Tables!$E$99:$E$118)-1))))/(INDEX(Tables!$E$99:$E$118,MAX(1,MIN(IFERROR(MATCH(AF63,Tables!$E$99:$E$118,1),1),ROWS(Tables!$E$99:$E$118)-1))+1)-INDEX(Tables!$E$99:$E$118,MAX(1,MIN(IFERROR(MATCH(AF63,Tables!$E$99:$E$118,1),1),ROWS(Tables!$E$99:$E$118)-1)))))))</f>
        <v>19.818999999999999</v>
      </c>
      <c r="AQ63" s="181">
        <f>IF(P63&lt;6,(INDEX(Tables!$B$123:$B$138,MAX(1,MIN(IFERROR(MATCH(U63,Tables!$A$123:$A$138,1),1),ROWS(Tables!$A$123:$A$138)-1)))+(U63-INDEX(Tables!$A$123:$A$138,MAX(1,MIN(IFERROR(MATCH(U63,Tables!$A$123:$A$138,1),1),ROWS(Tables!$A$123:$A$138)-1))))*(INDEX(Tables!$B$123:$B$138,MAX(1,MIN(IFERROR(MATCH(U63,Tables!$A$123:$A$138,1),1),ROWS(Tables!$A$123:$A$138)-1))+1)-INDEX(Tables!$B$123:$B$138,MAX(1,MIN(IFERROR(MATCH(U63,Tables!$A$123:$A$138,1),1),ROWS(Tables!$A$123:$A$138)-1))))/(INDEX(Tables!$A$123:$A$138,MAX(1,MIN(IFERROR(MATCH(U63,Tables!$A$123:$A$138,1),1),ROWS(Tables!$A$123:$A$138)-1))+1)-INDEX(Tables!$A$123:$A$138,MAX(1,MIN(IFERROR(MATCH(U63,Tables!$A$123:$A$138,1),1),ROWS(Tables!$A$123:$A$138)-1))))),IF(P63&lt;8,(INDEX(Tables!$D$123:$D$138,MAX(1,MIN(IFERROR(MATCH(U63,Tables!$C$123:$C$138,1),1),ROWS(Tables!$C$123:$C$138)-1)))+(U63-INDEX(Tables!$C$123:$C$138,MAX(1,MIN(IFERROR(MATCH(U63,Tables!$C$123:$C$138,1),1),ROWS(Tables!$C$123:$C$138)-1))))*(INDEX(Tables!$D$123:$D$138,MAX(1,MIN(IFERROR(MATCH(U63,Tables!$C$123:$C$138,1),1),ROWS(Tables!$C$123:$C$138)-1))+1)-INDEX(Tables!$D$123:$D$138,MAX(1,MIN(IFERROR(MATCH(U63,Tables!$C$123:$C$138,1),1),ROWS(Tables!$C$123:$C$138)-1))))/(INDEX(Tables!$C$123:$C$138,MAX(1,MIN(IFERROR(MATCH(U63,Tables!$C$123:$C$138,1),1),ROWS(Tables!$C$123:$C$138)-1))+1)-INDEX(Tables!$C$123:$C$138,MAX(1,MIN(IFERROR(MATCH(U63,Tables!$C$123:$C$138,1),1),ROWS(Tables!$C$123:$C$138)-1))))),IF(P63&lt;10,(INDEX(Tables!$F$123:$F$138,MAX(1,MIN(IFERROR(MATCH(U63,Tables!$E$123:$E$138,1),1),ROWS(Tables!$E$123:$E$138)-1)))+(U63-INDEX(Tables!$E$123:$E$138,MAX(1,MIN(IFERROR(MATCH(U63,Tables!$E$123:$E$138,1),1),ROWS(Tables!$E$123:$E$138)-1))))*(INDEX(Tables!$F$123:$F$138,MAX(1,MIN(IFERROR(MATCH(U63,Tables!$E$123:$E$138,1),1),ROWS(Tables!$E$123:$E$138)-1))+1)-INDEX(Tables!$F$123:$F$138,MAX(1,MIN(IFERROR(MATCH(U63,Tables!$E$123:$E$138,1),1),ROWS(Tables!$E$123:$E$138)-1))))/(INDEX(Tables!$E$123:$E$138,MAX(1,MIN(IFERROR(MATCH(U63,Tables!$E$123:$E$138,1),1),ROWS(Tables!$E$123:$E$138)-1))+1)-INDEX(Tables!$E$123:$E$138,MAX(1,MIN(IFERROR(MATCH(U63,Tables!$E$123:$E$138,1),1),ROWS(Tables!$E$123:$E$138)-1))))),(INDEX(Tables!$H$123:$H$138,MAX(1,MIN(IFERROR(MATCH(U63,Tables!$G$123:$G$138,1),1),ROWS(Tables!$G$123:$G$138)-1)))+(U63-INDEX(Tables!$G$123:$G$138,MAX(1,MIN(IFERROR(MATCH(U63,Tables!$G$123:$G$138,1),1),ROWS(Tables!$G$123:$G$138)-1))))*(INDEX(Tables!$H$123:$H$138,MAX(1,MIN(IFERROR(MATCH(U63,Tables!$G$123:$G$138,1),1),ROWS(Tables!$G$123:$G$138)-1))+1)-INDEX(Tables!$H$123:$H$138,MAX(1,MIN(IFERROR(MATCH(U63,Tables!$G$123:$G$138,1),1),ROWS(Tables!$G$123:$G$138)-1))))/(INDEX(Tables!$G$123:$G$138,MAX(1,MIN(IFERROR(MATCH(U63,Tables!$G$123:$G$138,1),1),ROWS(Tables!$G$123:$G$138)-1))+1)-INDEX(Tables!$G$123:$G$138,MAX(1,MIN(IFERROR(MATCH(U63,Tables!$G$123:$G$138,1),1),ROWS(Tables!$G$123:$G$138)-1))))))))</f>
        <v>0.50060000000000004</v>
      </c>
      <c r="AR63" s="181">
        <f>IF(OR(P63&gt;=4,U63&gt;12),VLOOKUP(R63&amp;" "&amp;S63,Tables!$D$143:$F$148,2,FALSE),VLOOKUP(R63&amp;" "&amp;S63,Tables!$A$143:$C$148,2,FALSE))</f>
        <v>1.1000000000000001</v>
      </c>
      <c r="AS63" s="181">
        <f>IF(OR(P63&gt;=4,U63&gt;12),VLOOKUP(R63&amp;" "&amp;S63,Tables!$D$143:$F$148,3,FALSE),VLOOKUP(R63&amp;" "&amp;S63,Tables!$A$143:$C$148,3,FALSE))</f>
        <v>1</v>
      </c>
      <c r="AT63" s="181">
        <f t="shared" si="40"/>
        <v>933.95347312584715</v>
      </c>
      <c r="AU63" s="181">
        <f>IF(AD63=5000,(INDEX(Tables!$B$244:$B$263,MAX(1,MIN(IFERROR(MATCH(AF63,Tables!$A$244:$A$263,1),1),ROWS(Tables!$A$244:$A$263)-1)))+(AF63-INDEX(Tables!$A$244:$A$263,MAX(1,MIN(IFERROR(MATCH(AF63,Tables!$A$244:$A$263,1),1),ROWS(Tables!$A$244:$A$263)-1))))*(INDEX(Tables!$B$244:$B$263,MAX(1,MIN(IFERROR(MATCH(AF63,Tables!$A$244:$A$263,1),1),ROWS(Tables!$A$244:$A$263)-1))+1)-INDEX(Tables!$B$244:$B$263,MAX(1,MIN(IFERROR(MATCH(AF63,Tables!$A$244:$A$263,1),1),ROWS(Tables!$A$244:$A$263)-1))))/(INDEX(Tables!$A$244:$A$263,MAX(1,MIN(IFERROR(MATCH(AF63,Tables!$A$244:$A$263,1),1),ROWS(Tables!$A$244:$A$263)-1))+1)-INDEX(Tables!$A$244:$A$263,MAX(1,MIN(IFERROR(MATCH(AF63,Tables!$A$244:$A$263,1),1),ROWS(Tables!$A$244:$A$263)-1))))),IF(AD63=10000,(INDEX(Tables!$D$244:$D$263,MAX(1,MIN(IFERROR(MATCH(AF63,Tables!$C$244:$C$263,1),1),ROWS(Tables!$C$244:$C$263)-1)))+(AF63-INDEX(Tables!$C$244:$C$263,MAX(1,MIN(IFERROR(MATCH(AF63,Tables!$C$244:$C$263,1),1),ROWS(Tables!$C$244:$C$263)-1))))*(INDEX(Tables!$D$244:$D$263,MAX(1,MIN(IFERROR(MATCH(AF63,Tables!$C$244:$C$263,1),1),ROWS(Tables!$C$244:$C$263)-1))+1)-INDEX(Tables!$D$244:$D$263,MAX(1,MIN(IFERROR(MATCH(AF63,Tables!$C$244:$C$263,1),1),ROWS(Tables!$C$244:$C$263)-1))))/(INDEX(Tables!$C$244:$C$263,MAX(1,MIN(IFERROR(MATCH(AF63,Tables!$C$244:$C$263,1),1),ROWS(Tables!$C$244:$C$263)-1))+1)-INDEX(Tables!$C$244:$C$263,MAX(1,MIN(IFERROR(MATCH(AF63,Tables!$C$244:$C$263,1),1),ROWS(Tables!$C$244:$C$263)-1))))),(INDEX(Tables!$F$244:$F$263,MAX(1,MIN(IFERROR(MATCH(AF63,Tables!$E$244:$E$263,1),1),ROWS(Tables!$E$244:$E$263)-1)))+(AF63-INDEX(Tables!$E$244:$E$263,MAX(1,MIN(IFERROR(MATCH(AF63,Tables!$E$244:$E$263,1),1),ROWS(Tables!$E$244:$E$263)-1))))*(INDEX(Tables!$F$244:$F$263,MAX(1,MIN(IFERROR(MATCH(AF63,Tables!$E$244:$E$263,1),1),ROWS(Tables!$E$244:$E$263)-1))+1)-INDEX(Tables!$F$244:$F$263,MAX(1,MIN(IFERROR(MATCH(AF63,Tables!$E$244:$E$263,1),1),ROWS(Tables!$E$244:$E$263)-1))))/(INDEX(Tables!$E$244:$E$263,MAX(1,MIN(IFERROR(MATCH(AF63,Tables!$E$244:$E$263,1),1),ROWS(Tables!$E$244:$E$263)-1))+1)-INDEX(Tables!$E$244:$E$263,MAX(1,MIN(IFERROR(MATCH(AF63,Tables!$E$244:$E$263,1),1),ROWS(Tables!$E$244:$E$263)-1)))))))</f>
        <v>14.659000000000001</v>
      </c>
      <c r="AV63" s="181">
        <f>IF(P63&lt;6,(INDEX(Tables!$B$260:$B$274,MAX(1,MIN(IFERROR(MATCH(U63,Tables!$A$260:$A$274,1),1),ROWS(Tables!$A$260:$A$274)-1)))+(U63-INDEX(Tables!$A$260:$A$274,MAX(1,MIN(IFERROR(MATCH(U63,Tables!$A$260:$A$274,1),1),ROWS(Tables!$A$260:$A$274)-1))))*(INDEX(Tables!$B$260:$B$274,MAX(1,MIN(IFERROR(MATCH(U63,Tables!$A$260:$A$274,1),1),ROWS(Tables!$A$260:$A$274)-1))+1)-INDEX(Tables!$B$260:$B$274,MAX(1,MIN(IFERROR(MATCH(U63,Tables!$A$260:$A$274,1),1),ROWS(Tables!$A$260:$A$274)-1))))/(INDEX(Tables!$A$260:$A$274,MAX(1,MIN(IFERROR(MATCH(U63,Tables!$A$260:$A$274,1),1),ROWS(Tables!$A$260:$A$274)-1))+1)-INDEX(Tables!$A$260:$A$274,MAX(1,MIN(IFERROR(MATCH(U63,Tables!$A$260:$A$274,1),1),ROWS(Tables!$A$260:$A$274)-1))))),IF(P63&lt;8,(INDEX(Tables!$D$260:$D$274,MAX(1,MIN(IFERROR(MATCH(U63,Tables!$C$260:$C$274,1),1),ROWS(Tables!$C$260:$C$274)-1)))+(U63-INDEX(Tables!$C$260:$C$274,MAX(1,MIN(IFERROR(MATCH(U63,Tables!$C$260:$C$274,1),1),ROWS(Tables!$C$260:$C$274)-1))))*(INDEX(Tables!$D$260:$D$274,MAX(1,MIN(IFERROR(MATCH(U63,Tables!$C$260:$C$274,1),1),ROWS(Tables!$C$260:$C$274)-1))+1)-INDEX(Tables!$D$260:$D$274,MAX(1,MIN(IFERROR(MATCH(U63,Tables!$C$260:$C$274,1),1),ROWS(Tables!$C$260:$C$274)-1))))/(INDEX(Tables!$C$260:$C$274,MAX(1,MIN(IFERROR(MATCH(U63,Tables!$C$260:$C$274,1),1),ROWS(Tables!$C$260:$C$274)-1))+1)-INDEX(Tables!$C$260:$C$274,MAX(1,MIN(IFERROR(MATCH(U63,Tables!$C$260:$C$274,1),1),ROWS(Tables!$C$260:$C$274)-1))))),IF(P63&lt;10,(INDEX(Tables!$F$260:$F$274,MAX(1,MIN(IFERROR(MATCH(U63,Tables!$E$260:$E$274,1),1),ROWS(Tables!$E$260:$E$274)-1)))+(U63-INDEX(Tables!$E$260:$E$274,MAX(1,MIN(IFERROR(MATCH(U63,Tables!$E$260:$E$274,1),1),ROWS(Tables!$E$260:$E$274)-1))))*(INDEX(Tables!$F$260:$F$274,MAX(1,MIN(IFERROR(MATCH(U63,Tables!$E$260:$E$274,1),1),ROWS(Tables!$E$260:$E$274)-1))+1)-INDEX(Tables!$F$260:$F$274,MAX(1,MIN(IFERROR(MATCH(U63,Tables!$E$260:$E$274,1),1),ROWS(Tables!$E$260:$E$274)-1))))/(INDEX(Tables!$E$260:$E$274,MAX(1,MIN(IFERROR(MATCH(U63,Tables!$E$260:$E$274,1),1),ROWS(Tables!$E$260:$E$274)-1))+1)-INDEX(Tables!$E$260:$E$274,MAX(1,MIN(IFERROR(MATCH(U63,Tables!$E$260:$E$274,1),1),ROWS(Tables!$E$260:$E$274)-1))))),(INDEX(Tables!$H$260:$H$274,MAX(1,MIN(IFERROR(MATCH(U63,Tables!$G$260:$G$274,1),1),ROWS(Tables!$G$260:$G$274)-1)))+(U63-INDEX(Tables!$G$260:$G$274,MAX(1,MIN(IFERROR(MATCH(U63,Tables!$G$260:$G$274,1),1),ROWS(Tables!$G$260:$G$274)-1))))*(INDEX(Tables!$H$260:$H$274,MAX(1,MIN(IFERROR(MATCH(U63,Tables!$G$260:$G$274,1),1),ROWS(Tables!$G$260:$G$274)-1))+1)-INDEX(Tables!$H$260:$H$274,MAX(1,MIN(IFERROR(MATCH(U63,Tables!$G$260:$G$274,1),1),ROWS(Tables!$G$260:$G$274)-1))))/(INDEX(Tables!$G$260:$G$274,MAX(1,MIN(IFERROR(MATCH(U63,Tables!$G$260:$G$274,1),1),ROWS(Tables!$G$260:$G$274)-1))+1)-INDEX(Tables!$G$260:$G$274,MAX(1,MIN(IFERROR(MATCH(U63,Tables!$G$260:$G$274,1),1),ROWS(Tables!$G$260:$G$274)-1))))))))</f>
        <v>0.51828571428571424</v>
      </c>
      <c r="AW63" s="181">
        <f t="shared" si="41"/>
        <v>715.19791836769264</v>
      </c>
      <c r="AX63" s="181">
        <f t="shared" si="42"/>
        <v>57192.307692307695</v>
      </c>
      <c r="AY63" s="181">
        <f t="shared" si="43"/>
        <v>83197.780443725933</v>
      </c>
      <c r="AZ63" s="181">
        <f t="shared" si="44"/>
        <v>25394.346009547717</v>
      </c>
      <c r="BA63" s="181">
        <f t="shared" si="45"/>
        <v>-1000</v>
      </c>
      <c r="BB63" s="181">
        <f t="shared" si="46"/>
        <v>74589.425407720977</v>
      </c>
      <c r="BC63" s="181">
        <f t="shared" si="47"/>
        <v>46800</v>
      </c>
      <c r="BD63" s="181">
        <f>VLOOKUP(V63&amp;" "&amp;J63,Tables!$A$152:$E$239,4,FALSE)</f>
        <v>12000</v>
      </c>
      <c r="BE63" s="181">
        <f>VLOOKUP(V63&amp;" "&amp;J63,Tables!$A$152:$E$239,5,FALSE)</f>
        <v>23000</v>
      </c>
      <c r="BF63" s="181">
        <f t="shared" si="48"/>
        <v>8640</v>
      </c>
      <c r="BG63" s="181">
        <f t="shared" si="49"/>
        <v>16560</v>
      </c>
      <c r="BH63" s="181">
        <f t="shared" si="50"/>
        <v>57692.307692307695</v>
      </c>
      <c r="BI63" s="181">
        <f t="shared" si="51"/>
        <v>46800</v>
      </c>
      <c r="BJ63" s="181">
        <f t="shared" si="52"/>
        <v>74589.425407720977</v>
      </c>
      <c r="BK63" s="181">
        <f t="shared" si="53"/>
        <v>46800</v>
      </c>
      <c r="BL63" s="181">
        <f t="shared" si="54"/>
        <v>715.19791836769264</v>
      </c>
      <c r="BM63" s="181">
        <f t="shared" si="55"/>
        <v>8640</v>
      </c>
      <c r="BN63" s="181">
        <f t="shared" si="56"/>
        <v>933.95347312584715</v>
      </c>
      <c r="BO63" s="181">
        <f t="shared" si="57"/>
        <v>16560</v>
      </c>
      <c r="BP63" t="str">
        <f t="shared" si="58"/>
        <v>Fail</v>
      </c>
      <c r="BQ63" t="str">
        <f t="shared" si="59"/>
        <v>Fail</v>
      </c>
      <c r="BR63" t="str">
        <f t="shared" si="60"/>
        <v>Pass</v>
      </c>
      <c r="BS63" t="str">
        <f t="shared" si="61"/>
        <v>Pass</v>
      </c>
      <c r="BT63" t="str">
        <f t="shared" si="62"/>
        <v>Fail</v>
      </c>
      <c r="BU63" t="str">
        <f t="shared" si="63"/>
        <v>Effective Stress</v>
      </c>
    </row>
    <row r="64" spans="1:73">
      <c r="A64" t="s">
        <v>656</v>
      </c>
      <c r="B64" s="181">
        <v>62</v>
      </c>
      <c r="C64" t="s">
        <v>594</v>
      </c>
      <c r="D64" s="181">
        <v>48</v>
      </c>
      <c r="E64" s="181">
        <v>0.375</v>
      </c>
      <c r="F64" t="s">
        <v>117</v>
      </c>
      <c r="G64" t="s">
        <v>119</v>
      </c>
      <c r="H64" t="s">
        <v>122</v>
      </c>
      <c r="I64" s="181">
        <v>1</v>
      </c>
      <c r="J64" t="s">
        <v>126</v>
      </c>
      <c r="K64" t="s">
        <v>129</v>
      </c>
      <c r="L64" s="181">
        <v>70</v>
      </c>
      <c r="M64" s="181">
        <v>1000</v>
      </c>
      <c r="N64" t="s">
        <v>388</v>
      </c>
      <c r="O64" s="181">
        <v>120</v>
      </c>
      <c r="P64" s="181">
        <v>30</v>
      </c>
      <c r="Q64" s="181">
        <v>50</v>
      </c>
      <c r="R64" t="s">
        <v>417</v>
      </c>
      <c r="S64" t="s">
        <v>156</v>
      </c>
      <c r="T64" s="181">
        <v>70</v>
      </c>
      <c r="U64" s="181">
        <f>HLOOKUP(D64,'Highway Loading'!$C$155:$AD$156,2,FALSE)</f>
        <v>48</v>
      </c>
      <c r="V64" s="181">
        <f>IF(ISBLANK(G64),"",INDEX('Highway Loading'!$C$216:$AG$216,1,MATCH(G64,'Highway Loading'!$C$215:$AG$215,0)))</f>
        <v>65000</v>
      </c>
      <c r="W64" s="181">
        <f>INDEX('Highway Loading'!$I$245:$L$253,MATCH(H64,'Highway Loading'!$H$245:$H$253,0),MATCH(I64,'Highway Loading'!$I$244:$L$244,0))</f>
        <v>0.72</v>
      </c>
      <c r="X64" s="181">
        <f t="shared" si="32"/>
        <v>1</v>
      </c>
      <c r="Y64" s="181">
        <f>VLOOKUP(K64,'Highway Loading'!$B$283:$E$292,2,FALSE)</f>
        <v>29000000</v>
      </c>
      <c r="Z64" s="181">
        <f>VLOOKUP(K64,'Highway Loading'!$B$283:$E$292,3,FALSE)</f>
        <v>0.3</v>
      </c>
      <c r="AA64" s="181">
        <f>VLOOKUP(K64,'Highway Loading'!$B$283:$E$292,4,FALSE)</f>
        <v>6.4999999999999996E-6</v>
      </c>
      <c r="AB64" s="181">
        <f t="shared" si="33"/>
        <v>1</v>
      </c>
      <c r="AC64" s="181">
        <f>VLOOKUP(N64,'Highway Loading'!$B$256:$D$261,2,FALSE)</f>
        <v>200</v>
      </c>
      <c r="AD64" s="181">
        <f>VLOOKUP(N64,'Highway Loading'!$B$256:$D$261,3,FALSE)</f>
        <v>5000</v>
      </c>
      <c r="AE64" s="181">
        <f>VLOOKUP(S64,'Highway Loading'!$B$340:$C$341,2,FALSE)</f>
        <v>10000</v>
      </c>
      <c r="AF64" s="181">
        <f t="shared" si="34"/>
        <v>7.8125E-3</v>
      </c>
      <c r="AG64" s="181">
        <f t="shared" si="35"/>
        <v>7.2</v>
      </c>
      <c r="AH64" s="181">
        <f t="shared" si="36"/>
        <v>1.0416666666666667</v>
      </c>
      <c r="AI64" s="181">
        <f t="shared" si="37"/>
        <v>64000</v>
      </c>
      <c r="AJ64" s="181">
        <f t="shared" si="38"/>
        <v>46800</v>
      </c>
      <c r="AK64" s="181">
        <f>IF(AC64=200,(INDEX(Tables!$B$17:$B$38,MAX(1,MIN(IFERROR(MATCH(AF64,Tables!$A$17:$A$38,1),1),ROWS(Tables!$A$17:$A$38)-1)))+(AF64-INDEX(Tables!$A$17:$A$38,MAX(1,MIN(IFERROR(MATCH(AF64,Tables!$A$17:$A$38,1),1),ROWS(Tables!$A$17:$A$38)-1))))*(INDEX(Tables!$B$17:$B$38,MAX(1,MIN(IFERROR(MATCH(AF64,Tables!$A$17:$A$38,1),1),ROWS(Tables!$A$17:$A$38)-1))+1)-INDEX(Tables!$B$17:$B$38,MAX(1,MIN(IFERROR(MATCH(AF64,Tables!$A$17:$A$38,1),1),ROWS(Tables!$A$17:$A$38)-1))))/(INDEX(Tables!$A$17:$A$38,MAX(1,MIN(IFERROR(MATCH(AF64,Tables!$A$17:$A$38,1),1),ROWS(Tables!$A$17:$A$38)-1))+1)-INDEX(Tables!$A$17:$A$38,MAX(1,MIN(IFERROR(MATCH(AF64,Tables!$A$17:$A$38,1),1),ROWS(Tables!$A$17:$A$38)-1))))),IF(AC64=500,(INDEX(Tables!$D$17:$D$38,MAX(1,MIN(IFERROR(MATCH(AF64,Tables!$C$17:$C$38,1),1),ROWS(Tables!$C$17:$C$38)-1)))+(AF64-INDEX(Tables!$C$17:$C$38,MAX(1,MIN(IFERROR(MATCH(AF64,Tables!$C$17:$C$38,1),1),ROWS(Tables!$C$17:$C$38)-1))))*(INDEX(Tables!$D$17:$D$38,MAX(1,MIN(IFERROR(MATCH(AF64,Tables!$C$17:$C$38,1),1),ROWS(Tables!$C$17:$C$38)-1))+1)-INDEX(Tables!$D$17:$D$38,MAX(1,MIN(IFERROR(MATCH(AF64,Tables!$C$17:$C$38,1),1),ROWS(Tables!$C$17:$C$38)-1))))/(INDEX(Tables!$C$17:$C$38,MAX(1,MIN(IFERROR(MATCH(AF64,Tables!$C$17:$C$38,1),1),ROWS(Tables!$C$17:$C$38)-1))+1)-INDEX(Tables!$C$17:$C$38,MAX(1,MIN(IFERROR(MATCH(AF64,Tables!$C$17:$C$38,1),1),ROWS(Tables!$C$17:$C$38)-1))))),IF(AC64=1000,(INDEX(Tables!$F$17:$F$38,MAX(1,MIN(IFERROR(MATCH(AF64,Tables!$E$17:$E$38,1),1),ROWS(Tables!$E$17:$E$38)-1)))+(AF64-INDEX(Tables!$E$17:$E$38,MAX(1,MIN(IFERROR(MATCH(AF64,Tables!$E$17:$E$38,1),1),ROWS(Tables!$E$17:$E$38)-1))))*(INDEX(Tables!$F$17:$F$38,MAX(1,MIN(IFERROR(MATCH(AF64,Tables!$E$17:$E$38,1),1),ROWS(Tables!$E$17:$E$38)-1))+1)-INDEX(Tables!$F$17:$F$38,MAX(1,MIN(IFERROR(MATCH(AF64,Tables!$E$17:$E$38,1),1),ROWS(Tables!$E$17:$E$38)-1))))/(INDEX(Tables!$E$17:$E$38,MAX(1,MIN(IFERROR(MATCH(AF64,Tables!$E$17:$E$38,1),1),ROWS(Tables!$E$17:$E$38)-1))+1)-INDEX(Tables!$E$17:$E$38,MAX(1,MIN(IFERROR(MATCH(AF64,Tables!$E$17:$E$38,1),1),ROWS(Tables!$E$17:$E$38)-1))))),(INDEX(Tables!$H$17:$H$38,MAX(1,MIN(IFERROR(MATCH(AF64,Tables!$G$17:$G$38,1),1),ROWS(Tables!$G$17:$G$38)-1)))+(AF64-INDEX(Tables!$G$17:$G$38,MAX(1,MIN(IFERROR(MATCH(AF64,Tables!$G$17:$G$38,1),1),ROWS(Tables!$G$17:$G$38)-1))))*(INDEX(Tables!$H$17:$H$38,MAX(1,MIN(IFERROR(MATCH(AF64,Tables!$G$17:$G$38,1),1),ROWS(Tables!$G$17:$G$38)-1))+1)-INDEX(Tables!$H$17:$H$38,MAX(1,MIN(IFERROR(MATCH(AF64,Tables!$G$17:$G$38,1),1),ROWS(Tables!$G$17:$G$38)-1))))/(INDEX(Tables!$G$17:$G$38,MAX(1,MIN(IFERROR(MATCH(AF64,Tables!$G$17:$G$38,1),1),ROWS(Tables!$G$17:$G$38)-1))+1)-INDEX(Tables!$G$17:$G$38,MAX(1,MIN(IFERROR(MATCH(AF64,Tables!$G$17:$G$38,1),1),ROWS(Tables!$G$17:$G$38)-1))))))))</f>
        <v>11632</v>
      </c>
      <c r="AL64" s="181">
        <f>IF(AC64&lt;1000,(INDEX(Tables!$B$43:$B$76,MAX(1,MIN(IFERROR(MATCH(AG64,Tables!$A$43:$A$76,1),1),ROWS(Tables!$A$43:$A$76)-1)))+(AG64-INDEX(Tables!$A$43:$A$76,MAX(1,MIN(IFERROR(MATCH(AG64,Tables!$A$43:$A$76,1),1),ROWS(Tables!$A$43:$A$76)-1))))*(INDEX(Tables!$B$43:$B$76,MAX(1,MIN(IFERROR(MATCH(AG64,Tables!$A$43:$A$76,1),1),ROWS(Tables!$A$43:$A$76)-1))+1)-INDEX(Tables!$B$43:$B$76,MAX(1,MIN(IFERROR(MATCH(AG64,Tables!$A$43:$A$76,1),1),ROWS(Tables!$A$43:$A$76)-1))))/(INDEX(Tables!$A$43:$A$76,MAX(1,MIN(IFERROR(MATCH(AG64,Tables!$A$43:$A$76,1),1),ROWS(Tables!$A$43:$A$76)-1))+1)-INDEX(Tables!$A$43:$A$76,MAX(1,MIN(IFERROR(MATCH(AG64,Tables!$A$43:$A$76,1),1),ROWS(Tables!$A$43:$A$76)-1))))),(INDEX(Tables!$D$43:$D$76,MAX(1,MIN(IFERROR(MATCH(AG64,Tables!$C$43:$C$76,1),1),ROWS(Tables!$C$43:$C$76)-1)))+(AG64-INDEX(Tables!$C$43:$C$76,MAX(1,MIN(IFERROR(MATCH(AG64,Tables!$C$43:$C$76,1),1),ROWS(Tables!$C$43:$C$76)-1))))*(INDEX(Tables!$D$43:$D$76,MAX(1,MIN(IFERROR(MATCH(AG64,Tables!$C$43:$C$76,1),1),ROWS(Tables!$C$43:$C$76)-1))+1)-INDEX(Tables!$D$43:$D$76,MAX(1,MIN(IFERROR(MATCH(AG64,Tables!$C$43:$C$76,1),1),ROWS(Tables!$C$43:$C$76)-1))))/(INDEX(Tables!$C$43:$C$76,MAX(1,MIN(IFERROR(MATCH(AG64,Tables!$C$43:$C$76,1),1),ROWS(Tables!$C$43:$C$76)-1))+1)-INDEX(Tables!$C$43:$C$76,MAX(1,MIN(IFERROR(MATCH(AG64,Tables!$C$43:$C$76,1),1),ROWS(Tables!$C$43:$C$76)-1))))))</f>
        <v>1.224</v>
      </c>
      <c r="AM64" s="181">
        <f>(INDEX(Tables!$B$80:$B$87,MAX(1,MIN(IFERROR(MATCH(AH64,Tables!$A$80:$A$87,1),1),ROWS(Tables!$A$80:$A$87)-1)))+(AH64-INDEX(Tables!$A$80:$A$87,MAX(1,MIN(IFERROR(MATCH(AH64,Tables!$A$80:$A$87,1),1),ROWS(Tables!$A$80:$A$87)-1))))*(INDEX(Tables!$B$80:$B$87,MAX(1,MIN(IFERROR(MATCH(AH64,Tables!$A$80:$A$87,1),1),ROWS(Tables!$A$80:$A$87)-1))+1)-INDEX(Tables!$B$80:$B$87,MAX(1,MIN(IFERROR(MATCH(AH64,Tables!$A$80:$A$87,1),1),ROWS(Tables!$A$80:$A$87)-1))))/(INDEX(Tables!$A$80:$A$87,MAX(1,MIN(IFERROR(MATCH(AH64,Tables!$A$80:$A$87,1),1),ROWS(Tables!$A$80:$A$87)-1))+1)-INDEX(Tables!$A$80:$A$87,MAX(1,MIN(IFERROR(MATCH(AH64,Tables!$A$80:$A$87,1),1),ROWS(Tables!$A$80:$A$87)-1)))))</f>
        <v>0.89595000000000002</v>
      </c>
      <c r="AN64" s="181">
        <f t="shared" si="39"/>
        <v>42520.496832000004</v>
      </c>
      <c r="AO64" s="181">
        <f>(INDEX(Tables!$B$91:$B$94,MAX(1,MIN(IFERROR(MATCH(P64,Tables!$A$91:$A$94,1),1),ROWS(Tables!$A$91:$A$94)-1)))+(P64-INDEX(Tables!$A$91:$A$94,MAX(1,MIN(IFERROR(MATCH(P64,Tables!$A$91:$A$94,1),1),ROWS(Tables!$A$91:$A$94)-1))))*(INDEX(Tables!$B$91:$B$94,MAX(1,MIN(IFERROR(MATCH(P64,Tables!$A$91:$A$94,1),1),ROWS(Tables!$A$91:$A$94)-1))+1)-INDEX(Tables!$B$91:$B$94,MAX(1,MIN(IFERROR(MATCH(P64,Tables!$A$91:$A$94,1),1),ROWS(Tables!$A$91:$A$94)-1))))/(INDEX(Tables!$A$91:$A$94,MAX(1,MIN(IFERROR(MATCH(P64,Tables!$A$91:$A$94,1),1),ROWS(Tables!$A$91:$A$94)-1))+1)-INDEX(Tables!$A$91:$A$94,MAX(1,MIN(IFERROR(MATCH(P64,Tables!$A$91:$A$94,1),1),ROWS(Tables!$A$91:$A$94)-1)))))</f>
        <v>1</v>
      </c>
      <c r="AP64" s="181">
        <f>IF(AD64=5000,(INDEX(Tables!$B$99:$B$118,MAX(1,MIN(IFERROR(MATCH(AF64,Tables!$A$99:$A$118,1),1),ROWS(Tables!$A$99:$A$118)-1)))+(AF64-INDEX(Tables!$A$99:$A$118,MAX(1,MIN(IFERROR(MATCH(AF64,Tables!$A$99:$A$118,1),1),ROWS(Tables!$A$99:$A$118)-1))))*(INDEX(Tables!$B$99:$B$118,MAX(1,MIN(IFERROR(MATCH(AF64,Tables!$A$99:$A$118,1),1),ROWS(Tables!$A$99:$A$118)-1))+1)-INDEX(Tables!$B$99:$B$118,MAX(1,MIN(IFERROR(MATCH(AF64,Tables!$A$99:$A$118,1),1),ROWS(Tables!$A$99:$A$118)-1))))/(INDEX(Tables!$A$99:$A$118,MAX(1,MIN(IFERROR(MATCH(AF64,Tables!$A$99:$A$118,1),1),ROWS(Tables!$A$99:$A$118)-1))+1)-INDEX(Tables!$A$99:$A$118,MAX(1,MIN(IFERROR(MATCH(AF64,Tables!$A$99:$A$118,1),1),ROWS(Tables!$A$99:$A$118)-1))))),IF(AD64=10000,(INDEX(Tables!$D$99:$D$118,MAX(1,MIN(IFERROR(MATCH(AF64,Tables!$C$99:$C$118,1),1),ROWS(Tables!$C$99:$C$118)-1)))+(AF64-INDEX(Tables!$C$99:$C$118,MAX(1,MIN(IFERROR(MATCH(AF64,Tables!$C$99:$C$118,1),1),ROWS(Tables!$C$99:$C$118)-1))))*(INDEX(Tables!$D$99:$D$118,MAX(1,MIN(IFERROR(MATCH(AF64,Tables!$C$99:$C$118,1),1),ROWS(Tables!$C$99:$C$118)-1))+1)-INDEX(Tables!$D$99:$D$118,MAX(1,MIN(IFERROR(MATCH(AF64,Tables!$C$99:$C$118,1),1),ROWS(Tables!$C$99:$C$118)-1))))/(INDEX(Tables!$C$99:$C$118,MAX(1,MIN(IFERROR(MATCH(AF64,Tables!$C$99:$C$118,1),1),ROWS(Tables!$C$99:$C$118)-1))+1)-INDEX(Tables!$C$99:$C$118,MAX(1,MIN(IFERROR(MATCH(AF64,Tables!$C$99:$C$118,1),1),ROWS(Tables!$C$99:$C$118)-1))))),(INDEX(Tables!$F$99:$F$118,MAX(1,MIN(IFERROR(MATCH(AF64,Tables!$E$99:$E$118,1),1),ROWS(Tables!$E$99:$E$118)-1)))+(AF64-INDEX(Tables!$E$99:$E$118,MAX(1,MIN(IFERROR(MATCH(AF64,Tables!$E$99:$E$118,1),1),ROWS(Tables!$E$99:$E$118)-1))))*(INDEX(Tables!$F$99:$F$118,MAX(1,MIN(IFERROR(MATCH(AF64,Tables!$E$99:$E$118,1),1),ROWS(Tables!$E$99:$E$118)-1))+1)-INDEX(Tables!$F$99:$F$118,MAX(1,MIN(IFERROR(MATCH(AF64,Tables!$E$99:$E$118,1),1),ROWS(Tables!$E$99:$E$118)-1))))/(INDEX(Tables!$E$99:$E$118,MAX(1,MIN(IFERROR(MATCH(AF64,Tables!$E$99:$E$118,1),1),ROWS(Tables!$E$99:$E$118)-1))+1)-INDEX(Tables!$E$99:$E$118,MAX(1,MIN(IFERROR(MATCH(AF64,Tables!$E$99:$E$118,1),1),ROWS(Tables!$E$99:$E$118)-1)))))))</f>
        <v>19.818999999999999</v>
      </c>
      <c r="AQ64" s="181">
        <f>IF(P64&lt;6,(INDEX(Tables!$B$123:$B$138,MAX(1,MIN(IFERROR(MATCH(U64,Tables!$A$123:$A$138,1),1),ROWS(Tables!$A$123:$A$138)-1)))+(U64-INDEX(Tables!$A$123:$A$138,MAX(1,MIN(IFERROR(MATCH(U64,Tables!$A$123:$A$138,1),1),ROWS(Tables!$A$123:$A$138)-1))))*(INDEX(Tables!$B$123:$B$138,MAX(1,MIN(IFERROR(MATCH(U64,Tables!$A$123:$A$138,1),1),ROWS(Tables!$A$123:$A$138)-1))+1)-INDEX(Tables!$B$123:$B$138,MAX(1,MIN(IFERROR(MATCH(U64,Tables!$A$123:$A$138,1),1),ROWS(Tables!$A$123:$A$138)-1))))/(INDEX(Tables!$A$123:$A$138,MAX(1,MIN(IFERROR(MATCH(U64,Tables!$A$123:$A$138,1),1),ROWS(Tables!$A$123:$A$138)-1))+1)-INDEX(Tables!$A$123:$A$138,MAX(1,MIN(IFERROR(MATCH(U64,Tables!$A$123:$A$138,1),1),ROWS(Tables!$A$123:$A$138)-1))))),IF(P64&lt;8,(INDEX(Tables!$D$123:$D$138,MAX(1,MIN(IFERROR(MATCH(U64,Tables!$C$123:$C$138,1),1),ROWS(Tables!$C$123:$C$138)-1)))+(U64-INDEX(Tables!$C$123:$C$138,MAX(1,MIN(IFERROR(MATCH(U64,Tables!$C$123:$C$138,1),1),ROWS(Tables!$C$123:$C$138)-1))))*(INDEX(Tables!$D$123:$D$138,MAX(1,MIN(IFERROR(MATCH(U64,Tables!$C$123:$C$138,1),1),ROWS(Tables!$C$123:$C$138)-1))+1)-INDEX(Tables!$D$123:$D$138,MAX(1,MIN(IFERROR(MATCH(U64,Tables!$C$123:$C$138,1),1),ROWS(Tables!$C$123:$C$138)-1))))/(INDEX(Tables!$C$123:$C$138,MAX(1,MIN(IFERROR(MATCH(U64,Tables!$C$123:$C$138,1),1),ROWS(Tables!$C$123:$C$138)-1))+1)-INDEX(Tables!$C$123:$C$138,MAX(1,MIN(IFERROR(MATCH(U64,Tables!$C$123:$C$138,1),1),ROWS(Tables!$C$123:$C$138)-1))))),IF(P64&lt;10,(INDEX(Tables!$F$123:$F$138,MAX(1,MIN(IFERROR(MATCH(U64,Tables!$E$123:$E$138,1),1),ROWS(Tables!$E$123:$E$138)-1)))+(U64-INDEX(Tables!$E$123:$E$138,MAX(1,MIN(IFERROR(MATCH(U64,Tables!$E$123:$E$138,1),1),ROWS(Tables!$E$123:$E$138)-1))))*(INDEX(Tables!$F$123:$F$138,MAX(1,MIN(IFERROR(MATCH(U64,Tables!$E$123:$E$138,1),1),ROWS(Tables!$E$123:$E$138)-1))+1)-INDEX(Tables!$F$123:$F$138,MAX(1,MIN(IFERROR(MATCH(U64,Tables!$E$123:$E$138,1),1),ROWS(Tables!$E$123:$E$138)-1))))/(INDEX(Tables!$E$123:$E$138,MAX(1,MIN(IFERROR(MATCH(U64,Tables!$E$123:$E$138,1),1),ROWS(Tables!$E$123:$E$138)-1))+1)-INDEX(Tables!$E$123:$E$138,MAX(1,MIN(IFERROR(MATCH(U64,Tables!$E$123:$E$138,1),1),ROWS(Tables!$E$123:$E$138)-1))))),(INDEX(Tables!$H$123:$H$138,MAX(1,MIN(IFERROR(MATCH(U64,Tables!$G$123:$G$138,1),1),ROWS(Tables!$G$123:$G$138)-1)))+(U64-INDEX(Tables!$G$123:$G$138,MAX(1,MIN(IFERROR(MATCH(U64,Tables!$G$123:$G$138,1),1),ROWS(Tables!$G$123:$G$138)-1))))*(INDEX(Tables!$H$123:$H$138,MAX(1,MIN(IFERROR(MATCH(U64,Tables!$G$123:$G$138,1),1),ROWS(Tables!$G$123:$G$138)-1))+1)-INDEX(Tables!$H$123:$H$138,MAX(1,MIN(IFERROR(MATCH(U64,Tables!$G$123:$G$138,1),1),ROWS(Tables!$G$123:$G$138)-1))))/(INDEX(Tables!$G$123:$G$138,MAX(1,MIN(IFERROR(MATCH(U64,Tables!$G$123:$G$138,1),1),ROWS(Tables!$G$123:$G$138)-1))+1)-INDEX(Tables!$G$123:$G$138,MAX(1,MIN(IFERROR(MATCH(U64,Tables!$G$123:$G$138,1),1),ROWS(Tables!$G$123:$G$138)-1))))))))</f>
        <v>0.46899999999999997</v>
      </c>
      <c r="AR64" s="181">
        <f>IF(OR(P64&gt;=4,U64&gt;12),VLOOKUP(R64&amp;" "&amp;S64,Tables!$D$143:$F$148,2,FALSE),VLOOKUP(R64&amp;" "&amp;S64,Tables!$A$143:$C$148,2,FALSE))</f>
        <v>1.1000000000000001</v>
      </c>
      <c r="AS64" s="181">
        <f>IF(OR(P64&gt;=4,U64&gt;12),VLOOKUP(R64&amp;" "&amp;S64,Tables!$D$143:$F$148,3,FALSE),VLOOKUP(R64&amp;" "&amp;S64,Tables!$A$143:$C$148,3,FALSE))</f>
        <v>1</v>
      </c>
      <c r="AT64" s="181">
        <f t="shared" si="40"/>
        <v>710.04320138888886</v>
      </c>
      <c r="AU64" s="181">
        <f>IF(AD64=5000,(INDEX(Tables!$B$244:$B$263,MAX(1,MIN(IFERROR(MATCH(AF64,Tables!$A$244:$A$263,1),1),ROWS(Tables!$A$244:$A$263)-1)))+(AF64-INDEX(Tables!$A$244:$A$263,MAX(1,MIN(IFERROR(MATCH(AF64,Tables!$A$244:$A$263,1),1),ROWS(Tables!$A$244:$A$263)-1))))*(INDEX(Tables!$B$244:$B$263,MAX(1,MIN(IFERROR(MATCH(AF64,Tables!$A$244:$A$263,1),1),ROWS(Tables!$A$244:$A$263)-1))+1)-INDEX(Tables!$B$244:$B$263,MAX(1,MIN(IFERROR(MATCH(AF64,Tables!$A$244:$A$263,1),1),ROWS(Tables!$A$244:$A$263)-1))))/(INDEX(Tables!$A$244:$A$263,MAX(1,MIN(IFERROR(MATCH(AF64,Tables!$A$244:$A$263,1),1),ROWS(Tables!$A$244:$A$263)-1))+1)-INDEX(Tables!$A$244:$A$263,MAX(1,MIN(IFERROR(MATCH(AF64,Tables!$A$244:$A$263,1),1),ROWS(Tables!$A$244:$A$263)-1))))),IF(AD64=10000,(INDEX(Tables!$D$244:$D$263,MAX(1,MIN(IFERROR(MATCH(AF64,Tables!$C$244:$C$263,1),1),ROWS(Tables!$C$244:$C$263)-1)))+(AF64-INDEX(Tables!$C$244:$C$263,MAX(1,MIN(IFERROR(MATCH(AF64,Tables!$C$244:$C$263,1),1),ROWS(Tables!$C$244:$C$263)-1))))*(INDEX(Tables!$D$244:$D$263,MAX(1,MIN(IFERROR(MATCH(AF64,Tables!$C$244:$C$263,1),1),ROWS(Tables!$C$244:$C$263)-1))+1)-INDEX(Tables!$D$244:$D$263,MAX(1,MIN(IFERROR(MATCH(AF64,Tables!$C$244:$C$263,1),1),ROWS(Tables!$C$244:$C$263)-1))))/(INDEX(Tables!$C$244:$C$263,MAX(1,MIN(IFERROR(MATCH(AF64,Tables!$C$244:$C$263,1),1),ROWS(Tables!$C$244:$C$263)-1))+1)-INDEX(Tables!$C$244:$C$263,MAX(1,MIN(IFERROR(MATCH(AF64,Tables!$C$244:$C$263,1),1),ROWS(Tables!$C$244:$C$263)-1))))),(INDEX(Tables!$F$244:$F$263,MAX(1,MIN(IFERROR(MATCH(AF64,Tables!$E$244:$E$263,1),1),ROWS(Tables!$E$244:$E$263)-1)))+(AF64-INDEX(Tables!$E$244:$E$263,MAX(1,MIN(IFERROR(MATCH(AF64,Tables!$E$244:$E$263,1),1),ROWS(Tables!$E$244:$E$263)-1))))*(INDEX(Tables!$F$244:$F$263,MAX(1,MIN(IFERROR(MATCH(AF64,Tables!$E$244:$E$263,1),1),ROWS(Tables!$E$244:$E$263)-1))+1)-INDEX(Tables!$F$244:$F$263,MAX(1,MIN(IFERROR(MATCH(AF64,Tables!$E$244:$E$263,1),1),ROWS(Tables!$E$244:$E$263)-1))))/(INDEX(Tables!$E$244:$E$263,MAX(1,MIN(IFERROR(MATCH(AF64,Tables!$E$244:$E$263,1),1),ROWS(Tables!$E$244:$E$263)-1))+1)-INDEX(Tables!$E$244:$E$263,MAX(1,MIN(IFERROR(MATCH(AF64,Tables!$E$244:$E$263,1),1),ROWS(Tables!$E$244:$E$263)-1)))))))</f>
        <v>14.659000000000001</v>
      </c>
      <c r="AV64" s="181">
        <f>IF(P64&lt;6,(INDEX(Tables!$B$260:$B$274,MAX(1,MIN(IFERROR(MATCH(U64,Tables!$A$260:$A$274,1),1),ROWS(Tables!$A$260:$A$274)-1)))+(U64-INDEX(Tables!$A$260:$A$274,MAX(1,MIN(IFERROR(MATCH(U64,Tables!$A$260:$A$274,1),1),ROWS(Tables!$A$260:$A$274)-1))))*(INDEX(Tables!$B$260:$B$274,MAX(1,MIN(IFERROR(MATCH(U64,Tables!$A$260:$A$274,1),1),ROWS(Tables!$A$260:$A$274)-1))+1)-INDEX(Tables!$B$260:$B$274,MAX(1,MIN(IFERROR(MATCH(U64,Tables!$A$260:$A$274,1),1),ROWS(Tables!$A$260:$A$274)-1))))/(INDEX(Tables!$A$260:$A$274,MAX(1,MIN(IFERROR(MATCH(U64,Tables!$A$260:$A$274,1),1),ROWS(Tables!$A$260:$A$274)-1))+1)-INDEX(Tables!$A$260:$A$274,MAX(1,MIN(IFERROR(MATCH(U64,Tables!$A$260:$A$274,1),1),ROWS(Tables!$A$260:$A$274)-1))))),IF(P64&lt;8,(INDEX(Tables!$D$260:$D$274,MAX(1,MIN(IFERROR(MATCH(U64,Tables!$C$260:$C$274,1),1),ROWS(Tables!$C$260:$C$274)-1)))+(U64-INDEX(Tables!$C$260:$C$274,MAX(1,MIN(IFERROR(MATCH(U64,Tables!$C$260:$C$274,1),1),ROWS(Tables!$C$260:$C$274)-1))))*(INDEX(Tables!$D$260:$D$274,MAX(1,MIN(IFERROR(MATCH(U64,Tables!$C$260:$C$274,1),1),ROWS(Tables!$C$260:$C$274)-1))+1)-INDEX(Tables!$D$260:$D$274,MAX(1,MIN(IFERROR(MATCH(U64,Tables!$C$260:$C$274,1),1),ROWS(Tables!$C$260:$C$274)-1))))/(INDEX(Tables!$C$260:$C$274,MAX(1,MIN(IFERROR(MATCH(U64,Tables!$C$260:$C$274,1),1),ROWS(Tables!$C$260:$C$274)-1))+1)-INDEX(Tables!$C$260:$C$274,MAX(1,MIN(IFERROR(MATCH(U64,Tables!$C$260:$C$274,1),1),ROWS(Tables!$C$260:$C$274)-1))))),IF(P64&lt;10,(INDEX(Tables!$F$260:$F$274,MAX(1,MIN(IFERROR(MATCH(U64,Tables!$E$260:$E$274,1),1),ROWS(Tables!$E$260:$E$274)-1)))+(U64-INDEX(Tables!$E$260:$E$274,MAX(1,MIN(IFERROR(MATCH(U64,Tables!$E$260:$E$274,1),1),ROWS(Tables!$E$260:$E$274)-1))))*(INDEX(Tables!$F$260:$F$274,MAX(1,MIN(IFERROR(MATCH(U64,Tables!$E$260:$E$274,1),1),ROWS(Tables!$E$260:$E$274)-1))+1)-INDEX(Tables!$F$260:$F$274,MAX(1,MIN(IFERROR(MATCH(U64,Tables!$E$260:$E$274,1),1),ROWS(Tables!$E$260:$E$274)-1))))/(INDEX(Tables!$E$260:$E$274,MAX(1,MIN(IFERROR(MATCH(U64,Tables!$E$260:$E$274,1),1),ROWS(Tables!$E$260:$E$274)-1))+1)-INDEX(Tables!$E$260:$E$274,MAX(1,MIN(IFERROR(MATCH(U64,Tables!$E$260:$E$274,1),1),ROWS(Tables!$E$260:$E$274)-1))))),(INDEX(Tables!$H$260:$H$274,MAX(1,MIN(IFERROR(MATCH(U64,Tables!$G$260:$G$274,1),1),ROWS(Tables!$G$260:$G$274)-1)))+(U64-INDEX(Tables!$G$260:$G$274,MAX(1,MIN(IFERROR(MATCH(U64,Tables!$G$260:$G$274,1),1),ROWS(Tables!$G$260:$G$274)-1))))*(INDEX(Tables!$H$260:$H$274,MAX(1,MIN(IFERROR(MATCH(U64,Tables!$G$260:$G$274,1),1),ROWS(Tables!$G$260:$G$274)-1))+1)-INDEX(Tables!$H$260:$H$274,MAX(1,MIN(IFERROR(MATCH(U64,Tables!$G$260:$G$274,1),1),ROWS(Tables!$G$260:$G$274)-1))))/(INDEX(Tables!$G$260:$G$274,MAX(1,MIN(IFERROR(MATCH(U64,Tables!$G$260:$G$274,1),1),ROWS(Tables!$G$260:$G$274)-1))+1)-INDEX(Tables!$G$260:$G$274,MAX(1,MIN(IFERROR(MATCH(U64,Tables!$G$260:$G$274,1),1),ROWS(Tables!$G$260:$G$274)-1))))))))</f>
        <v>0.45700000000000002</v>
      </c>
      <c r="AW64" s="181">
        <f t="shared" si="41"/>
        <v>511.74161805555559</v>
      </c>
      <c r="AX64" s="181">
        <f t="shared" si="42"/>
        <v>63500</v>
      </c>
      <c r="AY64" s="181">
        <f t="shared" si="43"/>
        <v>106730.54003338888</v>
      </c>
      <c r="AZ64" s="181">
        <f t="shared" si="44"/>
        <v>32317.890667655556</v>
      </c>
      <c r="BA64" s="181">
        <f t="shared" si="45"/>
        <v>-1000</v>
      </c>
      <c r="BB64" s="181">
        <f t="shared" si="46"/>
        <v>95533.223226412243</v>
      </c>
      <c r="BC64" s="181">
        <f t="shared" si="47"/>
        <v>46800</v>
      </c>
      <c r="BD64" s="181">
        <f>VLOOKUP(V64&amp;" "&amp;J64,Tables!$A$152:$E$239,4,FALSE)</f>
        <v>12000</v>
      </c>
      <c r="BE64" s="181">
        <f>VLOOKUP(V64&amp;" "&amp;J64,Tables!$A$152:$E$239,5,FALSE)</f>
        <v>23000</v>
      </c>
      <c r="BF64" s="181">
        <f t="shared" si="48"/>
        <v>8640</v>
      </c>
      <c r="BG64" s="181">
        <f t="shared" si="49"/>
        <v>16560</v>
      </c>
      <c r="BH64" s="181">
        <f t="shared" si="50"/>
        <v>64000</v>
      </c>
      <c r="BI64" s="181">
        <f t="shared" si="51"/>
        <v>46800</v>
      </c>
      <c r="BJ64" s="181">
        <f t="shared" si="52"/>
        <v>95533.223226412243</v>
      </c>
      <c r="BK64" s="181">
        <f t="shared" si="53"/>
        <v>46800</v>
      </c>
      <c r="BL64" s="181">
        <f t="shared" si="54"/>
        <v>511.74161805555559</v>
      </c>
      <c r="BM64" s="181">
        <f t="shared" si="55"/>
        <v>8640</v>
      </c>
      <c r="BN64" s="181">
        <f t="shared" si="56"/>
        <v>710.04320138888886</v>
      </c>
      <c r="BO64" s="181">
        <f t="shared" si="57"/>
        <v>16560</v>
      </c>
      <c r="BP64" t="str">
        <f t="shared" si="58"/>
        <v>Fail</v>
      </c>
      <c r="BQ64" t="str">
        <f t="shared" si="59"/>
        <v>Fail</v>
      </c>
      <c r="BR64" t="str">
        <f t="shared" si="60"/>
        <v>Pass</v>
      </c>
      <c r="BS64" t="str">
        <f t="shared" si="61"/>
        <v>Pass</v>
      </c>
      <c r="BT64" t="str">
        <f t="shared" si="62"/>
        <v>Fail</v>
      </c>
      <c r="BU64" t="str">
        <f t="shared" si="63"/>
        <v>Effective Stress</v>
      </c>
    </row>
    <row r="65" spans="1:73">
      <c r="A65" t="s">
        <v>657</v>
      </c>
      <c r="B65" s="181">
        <v>63</v>
      </c>
      <c r="C65" t="s">
        <v>594</v>
      </c>
      <c r="D65" s="181">
        <v>6</v>
      </c>
      <c r="E65" s="181">
        <v>0.34399999999999997</v>
      </c>
      <c r="F65" t="s">
        <v>117</v>
      </c>
      <c r="G65" t="s">
        <v>119</v>
      </c>
      <c r="H65" t="s">
        <v>122</v>
      </c>
      <c r="I65" s="181">
        <v>1</v>
      </c>
      <c r="J65" t="s">
        <v>126</v>
      </c>
      <c r="K65" t="s">
        <v>129</v>
      </c>
      <c r="L65" s="181">
        <v>70</v>
      </c>
      <c r="M65" s="181">
        <v>1440</v>
      </c>
      <c r="N65" t="s">
        <v>388</v>
      </c>
      <c r="O65" s="181">
        <v>120</v>
      </c>
      <c r="P65" s="181">
        <v>1</v>
      </c>
      <c r="Q65" s="181">
        <v>8.625</v>
      </c>
      <c r="R65" t="s">
        <v>154</v>
      </c>
      <c r="S65" t="s">
        <v>156</v>
      </c>
      <c r="T65" s="181">
        <v>70</v>
      </c>
      <c r="U65" s="181">
        <f>HLOOKUP(D65,'Highway Loading'!$C$155:$AD$156,2,FALSE)</f>
        <v>6.625</v>
      </c>
      <c r="V65" s="181">
        <f>IF(ISBLANK(G65),"",INDEX('Highway Loading'!$C$216:$AG$216,1,MATCH(G65,'Highway Loading'!$C$215:$AG$215,0)))</f>
        <v>65000</v>
      </c>
      <c r="W65" s="181">
        <f>INDEX('Highway Loading'!$I$245:$L$253,MATCH(H65,'Highway Loading'!$H$245:$H$253,0),MATCH(I65,'Highway Loading'!$I$244:$L$244,0))</f>
        <v>0.72</v>
      </c>
      <c r="X65" s="181">
        <f t="shared" si="32"/>
        <v>1</v>
      </c>
      <c r="Y65" s="181">
        <f>VLOOKUP(K65,'Highway Loading'!$B$283:$E$292,2,FALSE)</f>
        <v>29000000</v>
      </c>
      <c r="Z65" s="181">
        <f>VLOOKUP(K65,'Highway Loading'!$B$283:$E$292,3,FALSE)</f>
        <v>0.3</v>
      </c>
      <c r="AA65" s="181">
        <f>VLOOKUP(K65,'Highway Loading'!$B$283:$E$292,4,FALSE)</f>
        <v>6.4999999999999996E-6</v>
      </c>
      <c r="AB65" s="181">
        <f t="shared" si="33"/>
        <v>1</v>
      </c>
      <c r="AC65" s="181">
        <f>VLOOKUP(N65,'Highway Loading'!$B$256:$D$261,2,FALSE)</f>
        <v>200</v>
      </c>
      <c r="AD65" s="181">
        <f>VLOOKUP(N65,'Highway Loading'!$B$256:$D$261,3,FALSE)</f>
        <v>5000</v>
      </c>
      <c r="AE65" s="181">
        <f>VLOOKUP(S65,'Highway Loading'!$B$340:$C$341,2,FALSE)</f>
        <v>10000</v>
      </c>
      <c r="AF65" s="181">
        <f t="shared" si="34"/>
        <v>5.1924528301886791E-2</v>
      </c>
      <c r="AG65" s="181">
        <f t="shared" si="35"/>
        <v>1.3913043478260869</v>
      </c>
      <c r="AH65" s="181">
        <f t="shared" si="36"/>
        <v>1.3018867924528301</v>
      </c>
      <c r="AI65" s="181">
        <f t="shared" si="37"/>
        <v>13866.279069767443</v>
      </c>
      <c r="AJ65" s="181">
        <f t="shared" si="38"/>
        <v>46800</v>
      </c>
      <c r="AK65" s="181">
        <f>IF(AC65=200,(INDEX(Tables!$B$17:$B$38,MAX(1,MIN(IFERROR(MATCH(AF65,Tables!$A$17:$A$38,1),1),ROWS(Tables!$A$17:$A$38)-1)))+(AF65-INDEX(Tables!$A$17:$A$38,MAX(1,MIN(IFERROR(MATCH(AF65,Tables!$A$17:$A$38,1),1),ROWS(Tables!$A$17:$A$38)-1))))*(INDEX(Tables!$B$17:$B$38,MAX(1,MIN(IFERROR(MATCH(AF65,Tables!$A$17:$A$38,1),1),ROWS(Tables!$A$17:$A$38)-1))+1)-INDEX(Tables!$B$17:$B$38,MAX(1,MIN(IFERROR(MATCH(AF65,Tables!$A$17:$A$38,1),1),ROWS(Tables!$A$17:$A$38)-1))))/(INDEX(Tables!$A$17:$A$38,MAX(1,MIN(IFERROR(MATCH(AF65,Tables!$A$17:$A$38,1),1),ROWS(Tables!$A$17:$A$38)-1))+1)-INDEX(Tables!$A$17:$A$38,MAX(1,MIN(IFERROR(MATCH(AF65,Tables!$A$17:$A$38,1),1),ROWS(Tables!$A$17:$A$38)-1))))),IF(AC65=500,(INDEX(Tables!$D$17:$D$38,MAX(1,MIN(IFERROR(MATCH(AF65,Tables!$C$17:$C$38,1),1),ROWS(Tables!$C$17:$C$38)-1)))+(AF65-INDEX(Tables!$C$17:$C$38,MAX(1,MIN(IFERROR(MATCH(AF65,Tables!$C$17:$C$38,1),1),ROWS(Tables!$C$17:$C$38)-1))))*(INDEX(Tables!$D$17:$D$38,MAX(1,MIN(IFERROR(MATCH(AF65,Tables!$C$17:$C$38,1),1),ROWS(Tables!$C$17:$C$38)-1))+1)-INDEX(Tables!$D$17:$D$38,MAX(1,MIN(IFERROR(MATCH(AF65,Tables!$C$17:$C$38,1),1),ROWS(Tables!$C$17:$C$38)-1))))/(INDEX(Tables!$C$17:$C$38,MAX(1,MIN(IFERROR(MATCH(AF65,Tables!$C$17:$C$38,1),1),ROWS(Tables!$C$17:$C$38)-1))+1)-INDEX(Tables!$C$17:$C$38,MAX(1,MIN(IFERROR(MATCH(AF65,Tables!$C$17:$C$38,1),1),ROWS(Tables!$C$17:$C$38)-1))))),IF(AC65=1000,(INDEX(Tables!$F$17:$F$38,MAX(1,MIN(IFERROR(MATCH(AF65,Tables!$E$17:$E$38,1),1),ROWS(Tables!$E$17:$E$38)-1)))+(AF65-INDEX(Tables!$E$17:$E$38,MAX(1,MIN(IFERROR(MATCH(AF65,Tables!$E$17:$E$38,1),1),ROWS(Tables!$E$17:$E$38)-1))))*(INDEX(Tables!$F$17:$F$38,MAX(1,MIN(IFERROR(MATCH(AF65,Tables!$E$17:$E$38,1),1),ROWS(Tables!$E$17:$E$38)-1))+1)-INDEX(Tables!$F$17:$F$38,MAX(1,MIN(IFERROR(MATCH(AF65,Tables!$E$17:$E$38,1),1),ROWS(Tables!$E$17:$E$38)-1))))/(INDEX(Tables!$E$17:$E$38,MAX(1,MIN(IFERROR(MATCH(AF65,Tables!$E$17:$E$38,1),1),ROWS(Tables!$E$17:$E$38)-1))+1)-INDEX(Tables!$E$17:$E$38,MAX(1,MIN(IFERROR(MATCH(AF65,Tables!$E$17:$E$38,1),1),ROWS(Tables!$E$17:$E$38)-1))))),(INDEX(Tables!$H$17:$H$38,MAX(1,MIN(IFERROR(MATCH(AF65,Tables!$G$17:$G$38,1),1),ROWS(Tables!$G$17:$G$38)-1)))+(AF65-INDEX(Tables!$G$17:$G$38,MAX(1,MIN(IFERROR(MATCH(AF65,Tables!$G$17:$G$38,1),1),ROWS(Tables!$G$17:$G$38)-1))))*(INDEX(Tables!$H$17:$H$38,MAX(1,MIN(IFERROR(MATCH(AF65,Tables!$G$17:$G$38,1),1),ROWS(Tables!$G$17:$G$38)-1))+1)-INDEX(Tables!$H$17:$H$38,MAX(1,MIN(IFERROR(MATCH(AF65,Tables!$G$17:$G$38,1),1),ROWS(Tables!$G$17:$G$38)-1))))/(INDEX(Tables!$G$17:$G$38,MAX(1,MIN(IFERROR(MATCH(AF65,Tables!$G$17:$G$38,1),1),ROWS(Tables!$G$17:$G$38)-1))+1)-INDEX(Tables!$G$17:$G$38,MAX(1,MIN(IFERROR(MATCH(AF65,Tables!$G$17:$G$38,1),1),ROWS(Tables!$G$17:$G$38)-1))))))))</f>
        <v>434.21132075471701</v>
      </c>
      <c r="AL65" s="181">
        <f>IF(AC65&lt;1000,(INDEX(Tables!$B$43:$B$76,MAX(1,MIN(IFERROR(MATCH(AG65,Tables!$A$43:$A$76,1),1),ROWS(Tables!$A$43:$A$76)-1)))+(AG65-INDEX(Tables!$A$43:$A$76,MAX(1,MIN(IFERROR(MATCH(AG65,Tables!$A$43:$A$76,1),1),ROWS(Tables!$A$43:$A$76)-1))))*(INDEX(Tables!$B$43:$B$76,MAX(1,MIN(IFERROR(MATCH(AG65,Tables!$A$43:$A$76,1),1),ROWS(Tables!$A$43:$A$76)-1))+1)-INDEX(Tables!$B$43:$B$76,MAX(1,MIN(IFERROR(MATCH(AG65,Tables!$A$43:$A$76,1),1),ROWS(Tables!$A$43:$A$76)-1))))/(INDEX(Tables!$A$43:$A$76,MAX(1,MIN(IFERROR(MATCH(AG65,Tables!$A$43:$A$76,1),1),ROWS(Tables!$A$43:$A$76)-1))+1)-INDEX(Tables!$A$43:$A$76,MAX(1,MIN(IFERROR(MATCH(AG65,Tables!$A$43:$A$76,1),1),ROWS(Tables!$A$43:$A$76)-1))))),(INDEX(Tables!$D$43:$D$76,MAX(1,MIN(IFERROR(MATCH(AG65,Tables!$C$43:$C$76,1),1),ROWS(Tables!$C$43:$C$76)-1)))+(AG65-INDEX(Tables!$C$43:$C$76,MAX(1,MIN(IFERROR(MATCH(AG65,Tables!$C$43:$C$76,1),1),ROWS(Tables!$C$43:$C$76)-1))))*(INDEX(Tables!$D$43:$D$76,MAX(1,MIN(IFERROR(MATCH(AG65,Tables!$C$43:$C$76,1),1),ROWS(Tables!$C$43:$C$76)-1))+1)-INDEX(Tables!$D$43:$D$76,MAX(1,MIN(IFERROR(MATCH(AG65,Tables!$C$43:$C$76,1),1),ROWS(Tables!$C$43:$C$76)-1))))/(INDEX(Tables!$C$43:$C$76,MAX(1,MIN(IFERROR(MATCH(AG65,Tables!$C$43:$C$76,1),1),ROWS(Tables!$C$43:$C$76)-1))+1)-INDEX(Tables!$C$43:$C$76,MAX(1,MIN(IFERROR(MATCH(AG65,Tables!$C$43:$C$76,1),1),ROWS(Tables!$C$43:$C$76)-1))))))</f>
        <v>0.44739130434782609</v>
      </c>
      <c r="AM65" s="181">
        <f>(INDEX(Tables!$B$80:$B$87,MAX(1,MIN(IFERROR(MATCH(AH65,Tables!$A$80:$A$87,1),1),ROWS(Tables!$A$80:$A$87)-1)))+(AH65-INDEX(Tables!$A$80:$A$87,MAX(1,MIN(IFERROR(MATCH(AH65,Tables!$A$80:$A$87,1),1),ROWS(Tables!$A$80:$A$87)-1))))*(INDEX(Tables!$B$80:$B$87,MAX(1,MIN(IFERROR(MATCH(AH65,Tables!$A$80:$A$87,1),1),ROWS(Tables!$A$80:$A$87)-1))+1)-INDEX(Tables!$B$80:$B$87,MAX(1,MIN(IFERROR(MATCH(AH65,Tables!$A$80:$A$87,1),1),ROWS(Tables!$A$80:$A$87)-1))))/(INDEX(Tables!$A$80:$A$87,MAX(1,MIN(IFERROR(MATCH(AH65,Tables!$A$80:$A$87,1),1),ROWS(Tables!$A$80:$A$87)-1))+1)-INDEX(Tables!$A$80:$A$87,MAX(1,MIN(IFERROR(MATCH(AH65,Tables!$A$80:$A$87,1),1),ROWS(Tables!$A$80:$A$87)-1)))))</f>
        <v>1.403996226415094</v>
      </c>
      <c r="AN65" s="181">
        <f t="shared" si="39"/>
        <v>125.48101181502938</v>
      </c>
      <c r="AO65" s="181">
        <f>(INDEX(Tables!$B$91:$B$94,MAX(1,MIN(IFERROR(MATCH(P65,Tables!$A$91:$A$94,1),1),ROWS(Tables!$A$91:$A$94)-1)))+(P65-INDEX(Tables!$A$91:$A$94,MAX(1,MIN(IFERROR(MATCH(P65,Tables!$A$91:$A$94,1),1),ROWS(Tables!$A$91:$A$94)-1))))*(INDEX(Tables!$B$91:$B$94,MAX(1,MIN(IFERROR(MATCH(P65,Tables!$A$91:$A$94,1),1),ROWS(Tables!$A$91:$A$94)-1))+1)-INDEX(Tables!$B$91:$B$94,MAX(1,MIN(IFERROR(MATCH(P65,Tables!$A$91:$A$94,1),1),ROWS(Tables!$A$91:$A$94)-1))))/(INDEX(Tables!$A$91:$A$94,MAX(1,MIN(IFERROR(MATCH(P65,Tables!$A$91:$A$94,1),1),ROWS(Tables!$A$91:$A$94)-1))+1)-INDEX(Tables!$A$91:$A$94,MAX(1,MIN(IFERROR(MATCH(P65,Tables!$A$91:$A$94,1),1),ROWS(Tables!$A$91:$A$94)-1)))))</f>
        <v>1.5</v>
      </c>
      <c r="AP65" s="181">
        <f>IF(AD65=5000,(INDEX(Tables!$B$99:$B$118,MAX(1,MIN(IFERROR(MATCH(AF65,Tables!$A$99:$A$118,1),1),ROWS(Tables!$A$99:$A$118)-1)))+(AF65-INDEX(Tables!$A$99:$A$118,MAX(1,MIN(IFERROR(MATCH(AF65,Tables!$A$99:$A$118,1),1),ROWS(Tables!$A$99:$A$118)-1))))*(INDEX(Tables!$B$99:$B$118,MAX(1,MIN(IFERROR(MATCH(AF65,Tables!$A$99:$A$118,1),1),ROWS(Tables!$A$99:$A$118)-1))+1)-INDEX(Tables!$B$99:$B$118,MAX(1,MIN(IFERROR(MATCH(AF65,Tables!$A$99:$A$118,1),1),ROWS(Tables!$A$99:$A$118)-1))))/(INDEX(Tables!$A$99:$A$118,MAX(1,MIN(IFERROR(MATCH(AF65,Tables!$A$99:$A$118,1),1),ROWS(Tables!$A$99:$A$118)-1))+1)-INDEX(Tables!$A$99:$A$118,MAX(1,MIN(IFERROR(MATCH(AF65,Tables!$A$99:$A$118,1),1),ROWS(Tables!$A$99:$A$118)-1))))),IF(AD65=10000,(INDEX(Tables!$D$99:$D$118,MAX(1,MIN(IFERROR(MATCH(AF65,Tables!$C$99:$C$118,1),1),ROWS(Tables!$C$99:$C$118)-1)))+(AF65-INDEX(Tables!$C$99:$C$118,MAX(1,MIN(IFERROR(MATCH(AF65,Tables!$C$99:$C$118,1),1),ROWS(Tables!$C$99:$C$118)-1))))*(INDEX(Tables!$D$99:$D$118,MAX(1,MIN(IFERROR(MATCH(AF65,Tables!$C$99:$C$118,1),1),ROWS(Tables!$C$99:$C$118)-1))+1)-INDEX(Tables!$D$99:$D$118,MAX(1,MIN(IFERROR(MATCH(AF65,Tables!$C$99:$C$118,1),1),ROWS(Tables!$C$99:$C$118)-1))))/(INDEX(Tables!$C$99:$C$118,MAX(1,MIN(IFERROR(MATCH(AF65,Tables!$C$99:$C$118,1),1),ROWS(Tables!$C$99:$C$118)-1))+1)-INDEX(Tables!$C$99:$C$118,MAX(1,MIN(IFERROR(MATCH(AF65,Tables!$C$99:$C$118,1),1),ROWS(Tables!$C$99:$C$118)-1))))),(INDEX(Tables!$F$99:$F$118,MAX(1,MIN(IFERROR(MATCH(AF65,Tables!$E$99:$E$118,1),1),ROWS(Tables!$E$99:$E$118)-1)))+(AF65-INDEX(Tables!$E$99:$E$118,MAX(1,MIN(IFERROR(MATCH(AF65,Tables!$E$99:$E$118,1),1),ROWS(Tables!$E$99:$E$118)-1))))*(INDEX(Tables!$F$99:$F$118,MAX(1,MIN(IFERROR(MATCH(AF65,Tables!$E$99:$E$118,1),1),ROWS(Tables!$E$99:$E$118)-1))+1)-INDEX(Tables!$F$99:$F$118,MAX(1,MIN(IFERROR(MATCH(AF65,Tables!$E$99:$E$118,1),1),ROWS(Tables!$E$99:$E$118)-1))))/(INDEX(Tables!$E$99:$E$118,MAX(1,MIN(IFERROR(MATCH(AF65,Tables!$E$99:$E$118,1),1),ROWS(Tables!$E$99:$E$118)-1))+1)-INDEX(Tables!$E$99:$E$118,MAX(1,MIN(IFERROR(MATCH(AF65,Tables!$E$99:$E$118,1),1),ROWS(Tables!$E$99:$E$118)-1)))))))</f>
        <v>5.6291529705286134</v>
      </c>
      <c r="AQ65" s="181">
        <f>IF(P65&lt;6,(INDEX(Tables!$B$123:$B$138,MAX(1,MIN(IFERROR(MATCH(U65,Tables!$A$123:$A$138,1),1),ROWS(Tables!$A$123:$A$138)-1)))+(U65-INDEX(Tables!$A$123:$A$138,MAX(1,MIN(IFERROR(MATCH(U65,Tables!$A$123:$A$138,1),1),ROWS(Tables!$A$123:$A$138)-1))))*(INDEX(Tables!$B$123:$B$138,MAX(1,MIN(IFERROR(MATCH(U65,Tables!$A$123:$A$138,1),1),ROWS(Tables!$A$123:$A$138)-1))+1)-INDEX(Tables!$B$123:$B$138,MAX(1,MIN(IFERROR(MATCH(U65,Tables!$A$123:$A$138,1),1),ROWS(Tables!$A$123:$A$138)-1))))/(INDEX(Tables!$A$123:$A$138,MAX(1,MIN(IFERROR(MATCH(U65,Tables!$A$123:$A$138,1),1),ROWS(Tables!$A$123:$A$138)-1))+1)-INDEX(Tables!$A$123:$A$138,MAX(1,MIN(IFERROR(MATCH(U65,Tables!$A$123:$A$138,1),1),ROWS(Tables!$A$123:$A$138)-1))))),IF(P65&lt;8,(INDEX(Tables!$D$123:$D$138,MAX(1,MIN(IFERROR(MATCH(U65,Tables!$C$123:$C$138,1),1),ROWS(Tables!$C$123:$C$138)-1)))+(U65-INDEX(Tables!$C$123:$C$138,MAX(1,MIN(IFERROR(MATCH(U65,Tables!$C$123:$C$138,1),1),ROWS(Tables!$C$123:$C$138)-1))))*(INDEX(Tables!$D$123:$D$138,MAX(1,MIN(IFERROR(MATCH(U65,Tables!$C$123:$C$138,1),1),ROWS(Tables!$C$123:$C$138)-1))+1)-INDEX(Tables!$D$123:$D$138,MAX(1,MIN(IFERROR(MATCH(U65,Tables!$C$123:$C$138,1),1),ROWS(Tables!$C$123:$C$138)-1))))/(INDEX(Tables!$C$123:$C$138,MAX(1,MIN(IFERROR(MATCH(U65,Tables!$C$123:$C$138,1),1),ROWS(Tables!$C$123:$C$138)-1))+1)-INDEX(Tables!$C$123:$C$138,MAX(1,MIN(IFERROR(MATCH(U65,Tables!$C$123:$C$138,1),1),ROWS(Tables!$C$123:$C$138)-1))))),IF(P65&lt;10,(INDEX(Tables!$F$123:$F$138,MAX(1,MIN(IFERROR(MATCH(U65,Tables!$E$123:$E$138,1),1),ROWS(Tables!$E$123:$E$138)-1)))+(U65-INDEX(Tables!$E$123:$E$138,MAX(1,MIN(IFERROR(MATCH(U65,Tables!$E$123:$E$138,1),1),ROWS(Tables!$E$123:$E$138)-1))))*(INDEX(Tables!$F$123:$F$138,MAX(1,MIN(IFERROR(MATCH(U65,Tables!$E$123:$E$138,1),1),ROWS(Tables!$E$123:$E$138)-1))+1)-INDEX(Tables!$F$123:$F$138,MAX(1,MIN(IFERROR(MATCH(U65,Tables!$E$123:$E$138,1),1),ROWS(Tables!$E$123:$E$138)-1))))/(INDEX(Tables!$E$123:$E$138,MAX(1,MIN(IFERROR(MATCH(U65,Tables!$E$123:$E$138,1),1),ROWS(Tables!$E$123:$E$138)-1))+1)-INDEX(Tables!$E$123:$E$138,MAX(1,MIN(IFERROR(MATCH(U65,Tables!$E$123:$E$138,1),1),ROWS(Tables!$E$123:$E$138)-1))))),(INDEX(Tables!$H$123:$H$138,MAX(1,MIN(IFERROR(MATCH(U65,Tables!$G$123:$G$138,1),1),ROWS(Tables!$G$123:$G$138)-1)))+(U65-INDEX(Tables!$G$123:$G$138,MAX(1,MIN(IFERROR(MATCH(U65,Tables!$G$123:$G$138,1),1),ROWS(Tables!$G$123:$G$138)-1))))*(INDEX(Tables!$H$123:$H$138,MAX(1,MIN(IFERROR(MATCH(U65,Tables!$G$123:$G$138,1),1),ROWS(Tables!$G$123:$G$138)-1))+1)-INDEX(Tables!$H$123:$H$138,MAX(1,MIN(IFERROR(MATCH(U65,Tables!$G$123:$G$138,1),1),ROWS(Tables!$G$123:$G$138)-1))))/(INDEX(Tables!$G$123:$G$138,MAX(1,MIN(IFERROR(MATCH(U65,Tables!$G$123:$G$138,1),1),ROWS(Tables!$G$123:$G$138)-1))+1)-INDEX(Tables!$G$123:$G$138,MAX(1,MIN(IFERROR(MATCH(U65,Tables!$G$123:$G$138,1),1),ROWS(Tables!$G$123:$G$138)-1))))))))</f>
        <v>1.4501250000000001</v>
      </c>
      <c r="AR65" s="181">
        <f>IF(OR(P65&gt;=4,U65&gt;12),VLOOKUP(R65&amp;" "&amp;S65,Tables!$D$143:$F$148,2,FALSE),VLOOKUP(R65&amp;" "&amp;S65,Tables!$A$143:$C$148,2,FALSE))</f>
        <v>1</v>
      </c>
      <c r="AS65" s="181">
        <f>IF(OR(P65&gt;=4,U65&gt;12),VLOOKUP(R65&amp;" "&amp;S65,Tables!$D$143:$F$148,3,FALSE),VLOOKUP(R65&amp;" "&amp;S65,Tables!$A$143:$C$148,3,FALSE))</f>
        <v>1</v>
      </c>
      <c r="AT65" s="181">
        <f t="shared" si="40"/>
        <v>850.30994285289637</v>
      </c>
      <c r="AU65" s="181">
        <f>IF(AD65=5000,(INDEX(Tables!$B$244:$B$263,MAX(1,MIN(IFERROR(MATCH(AF65,Tables!$A$244:$A$263,1),1),ROWS(Tables!$A$244:$A$263)-1)))+(AF65-INDEX(Tables!$A$244:$A$263,MAX(1,MIN(IFERROR(MATCH(AF65,Tables!$A$244:$A$263,1),1),ROWS(Tables!$A$244:$A$263)-1))))*(INDEX(Tables!$B$244:$B$263,MAX(1,MIN(IFERROR(MATCH(AF65,Tables!$A$244:$A$263,1),1),ROWS(Tables!$A$244:$A$263)-1))+1)-INDEX(Tables!$B$244:$B$263,MAX(1,MIN(IFERROR(MATCH(AF65,Tables!$A$244:$A$263,1),1),ROWS(Tables!$A$244:$A$263)-1))))/(INDEX(Tables!$A$244:$A$263,MAX(1,MIN(IFERROR(MATCH(AF65,Tables!$A$244:$A$263,1),1),ROWS(Tables!$A$244:$A$263)-1))+1)-INDEX(Tables!$A$244:$A$263,MAX(1,MIN(IFERROR(MATCH(AF65,Tables!$A$244:$A$263,1),1),ROWS(Tables!$A$244:$A$263)-1))))),IF(AD65=10000,(INDEX(Tables!$D$244:$D$263,MAX(1,MIN(IFERROR(MATCH(AF65,Tables!$C$244:$C$263,1),1),ROWS(Tables!$C$244:$C$263)-1)))+(AF65-INDEX(Tables!$C$244:$C$263,MAX(1,MIN(IFERROR(MATCH(AF65,Tables!$C$244:$C$263,1),1),ROWS(Tables!$C$244:$C$263)-1))))*(INDEX(Tables!$D$244:$D$263,MAX(1,MIN(IFERROR(MATCH(AF65,Tables!$C$244:$C$263,1),1),ROWS(Tables!$C$244:$C$263)-1))+1)-INDEX(Tables!$D$244:$D$263,MAX(1,MIN(IFERROR(MATCH(AF65,Tables!$C$244:$C$263,1),1),ROWS(Tables!$C$244:$C$263)-1))))/(INDEX(Tables!$C$244:$C$263,MAX(1,MIN(IFERROR(MATCH(AF65,Tables!$C$244:$C$263,1),1),ROWS(Tables!$C$244:$C$263)-1))+1)-INDEX(Tables!$C$244:$C$263,MAX(1,MIN(IFERROR(MATCH(AF65,Tables!$C$244:$C$263,1),1),ROWS(Tables!$C$244:$C$263)-1))))),(INDEX(Tables!$F$244:$F$263,MAX(1,MIN(IFERROR(MATCH(AF65,Tables!$E$244:$E$263,1),1),ROWS(Tables!$E$244:$E$263)-1)))+(AF65-INDEX(Tables!$E$244:$E$263,MAX(1,MIN(IFERROR(MATCH(AF65,Tables!$E$244:$E$263,1),1),ROWS(Tables!$E$244:$E$263)-1))))*(INDEX(Tables!$F$244:$F$263,MAX(1,MIN(IFERROR(MATCH(AF65,Tables!$E$244:$E$263,1),1),ROWS(Tables!$E$244:$E$263)-1))+1)-INDEX(Tables!$F$244:$F$263,MAX(1,MIN(IFERROR(MATCH(AF65,Tables!$E$244:$E$263,1),1),ROWS(Tables!$E$244:$E$263)-1))))/(INDEX(Tables!$E$244:$E$263,MAX(1,MIN(IFERROR(MATCH(AF65,Tables!$E$244:$E$263,1),1),ROWS(Tables!$E$244:$E$263)-1))+1)-INDEX(Tables!$E$244:$E$263,MAX(1,MIN(IFERROR(MATCH(AF65,Tables!$E$244:$E$263,1),1),ROWS(Tables!$E$244:$E$263)-1)))))))</f>
        <v>8.2111547169811328</v>
      </c>
      <c r="AV65" s="181">
        <f>IF(P65&lt;6,(INDEX(Tables!$B$260:$B$274,MAX(1,MIN(IFERROR(MATCH(U65,Tables!$A$260:$A$274,1),1),ROWS(Tables!$A$260:$A$274)-1)))+(U65-INDEX(Tables!$A$260:$A$274,MAX(1,MIN(IFERROR(MATCH(U65,Tables!$A$260:$A$274,1),1),ROWS(Tables!$A$260:$A$274)-1))))*(INDEX(Tables!$B$260:$B$274,MAX(1,MIN(IFERROR(MATCH(U65,Tables!$A$260:$A$274,1),1),ROWS(Tables!$A$260:$A$274)-1))+1)-INDEX(Tables!$B$260:$B$274,MAX(1,MIN(IFERROR(MATCH(U65,Tables!$A$260:$A$274,1),1),ROWS(Tables!$A$260:$A$274)-1))))/(INDEX(Tables!$A$260:$A$274,MAX(1,MIN(IFERROR(MATCH(U65,Tables!$A$260:$A$274,1),1),ROWS(Tables!$A$260:$A$274)-1))+1)-INDEX(Tables!$A$260:$A$274,MAX(1,MIN(IFERROR(MATCH(U65,Tables!$A$260:$A$274,1),1),ROWS(Tables!$A$260:$A$274)-1))))),IF(P65&lt;8,(INDEX(Tables!$D$260:$D$274,MAX(1,MIN(IFERROR(MATCH(U65,Tables!$C$260:$C$274,1),1),ROWS(Tables!$C$260:$C$274)-1)))+(U65-INDEX(Tables!$C$260:$C$274,MAX(1,MIN(IFERROR(MATCH(U65,Tables!$C$260:$C$274,1),1),ROWS(Tables!$C$260:$C$274)-1))))*(INDEX(Tables!$D$260:$D$274,MAX(1,MIN(IFERROR(MATCH(U65,Tables!$C$260:$C$274,1),1),ROWS(Tables!$C$260:$C$274)-1))+1)-INDEX(Tables!$D$260:$D$274,MAX(1,MIN(IFERROR(MATCH(U65,Tables!$C$260:$C$274,1),1),ROWS(Tables!$C$260:$C$274)-1))))/(INDEX(Tables!$C$260:$C$274,MAX(1,MIN(IFERROR(MATCH(U65,Tables!$C$260:$C$274,1),1),ROWS(Tables!$C$260:$C$274)-1))+1)-INDEX(Tables!$C$260:$C$274,MAX(1,MIN(IFERROR(MATCH(U65,Tables!$C$260:$C$274,1),1),ROWS(Tables!$C$260:$C$274)-1))))),IF(P65&lt;10,(INDEX(Tables!$F$260:$F$274,MAX(1,MIN(IFERROR(MATCH(U65,Tables!$E$260:$E$274,1),1),ROWS(Tables!$E$260:$E$274)-1)))+(U65-INDEX(Tables!$E$260:$E$274,MAX(1,MIN(IFERROR(MATCH(U65,Tables!$E$260:$E$274,1),1),ROWS(Tables!$E$260:$E$274)-1))))*(INDEX(Tables!$F$260:$F$274,MAX(1,MIN(IFERROR(MATCH(U65,Tables!$E$260:$E$274,1),1),ROWS(Tables!$E$260:$E$274)-1))+1)-INDEX(Tables!$F$260:$F$274,MAX(1,MIN(IFERROR(MATCH(U65,Tables!$E$260:$E$274,1),1),ROWS(Tables!$E$260:$E$274)-1))))/(INDEX(Tables!$E$260:$E$274,MAX(1,MIN(IFERROR(MATCH(U65,Tables!$E$260:$E$274,1),1),ROWS(Tables!$E$260:$E$274)-1))+1)-INDEX(Tables!$E$260:$E$274,MAX(1,MIN(IFERROR(MATCH(U65,Tables!$E$260:$E$274,1),1),ROWS(Tables!$E$260:$E$274)-1))))),(INDEX(Tables!$H$260:$H$274,MAX(1,MIN(IFERROR(MATCH(U65,Tables!$G$260:$G$274,1),1),ROWS(Tables!$G$260:$G$274)-1)))+(U65-INDEX(Tables!$G$260:$G$274,MAX(1,MIN(IFERROR(MATCH(U65,Tables!$G$260:$G$274,1),1),ROWS(Tables!$G$260:$G$274)-1))))*(INDEX(Tables!$H$260:$H$274,MAX(1,MIN(IFERROR(MATCH(U65,Tables!$G$260:$G$274,1),1),ROWS(Tables!$G$260:$G$274)-1))+1)-INDEX(Tables!$H$260:$H$274,MAX(1,MIN(IFERROR(MATCH(U65,Tables!$G$260:$G$274,1),1),ROWS(Tables!$G$260:$G$274)-1))))/(INDEX(Tables!$G$260:$G$274,MAX(1,MIN(IFERROR(MATCH(U65,Tables!$G$260:$G$274,1),1),ROWS(Tables!$G$260:$G$274)-1))+1)-INDEX(Tables!$G$260:$G$274,MAX(1,MIN(IFERROR(MATCH(U65,Tables!$G$260:$G$274,1),1),ROWS(Tables!$G$260:$G$274)-1))))))))</f>
        <v>1.4965000000000002</v>
      </c>
      <c r="AW65" s="181">
        <f t="shared" si="41"/>
        <v>1279.9992743710693</v>
      </c>
      <c r="AX65" s="181">
        <f t="shared" si="42"/>
        <v>13146.279069767443</v>
      </c>
      <c r="AY65" s="181">
        <f t="shared" si="43"/>
        <v>14122.070024435368</v>
      </c>
      <c r="AZ65" s="181">
        <f t="shared" si="44"/>
        <v>5261.5272988458109</v>
      </c>
      <c r="BA65" s="181">
        <f t="shared" si="45"/>
        <v>-1440</v>
      </c>
      <c r="BB65" s="181">
        <f t="shared" si="46"/>
        <v>13520.312662335207</v>
      </c>
      <c r="BC65" s="181">
        <f t="shared" si="47"/>
        <v>46800</v>
      </c>
      <c r="BD65" s="181">
        <f>VLOOKUP(V65&amp;" "&amp;J65,Tables!$A$152:$E$239,4,FALSE)</f>
        <v>12000</v>
      </c>
      <c r="BE65" s="181">
        <f>VLOOKUP(V65&amp;" "&amp;J65,Tables!$A$152:$E$239,5,FALSE)</f>
        <v>23000</v>
      </c>
      <c r="BF65" s="181">
        <f t="shared" si="48"/>
        <v>8640</v>
      </c>
      <c r="BG65" s="181">
        <f t="shared" si="49"/>
        <v>16560</v>
      </c>
      <c r="BH65" s="181">
        <f t="shared" si="50"/>
        <v>13866.279069767443</v>
      </c>
      <c r="BI65" s="181">
        <f t="shared" si="51"/>
        <v>46800</v>
      </c>
      <c r="BJ65" s="181">
        <f t="shared" si="52"/>
        <v>13520.312662335207</v>
      </c>
      <c r="BK65" s="181">
        <f t="shared" si="53"/>
        <v>46800</v>
      </c>
      <c r="BL65" s="181">
        <f t="shared" si="54"/>
        <v>1279.9992743710693</v>
      </c>
      <c r="BM65" s="181">
        <f t="shared" si="55"/>
        <v>8640</v>
      </c>
      <c r="BN65" s="181">
        <f t="shared" si="56"/>
        <v>850.30994285289637</v>
      </c>
      <c r="BO65" s="181">
        <f t="shared" si="57"/>
        <v>16560</v>
      </c>
      <c r="BP65" t="str">
        <f t="shared" si="58"/>
        <v>Pass</v>
      </c>
      <c r="BQ65" t="str">
        <f t="shared" si="59"/>
        <v>Pass</v>
      </c>
      <c r="BR65" t="str">
        <f t="shared" si="60"/>
        <v>Pass</v>
      </c>
      <c r="BS65" t="str">
        <f t="shared" si="61"/>
        <v>Pass</v>
      </c>
      <c r="BT65" t="str">
        <f t="shared" si="62"/>
        <v>Pass</v>
      </c>
      <c r="BU65" t="str">
        <f t="shared" si="63"/>
        <v>Barlow Stress</v>
      </c>
    </row>
    <row r="66" spans="1:73">
      <c r="A66" t="s">
        <v>658</v>
      </c>
      <c r="B66" s="181">
        <v>64</v>
      </c>
      <c r="C66" t="s">
        <v>594</v>
      </c>
      <c r="D66" s="181">
        <v>8</v>
      </c>
      <c r="E66" s="181">
        <v>0.375</v>
      </c>
      <c r="F66" t="s">
        <v>117</v>
      </c>
      <c r="G66" t="s">
        <v>119</v>
      </c>
      <c r="H66" t="s">
        <v>122</v>
      </c>
      <c r="I66" s="181">
        <v>1</v>
      </c>
      <c r="J66" t="s">
        <v>126</v>
      </c>
      <c r="K66" t="s">
        <v>129</v>
      </c>
      <c r="L66" s="181">
        <v>70</v>
      </c>
      <c r="M66" s="181">
        <v>1440</v>
      </c>
      <c r="N66" t="s">
        <v>388</v>
      </c>
      <c r="O66" s="181">
        <v>120</v>
      </c>
      <c r="P66" s="181">
        <v>3</v>
      </c>
      <c r="Q66" s="181">
        <v>10.625</v>
      </c>
      <c r="R66" t="s">
        <v>154</v>
      </c>
      <c r="S66" t="s">
        <v>156</v>
      </c>
      <c r="T66" s="181">
        <v>70</v>
      </c>
      <c r="U66" s="181">
        <f>HLOOKUP(D66,'Highway Loading'!$C$155:$AD$156,2,FALSE)</f>
        <v>8.625</v>
      </c>
      <c r="V66" s="181">
        <f>IF(ISBLANK(G66),"",INDEX('Highway Loading'!$C$216:$AG$216,1,MATCH(G66,'Highway Loading'!$C$215:$AG$215,0)))</f>
        <v>65000</v>
      </c>
      <c r="W66" s="181">
        <f>INDEX('Highway Loading'!$I$245:$L$253,MATCH(H66,'Highway Loading'!$H$245:$H$253,0),MATCH(I66,'Highway Loading'!$I$244:$L$244,0))</f>
        <v>0.72</v>
      </c>
      <c r="X66" s="181">
        <f t="shared" ref="X66:X97" si="64">IF(ISBLANK(J66),"",IF(OR(J66="SEAMLESS",J66="ELECTRIC RESISTANCE WELDED",J66="SUBMERGED ARC WELDED",J66="COMBINATION WELDED"),1,IF(J66="FURNACE BUTT WELDED",0.6,IF(J66="ELECTRIC FUSION WELDED, EVEN CLASS",1,IF(J66="ELECTRIC FUSION WELDED, ODD CLASS",0.8,IF(U66&gt;4.5,0.8,0.6))))))</f>
        <v>1</v>
      </c>
      <c r="Y66" s="181">
        <f>VLOOKUP(K66,'Highway Loading'!$B$283:$E$292,2,FALSE)</f>
        <v>29000000</v>
      </c>
      <c r="Z66" s="181">
        <f>VLOOKUP(K66,'Highway Loading'!$B$283:$E$292,3,FALSE)</f>
        <v>0.3</v>
      </c>
      <c r="AA66" s="181">
        <f>VLOOKUP(K66,'Highway Loading'!$B$283:$E$292,4,FALSE)</f>
        <v>6.4999999999999996E-6</v>
      </c>
      <c r="AB66" s="181">
        <f t="shared" ref="AB66:AB97" si="65">IF(L66&gt;250,1-(1/30/50*(L66-250)),1)</f>
        <v>1</v>
      </c>
      <c r="AC66" s="181">
        <f>VLOOKUP(N66,'Highway Loading'!$B$256:$D$261,2,FALSE)</f>
        <v>200</v>
      </c>
      <c r="AD66" s="181">
        <f>VLOOKUP(N66,'Highway Loading'!$B$256:$D$261,3,FALSE)</f>
        <v>5000</v>
      </c>
      <c r="AE66" s="181">
        <f>VLOOKUP(S66,'Highway Loading'!$B$340:$C$341,2,FALSE)</f>
        <v>10000</v>
      </c>
      <c r="AF66" s="181">
        <f t="shared" ref="AF66:AF97" si="66">E66/U66</f>
        <v>4.3478260869565216E-2</v>
      </c>
      <c r="AG66" s="181">
        <f t="shared" ref="AG66:AG97" si="67">P66*12/Q66</f>
        <v>3.388235294117647</v>
      </c>
      <c r="AH66" s="181">
        <f t="shared" ref="AH66:AH97" si="68">Q66/U66</f>
        <v>1.2318840579710144</v>
      </c>
      <c r="AI66" s="181">
        <f t="shared" ref="AI66:AI97" si="69">M66*U66/(2*E66)</f>
        <v>16560</v>
      </c>
      <c r="AJ66" s="181">
        <f t="shared" ref="AJ66:AJ97" si="70">W66*X66*AB66*V66</f>
        <v>46800</v>
      </c>
      <c r="AK66" s="181">
        <f>IF(AC66=200,(INDEX(Tables!$B$17:$B$38,MAX(1,MIN(IFERROR(MATCH(AF66,Tables!$A$17:$A$38,1),1),ROWS(Tables!$A$17:$A$38)-1)))+(AF66-INDEX(Tables!$A$17:$A$38,MAX(1,MIN(IFERROR(MATCH(AF66,Tables!$A$17:$A$38,1),1),ROWS(Tables!$A$17:$A$38)-1))))*(INDEX(Tables!$B$17:$B$38,MAX(1,MIN(IFERROR(MATCH(AF66,Tables!$A$17:$A$38,1),1),ROWS(Tables!$A$17:$A$38)-1))+1)-INDEX(Tables!$B$17:$B$38,MAX(1,MIN(IFERROR(MATCH(AF66,Tables!$A$17:$A$38,1),1),ROWS(Tables!$A$17:$A$38)-1))))/(INDEX(Tables!$A$17:$A$38,MAX(1,MIN(IFERROR(MATCH(AF66,Tables!$A$17:$A$38,1),1),ROWS(Tables!$A$17:$A$38)-1))+1)-INDEX(Tables!$A$17:$A$38,MAX(1,MIN(IFERROR(MATCH(AF66,Tables!$A$17:$A$38,1),1),ROWS(Tables!$A$17:$A$38)-1))))),IF(AC66=500,(INDEX(Tables!$D$17:$D$38,MAX(1,MIN(IFERROR(MATCH(AF66,Tables!$C$17:$C$38,1),1),ROWS(Tables!$C$17:$C$38)-1)))+(AF66-INDEX(Tables!$C$17:$C$38,MAX(1,MIN(IFERROR(MATCH(AF66,Tables!$C$17:$C$38,1),1),ROWS(Tables!$C$17:$C$38)-1))))*(INDEX(Tables!$D$17:$D$38,MAX(1,MIN(IFERROR(MATCH(AF66,Tables!$C$17:$C$38,1),1),ROWS(Tables!$C$17:$C$38)-1))+1)-INDEX(Tables!$D$17:$D$38,MAX(1,MIN(IFERROR(MATCH(AF66,Tables!$C$17:$C$38,1),1),ROWS(Tables!$C$17:$C$38)-1))))/(INDEX(Tables!$C$17:$C$38,MAX(1,MIN(IFERROR(MATCH(AF66,Tables!$C$17:$C$38,1),1),ROWS(Tables!$C$17:$C$38)-1))+1)-INDEX(Tables!$C$17:$C$38,MAX(1,MIN(IFERROR(MATCH(AF66,Tables!$C$17:$C$38,1),1),ROWS(Tables!$C$17:$C$38)-1))))),IF(AC66=1000,(INDEX(Tables!$F$17:$F$38,MAX(1,MIN(IFERROR(MATCH(AF66,Tables!$E$17:$E$38,1),1),ROWS(Tables!$E$17:$E$38)-1)))+(AF66-INDEX(Tables!$E$17:$E$38,MAX(1,MIN(IFERROR(MATCH(AF66,Tables!$E$17:$E$38,1),1),ROWS(Tables!$E$17:$E$38)-1))))*(INDEX(Tables!$F$17:$F$38,MAX(1,MIN(IFERROR(MATCH(AF66,Tables!$E$17:$E$38,1),1),ROWS(Tables!$E$17:$E$38)-1))+1)-INDEX(Tables!$F$17:$F$38,MAX(1,MIN(IFERROR(MATCH(AF66,Tables!$E$17:$E$38,1),1),ROWS(Tables!$E$17:$E$38)-1))))/(INDEX(Tables!$E$17:$E$38,MAX(1,MIN(IFERROR(MATCH(AF66,Tables!$E$17:$E$38,1),1),ROWS(Tables!$E$17:$E$38)-1))+1)-INDEX(Tables!$E$17:$E$38,MAX(1,MIN(IFERROR(MATCH(AF66,Tables!$E$17:$E$38,1),1),ROWS(Tables!$E$17:$E$38)-1))))),(INDEX(Tables!$H$17:$H$38,MAX(1,MIN(IFERROR(MATCH(AF66,Tables!$G$17:$G$38,1),1),ROWS(Tables!$G$17:$G$38)-1)))+(AF66-INDEX(Tables!$G$17:$G$38,MAX(1,MIN(IFERROR(MATCH(AF66,Tables!$G$17:$G$38,1),1),ROWS(Tables!$G$17:$G$38)-1))))*(INDEX(Tables!$H$17:$H$38,MAX(1,MIN(IFERROR(MATCH(AF66,Tables!$G$17:$G$38,1),1),ROWS(Tables!$G$17:$G$38)-1))+1)-INDEX(Tables!$H$17:$H$38,MAX(1,MIN(IFERROR(MATCH(AF66,Tables!$G$17:$G$38,1),1),ROWS(Tables!$G$17:$G$38)-1))))/(INDEX(Tables!$G$17:$G$38,MAX(1,MIN(IFERROR(MATCH(AF66,Tables!$G$17:$G$38,1),1),ROWS(Tables!$G$17:$G$38)-1))+1)-INDEX(Tables!$G$17:$G$38,MAX(1,MIN(IFERROR(MATCH(AF66,Tables!$G$17:$G$38,1),1),ROWS(Tables!$G$17:$G$38)-1))))))))</f>
        <v>560.60869565217388</v>
      </c>
      <c r="AL66" s="181">
        <f>IF(AC66&lt;1000,(INDEX(Tables!$B$43:$B$76,MAX(1,MIN(IFERROR(MATCH(AG66,Tables!$A$43:$A$76,1),1),ROWS(Tables!$A$43:$A$76)-1)))+(AG66-INDEX(Tables!$A$43:$A$76,MAX(1,MIN(IFERROR(MATCH(AG66,Tables!$A$43:$A$76,1),1),ROWS(Tables!$A$43:$A$76)-1))))*(INDEX(Tables!$B$43:$B$76,MAX(1,MIN(IFERROR(MATCH(AG66,Tables!$A$43:$A$76,1),1),ROWS(Tables!$A$43:$A$76)-1))+1)-INDEX(Tables!$B$43:$B$76,MAX(1,MIN(IFERROR(MATCH(AG66,Tables!$A$43:$A$76,1),1),ROWS(Tables!$A$43:$A$76)-1))))/(INDEX(Tables!$A$43:$A$76,MAX(1,MIN(IFERROR(MATCH(AG66,Tables!$A$43:$A$76,1),1),ROWS(Tables!$A$43:$A$76)-1))+1)-INDEX(Tables!$A$43:$A$76,MAX(1,MIN(IFERROR(MATCH(AG66,Tables!$A$43:$A$76,1),1),ROWS(Tables!$A$43:$A$76)-1))))),(INDEX(Tables!$D$43:$D$76,MAX(1,MIN(IFERROR(MATCH(AG66,Tables!$C$43:$C$76,1),1),ROWS(Tables!$C$43:$C$76)-1)))+(AG66-INDEX(Tables!$C$43:$C$76,MAX(1,MIN(IFERROR(MATCH(AG66,Tables!$C$43:$C$76,1),1),ROWS(Tables!$C$43:$C$76)-1))))*(INDEX(Tables!$D$43:$D$76,MAX(1,MIN(IFERROR(MATCH(AG66,Tables!$C$43:$C$76,1),1),ROWS(Tables!$C$43:$C$76)-1))+1)-INDEX(Tables!$D$43:$D$76,MAX(1,MIN(IFERROR(MATCH(AG66,Tables!$C$43:$C$76,1),1),ROWS(Tables!$C$43:$C$76)-1))))/(INDEX(Tables!$C$43:$C$76,MAX(1,MIN(IFERROR(MATCH(AG66,Tables!$C$43:$C$76,1),1),ROWS(Tables!$C$43:$C$76)-1))+1)-INDEX(Tables!$C$43:$C$76,MAX(1,MIN(IFERROR(MATCH(AG66,Tables!$C$43:$C$76,1),1),ROWS(Tables!$C$43:$C$76)-1))))))</f>
        <v>0.89796470588235289</v>
      </c>
      <c r="AM66" s="181">
        <f>(INDEX(Tables!$B$80:$B$87,MAX(1,MIN(IFERROR(MATCH(AH66,Tables!$A$80:$A$87,1),1),ROWS(Tables!$A$80:$A$87)-1)))+(AH66-INDEX(Tables!$A$80:$A$87,MAX(1,MIN(IFERROR(MATCH(AH66,Tables!$A$80:$A$87,1),1),ROWS(Tables!$A$80:$A$87)-1))))*(INDEX(Tables!$B$80:$B$87,MAX(1,MIN(IFERROR(MATCH(AH66,Tables!$A$80:$A$87,1),1),ROWS(Tables!$A$80:$A$87)-1))+1)-INDEX(Tables!$B$80:$B$87,MAX(1,MIN(IFERROR(MATCH(AH66,Tables!$A$80:$A$87,1),1),ROWS(Tables!$A$80:$A$87)-1))))/(INDEX(Tables!$A$80:$A$87,MAX(1,MIN(IFERROR(MATCH(AH66,Tables!$A$80:$A$87,1),1),ROWS(Tables!$A$80:$A$87)-1))+1)-INDEX(Tables!$A$80:$A$87,MAX(1,MIN(IFERROR(MATCH(AH66,Tables!$A$80:$A$87,1),1),ROWS(Tables!$A$80:$A$87)-1)))))</f>
        <v>1.2567086956521738</v>
      </c>
      <c r="AN66" s="181">
        <f t="shared" ref="AN66:AN97" si="71">AK66*AL66*AM66*(O66/(12^3))*U66</f>
        <v>378.92244322321761</v>
      </c>
      <c r="AO66" s="181">
        <f>(INDEX(Tables!$B$91:$B$94,MAX(1,MIN(IFERROR(MATCH(P66,Tables!$A$91:$A$94,1),1),ROWS(Tables!$A$91:$A$94)-1)))+(P66-INDEX(Tables!$A$91:$A$94,MAX(1,MIN(IFERROR(MATCH(P66,Tables!$A$91:$A$94,1),1),ROWS(Tables!$A$91:$A$94)-1))))*(INDEX(Tables!$B$91:$B$94,MAX(1,MIN(IFERROR(MATCH(P66,Tables!$A$91:$A$94,1),1),ROWS(Tables!$A$91:$A$94)-1))+1)-INDEX(Tables!$B$91:$B$94,MAX(1,MIN(IFERROR(MATCH(P66,Tables!$A$91:$A$94,1),1),ROWS(Tables!$A$91:$A$94)-1))))/(INDEX(Tables!$A$91:$A$94,MAX(1,MIN(IFERROR(MATCH(P66,Tables!$A$91:$A$94,1),1),ROWS(Tables!$A$91:$A$94)-1))+1)-INDEX(Tables!$A$91:$A$94,MAX(1,MIN(IFERROR(MATCH(P66,Tables!$A$91:$A$94,1),1),ROWS(Tables!$A$91:$A$94)-1)))))</f>
        <v>1.5</v>
      </c>
      <c r="AP66" s="181">
        <f>IF(AD66=5000,(INDEX(Tables!$B$99:$B$118,MAX(1,MIN(IFERROR(MATCH(AF66,Tables!$A$99:$A$118,1),1),ROWS(Tables!$A$99:$A$118)-1)))+(AF66-INDEX(Tables!$A$99:$A$118,MAX(1,MIN(IFERROR(MATCH(AF66,Tables!$A$99:$A$118,1),1),ROWS(Tables!$A$99:$A$118)-1))))*(INDEX(Tables!$B$99:$B$118,MAX(1,MIN(IFERROR(MATCH(AF66,Tables!$A$99:$A$118,1),1),ROWS(Tables!$A$99:$A$118)-1))+1)-INDEX(Tables!$B$99:$B$118,MAX(1,MIN(IFERROR(MATCH(AF66,Tables!$A$99:$A$118,1),1),ROWS(Tables!$A$99:$A$118)-1))))/(INDEX(Tables!$A$99:$A$118,MAX(1,MIN(IFERROR(MATCH(AF66,Tables!$A$99:$A$118,1),1),ROWS(Tables!$A$99:$A$118)-1))+1)-INDEX(Tables!$A$99:$A$118,MAX(1,MIN(IFERROR(MATCH(AF66,Tables!$A$99:$A$118,1),1),ROWS(Tables!$A$99:$A$118)-1))))),IF(AD66=10000,(INDEX(Tables!$D$99:$D$118,MAX(1,MIN(IFERROR(MATCH(AF66,Tables!$C$99:$C$118,1),1),ROWS(Tables!$C$99:$C$118)-1)))+(AF66-INDEX(Tables!$C$99:$C$118,MAX(1,MIN(IFERROR(MATCH(AF66,Tables!$C$99:$C$118,1),1),ROWS(Tables!$C$99:$C$118)-1))))*(INDEX(Tables!$D$99:$D$118,MAX(1,MIN(IFERROR(MATCH(AF66,Tables!$C$99:$C$118,1),1),ROWS(Tables!$C$99:$C$118)-1))+1)-INDEX(Tables!$D$99:$D$118,MAX(1,MIN(IFERROR(MATCH(AF66,Tables!$C$99:$C$118,1),1),ROWS(Tables!$C$99:$C$118)-1))))/(INDEX(Tables!$C$99:$C$118,MAX(1,MIN(IFERROR(MATCH(AF66,Tables!$C$99:$C$118,1),1),ROWS(Tables!$C$99:$C$118)-1))+1)-INDEX(Tables!$C$99:$C$118,MAX(1,MIN(IFERROR(MATCH(AF66,Tables!$C$99:$C$118,1),1),ROWS(Tables!$C$99:$C$118)-1))))),(INDEX(Tables!$F$99:$F$118,MAX(1,MIN(IFERROR(MATCH(AF66,Tables!$E$99:$E$118,1),1),ROWS(Tables!$E$99:$E$118)-1)))+(AF66-INDEX(Tables!$E$99:$E$118,MAX(1,MIN(IFERROR(MATCH(AF66,Tables!$E$99:$E$118,1),1),ROWS(Tables!$E$99:$E$118)-1))))*(INDEX(Tables!$F$99:$F$118,MAX(1,MIN(IFERROR(MATCH(AF66,Tables!$E$99:$E$118,1),1),ROWS(Tables!$E$99:$E$118)-1))+1)-INDEX(Tables!$F$99:$F$118,MAX(1,MIN(IFERROR(MATCH(AF66,Tables!$E$99:$E$118,1),1),ROWS(Tables!$E$99:$E$118)-1))))/(INDEX(Tables!$E$99:$E$118,MAX(1,MIN(IFERROR(MATCH(AF66,Tables!$E$99:$E$118,1),1),ROWS(Tables!$E$99:$E$118)-1))+1)-INDEX(Tables!$E$99:$E$118,MAX(1,MIN(IFERROR(MATCH(AF66,Tables!$E$99:$E$118,1),1),ROWS(Tables!$E$99:$E$118)-1)))))))</f>
        <v>7.5349097621000816</v>
      </c>
      <c r="AQ66" s="181">
        <f>IF(P66&lt;6,(INDEX(Tables!$B$123:$B$138,MAX(1,MIN(IFERROR(MATCH(U66,Tables!$A$123:$A$138,1),1),ROWS(Tables!$A$123:$A$138)-1)))+(U66-INDEX(Tables!$A$123:$A$138,MAX(1,MIN(IFERROR(MATCH(U66,Tables!$A$123:$A$138,1),1),ROWS(Tables!$A$123:$A$138)-1))))*(INDEX(Tables!$B$123:$B$138,MAX(1,MIN(IFERROR(MATCH(U66,Tables!$A$123:$A$138,1),1),ROWS(Tables!$A$123:$A$138)-1))+1)-INDEX(Tables!$B$123:$B$138,MAX(1,MIN(IFERROR(MATCH(U66,Tables!$A$123:$A$138,1),1),ROWS(Tables!$A$123:$A$138)-1))))/(INDEX(Tables!$A$123:$A$138,MAX(1,MIN(IFERROR(MATCH(U66,Tables!$A$123:$A$138,1),1),ROWS(Tables!$A$123:$A$138)-1))+1)-INDEX(Tables!$A$123:$A$138,MAX(1,MIN(IFERROR(MATCH(U66,Tables!$A$123:$A$138,1),1),ROWS(Tables!$A$123:$A$138)-1))))),IF(P66&lt;8,(INDEX(Tables!$D$123:$D$138,MAX(1,MIN(IFERROR(MATCH(U66,Tables!$C$123:$C$138,1),1),ROWS(Tables!$C$123:$C$138)-1)))+(U66-INDEX(Tables!$C$123:$C$138,MAX(1,MIN(IFERROR(MATCH(U66,Tables!$C$123:$C$138,1),1),ROWS(Tables!$C$123:$C$138)-1))))*(INDEX(Tables!$D$123:$D$138,MAX(1,MIN(IFERROR(MATCH(U66,Tables!$C$123:$C$138,1),1),ROWS(Tables!$C$123:$C$138)-1))+1)-INDEX(Tables!$D$123:$D$138,MAX(1,MIN(IFERROR(MATCH(U66,Tables!$C$123:$C$138,1),1),ROWS(Tables!$C$123:$C$138)-1))))/(INDEX(Tables!$C$123:$C$138,MAX(1,MIN(IFERROR(MATCH(U66,Tables!$C$123:$C$138,1),1),ROWS(Tables!$C$123:$C$138)-1))+1)-INDEX(Tables!$C$123:$C$138,MAX(1,MIN(IFERROR(MATCH(U66,Tables!$C$123:$C$138,1),1),ROWS(Tables!$C$123:$C$138)-1))))),IF(P66&lt;10,(INDEX(Tables!$F$123:$F$138,MAX(1,MIN(IFERROR(MATCH(U66,Tables!$E$123:$E$138,1),1),ROWS(Tables!$E$123:$E$138)-1)))+(U66-INDEX(Tables!$E$123:$E$138,MAX(1,MIN(IFERROR(MATCH(U66,Tables!$E$123:$E$138,1),1),ROWS(Tables!$E$123:$E$138)-1))))*(INDEX(Tables!$F$123:$F$138,MAX(1,MIN(IFERROR(MATCH(U66,Tables!$E$123:$E$138,1),1),ROWS(Tables!$E$123:$E$138)-1))+1)-INDEX(Tables!$F$123:$F$138,MAX(1,MIN(IFERROR(MATCH(U66,Tables!$E$123:$E$138,1),1),ROWS(Tables!$E$123:$E$138)-1))))/(INDEX(Tables!$E$123:$E$138,MAX(1,MIN(IFERROR(MATCH(U66,Tables!$E$123:$E$138,1),1),ROWS(Tables!$E$123:$E$138)-1))+1)-INDEX(Tables!$E$123:$E$138,MAX(1,MIN(IFERROR(MATCH(U66,Tables!$E$123:$E$138,1),1),ROWS(Tables!$E$123:$E$138)-1))))),(INDEX(Tables!$H$123:$H$138,MAX(1,MIN(IFERROR(MATCH(U66,Tables!$G$123:$G$138,1),1),ROWS(Tables!$G$123:$G$138)-1)))+(U66-INDEX(Tables!$G$123:$G$138,MAX(1,MIN(IFERROR(MATCH(U66,Tables!$G$123:$G$138,1),1),ROWS(Tables!$G$123:$G$138)-1))))*(INDEX(Tables!$H$123:$H$138,MAX(1,MIN(IFERROR(MATCH(U66,Tables!$G$123:$G$138,1),1),ROWS(Tables!$G$123:$G$138)-1))+1)-INDEX(Tables!$H$123:$H$138,MAX(1,MIN(IFERROR(MATCH(U66,Tables!$G$123:$G$138,1),1),ROWS(Tables!$G$123:$G$138)-1))))/(INDEX(Tables!$G$123:$G$138,MAX(1,MIN(IFERROR(MATCH(U66,Tables!$G$123:$G$138,1),1),ROWS(Tables!$G$123:$G$138)-1))+1)-INDEX(Tables!$G$123:$G$138,MAX(1,MIN(IFERROR(MATCH(U66,Tables!$G$123:$G$138,1),1),ROWS(Tables!$G$123:$G$138)-1))))))))</f>
        <v>1.389875</v>
      </c>
      <c r="AR66" s="181">
        <f>IF(OR(P66&gt;=4,U66&gt;12),VLOOKUP(R66&amp;" "&amp;S66,Tables!$D$143:$F$148,2,FALSE),VLOOKUP(R66&amp;" "&amp;S66,Tables!$A$143:$C$148,2,FALSE))</f>
        <v>1</v>
      </c>
      <c r="AS66" s="181">
        <f>IF(OR(P66&gt;=4,U66&gt;12),VLOOKUP(R66&amp;" "&amp;S66,Tables!$D$143:$F$148,3,FALSE),VLOOKUP(R66&amp;" "&amp;S66,Tables!$A$143:$C$148,3,FALSE))</f>
        <v>1</v>
      </c>
      <c r="AT66" s="181">
        <f t="shared" ref="AT66:AT97" si="72">AP66*AQ66*AR66*AS66*AO66*AE66/(12^2)</f>
        <v>1090.8940318332136</v>
      </c>
      <c r="AU66" s="181">
        <f>IF(AD66=5000,(INDEX(Tables!$B$244:$B$263,MAX(1,MIN(IFERROR(MATCH(AF66,Tables!$A$244:$A$263,1),1),ROWS(Tables!$A$244:$A$263)-1)))+(AF66-INDEX(Tables!$A$244:$A$263,MAX(1,MIN(IFERROR(MATCH(AF66,Tables!$A$244:$A$263,1),1),ROWS(Tables!$A$244:$A$263)-1))))*(INDEX(Tables!$B$244:$B$263,MAX(1,MIN(IFERROR(MATCH(AF66,Tables!$A$244:$A$263,1),1),ROWS(Tables!$A$244:$A$263)-1))+1)-INDEX(Tables!$B$244:$B$263,MAX(1,MIN(IFERROR(MATCH(AF66,Tables!$A$244:$A$263,1),1),ROWS(Tables!$A$244:$A$263)-1))))/(INDEX(Tables!$A$244:$A$263,MAX(1,MIN(IFERROR(MATCH(AF66,Tables!$A$244:$A$263,1),1),ROWS(Tables!$A$244:$A$263)-1))+1)-INDEX(Tables!$A$244:$A$263,MAX(1,MIN(IFERROR(MATCH(AF66,Tables!$A$244:$A$263,1),1),ROWS(Tables!$A$244:$A$263)-1))))),IF(AD66=10000,(INDEX(Tables!$D$244:$D$263,MAX(1,MIN(IFERROR(MATCH(AF66,Tables!$C$244:$C$263,1),1),ROWS(Tables!$C$244:$C$263)-1)))+(AF66-INDEX(Tables!$C$244:$C$263,MAX(1,MIN(IFERROR(MATCH(AF66,Tables!$C$244:$C$263,1),1),ROWS(Tables!$C$244:$C$263)-1))))*(INDEX(Tables!$D$244:$D$263,MAX(1,MIN(IFERROR(MATCH(AF66,Tables!$C$244:$C$263,1),1),ROWS(Tables!$C$244:$C$263)-1))+1)-INDEX(Tables!$D$244:$D$263,MAX(1,MIN(IFERROR(MATCH(AF66,Tables!$C$244:$C$263,1),1),ROWS(Tables!$C$244:$C$263)-1))))/(INDEX(Tables!$C$244:$C$263,MAX(1,MIN(IFERROR(MATCH(AF66,Tables!$C$244:$C$263,1),1),ROWS(Tables!$C$244:$C$263)-1))+1)-INDEX(Tables!$C$244:$C$263,MAX(1,MIN(IFERROR(MATCH(AF66,Tables!$C$244:$C$263,1),1),ROWS(Tables!$C$244:$C$263)-1))))),(INDEX(Tables!$F$244:$F$263,MAX(1,MIN(IFERROR(MATCH(AF66,Tables!$E$244:$E$263,1),1),ROWS(Tables!$E$244:$E$263)-1)))+(AF66-INDEX(Tables!$E$244:$E$263,MAX(1,MIN(IFERROR(MATCH(AF66,Tables!$E$244:$E$263,1),1),ROWS(Tables!$E$244:$E$263)-1))))*(INDEX(Tables!$F$244:$F$263,MAX(1,MIN(IFERROR(MATCH(AF66,Tables!$E$244:$E$263,1),1),ROWS(Tables!$E$244:$E$263)-1))+1)-INDEX(Tables!$F$244:$F$263,MAX(1,MIN(IFERROR(MATCH(AF66,Tables!$E$244:$E$263,1),1),ROWS(Tables!$E$244:$E$263)-1))))/(INDEX(Tables!$E$244:$E$263,MAX(1,MIN(IFERROR(MATCH(AF66,Tables!$E$244:$E$263,1),1),ROWS(Tables!$E$244:$E$263)-1))+1)-INDEX(Tables!$E$244:$E$263,MAX(1,MIN(IFERROR(MATCH(AF66,Tables!$E$244:$E$263,1),1),ROWS(Tables!$E$244:$E$263)-1)))))))</f>
        <v>9.2075652173913038</v>
      </c>
      <c r="AV66" s="181">
        <f>IF(P66&lt;6,(INDEX(Tables!$B$260:$B$274,MAX(1,MIN(IFERROR(MATCH(U66,Tables!$A$260:$A$274,1),1),ROWS(Tables!$A$260:$A$274)-1)))+(U66-INDEX(Tables!$A$260:$A$274,MAX(1,MIN(IFERROR(MATCH(U66,Tables!$A$260:$A$274,1),1),ROWS(Tables!$A$260:$A$274)-1))))*(INDEX(Tables!$B$260:$B$274,MAX(1,MIN(IFERROR(MATCH(U66,Tables!$A$260:$A$274,1),1),ROWS(Tables!$A$260:$A$274)-1))+1)-INDEX(Tables!$B$260:$B$274,MAX(1,MIN(IFERROR(MATCH(U66,Tables!$A$260:$A$274,1),1),ROWS(Tables!$A$260:$A$274)-1))))/(INDEX(Tables!$A$260:$A$274,MAX(1,MIN(IFERROR(MATCH(U66,Tables!$A$260:$A$274,1),1),ROWS(Tables!$A$260:$A$274)-1))+1)-INDEX(Tables!$A$260:$A$274,MAX(1,MIN(IFERROR(MATCH(U66,Tables!$A$260:$A$274,1),1),ROWS(Tables!$A$260:$A$274)-1))))),IF(P66&lt;8,(INDEX(Tables!$D$260:$D$274,MAX(1,MIN(IFERROR(MATCH(U66,Tables!$C$260:$C$274,1),1),ROWS(Tables!$C$260:$C$274)-1)))+(U66-INDEX(Tables!$C$260:$C$274,MAX(1,MIN(IFERROR(MATCH(U66,Tables!$C$260:$C$274,1),1),ROWS(Tables!$C$260:$C$274)-1))))*(INDEX(Tables!$D$260:$D$274,MAX(1,MIN(IFERROR(MATCH(U66,Tables!$C$260:$C$274,1),1),ROWS(Tables!$C$260:$C$274)-1))+1)-INDEX(Tables!$D$260:$D$274,MAX(1,MIN(IFERROR(MATCH(U66,Tables!$C$260:$C$274,1),1),ROWS(Tables!$C$260:$C$274)-1))))/(INDEX(Tables!$C$260:$C$274,MAX(1,MIN(IFERROR(MATCH(U66,Tables!$C$260:$C$274,1),1),ROWS(Tables!$C$260:$C$274)-1))+1)-INDEX(Tables!$C$260:$C$274,MAX(1,MIN(IFERROR(MATCH(U66,Tables!$C$260:$C$274,1),1),ROWS(Tables!$C$260:$C$274)-1))))),IF(P66&lt;10,(INDEX(Tables!$F$260:$F$274,MAX(1,MIN(IFERROR(MATCH(U66,Tables!$E$260:$E$274,1),1),ROWS(Tables!$E$260:$E$274)-1)))+(U66-INDEX(Tables!$E$260:$E$274,MAX(1,MIN(IFERROR(MATCH(U66,Tables!$E$260:$E$274,1),1),ROWS(Tables!$E$260:$E$274)-1))))*(INDEX(Tables!$F$260:$F$274,MAX(1,MIN(IFERROR(MATCH(U66,Tables!$E$260:$E$274,1),1),ROWS(Tables!$E$260:$E$274)-1))+1)-INDEX(Tables!$F$260:$F$274,MAX(1,MIN(IFERROR(MATCH(U66,Tables!$E$260:$E$274,1),1),ROWS(Tables!$E$260:$E$274)-1))))/(INDEX(Tables!$E$260:$E$274,MAX(1,MIN(IFERROR(MATCH(U66,Tables!$E$260:$E$274,1),1),ROWS(Tables!$E$260:$E$274)-1))+1)-INDEX(Tables!$E$260:$E$274,MAX(1,MIN(IFERROR(MATCH(U66,Tables!$E$260:$E$274,1),1),ROWS(Tables!$E$260:$E$274)-1))))),(INDEX(Tables!$H$260:$H$274,MAX(1,MIN(IFERROR(MATCH(U66,Tables!$G$260:$G$274,1),1),ROWS(Tables!$G$260:$G$274)-1)))+(U66-INDEX(Tables!$G$260:$G$274,MAX(1,MIN(IFERROR(MATCH(U66,Tables!$G$260:$G$274,1),1),ROWS(Tables!$G$260:$G$274)-1))))*(INDEX(Tables!$H$260:$H$274,MAX(1,MIN(IFERROR(MATCH(U66,Tables!$G$260:$G$274,1),1),ROWS(Tables!$G$260:$G$274)-1))+1)-INDEX(Tables!$H$260:$H$274,MAX(1,MIN(IFERROR(MATCH(U66,Tables!$G$260:$G$274,1),1),ROWS(Tables!$G$260:$G$274)-1))))/(INDEX(Tables!$G$260:$G$274,MAX(1,MIN(IFERROR(MATCH(U66,Tables!$G$260:$G$274,1),1),ROWS(Tables!$G$260:$G$274)-1))+1)-INDEX(Tables!$G$260:$G$274,MAX(1,MIN(IFERROR(MATCH(U66,Tables!$G$260:$G$274,1),1),ROWS(Tables!$G$260:$G$274)-1))))))))</f>
        <v>1.3123750000000001</v>
      </c>
      <c r="AW66" s="181">
        <f t="shared" ref="AW66:AW97" si="73">AU66*AV66*AR66*AS66*AO66*(AE66/(12^2))</f>
        <v>1258.7269168931159</v>
      </c>
      <c r="AX66" s="181">
        <f t="shared" ref="AX66:AX97" si="74">M66*(U66-E66)/(2*E66)</f>
        <v>15840</v>
      </c>
      <c r="AY66" s="181">
        <f t="shared" ref="AY66:AY97" si="75">AN66+AT66+AX66</f>
        <v>17309.816475056432</v>
      </c>
      <c r="AZ66" s="181">
        <f t="shared" ref="AZ66:AZ97" si="76">AW66-(Y66)*(AA66)*(L66-T66)+(Z66*(AN66+AX66))</f>
        <v>6124.4036498600808</v>
      </c>
      <c r="BA66" s="181">
        <f t="shared" ref="BA66:BA97" si="77">-M66</f>
        <v>-1440</v>
      </c>
      <c r="BB66" s="181">
        <f t="shared" ref="BB66:BB97" si="78">SQRT(0.5*((AY66-AZ66)^2+(AZ66-BA66)^2+(BA66-AY66)^2))</f>
        <v>16338.440569656292</v>
      </c>
      <c r="BC66" s="181">
        <f t="shared" ref="BC66:BC97" si="79">V66*W66</f>
        <v>46800</v>
      </c>
      <c r="BD66" s="181">
        <f>VLOOKUP(V66&amp;" "&amp;J66,Tables!$A$152:$E$239,4,FALSE)</f>
        <v>12000</v>
      </c>
      <c r="BE66" s="181">
        <f>VLOOKUP(V66&amp;" "&amp;J66,Tables!$A$152:$E$239,5,FALSE)</f>
        <v>23000</v>
      </c>
      <c r="BF66" s="181">
        <f t="shared" ref="BF66:BF97" si="80">BD66*W66</f>
        <v>8640</v>
      </c>
      <c r="BG66" s="181">
        <f t="shared" ref="BG66:BG97" si="81">BE66*W66</f>
        <v>16560</v>
      </c>
      <c r="BH66" s="181">
        <f t="shared" ref="BH66:BH97" si="82">AI66</f>
        <v>16560</v>
      </c>
      <c r="BI66" s="181">
        <f t="shared" ref="BI66:BI97" si="83">AJ66</f>
        <v>46800</v>
      </c>
      <c r="BJ66" s="181">
        <f t="shared" ref="BJ66:BJ97" si="84">BB66</f>
        <v>16338.440569656292</v>
      </c>
      <c r="BK66" s="181">
        <f t="shared" ref="BK66:BK97" si="85">BC66</f>
        <v>46800</v>
      </c>
      <c r="BL66" s="181">
        <f t="shared" ref="BL66:BL97" si="86">AW66</f>
        <v>1258.7269168931159</v>
      </c>
      <c r="BM66" s="181">
        <f t="shared" ref="BM66:BM97" si="87">BF66</f>
        <v>8640</v>
      </c>
      <c r="BN66" s="181">
        <f t="shared" ref="BN66:BN97" si="88">AT66</f>
        <v>1090.8940318332136</v>
      </c>
      <c r="BO66" s="181">
        <f t="shared" ref="BO66:BO97" si="89">BG66</f>
        <v>16560</v>
      </c>
      <c r="BP66" t="str">
        <f t="shared" ref="BP66:BP97" si="90">IF(BH66&lt;=BI66,"Pass","Fail")</f>
        <v>Pass</v>
      </c>
      <c r="BQ66" t="str">
        <f t="shared" ref="BQ66:BQ97" si="91">IF(BJ66&lt;=BK66,"Pass","Fail")</f>
        <v>Pass</v>
      </c>
      <c r="BR66" t="str">
        <f t="shared" ref="BR66:BR97" si="92">IF(BL66&lt;=BM66,"Pass","Fail")</f>
        <v>Pass</v>
      </c>
      <c r="BS66" t="str">
        <f t="shared" ref="BS66:BS97" si="93">IF(BN66&lt;=BO66,"Pass","Fail")</f>
        <v>Pass</v>
      </c>
      <c r="BT66" t="str">
        <f t="shared" ref="BT66:BT97" si="94">IF(OR(BP66="Fail",BQ66="Fail",BR66="Fail",BS66="Fail"),"Fail","Pass")</f>
        <v>Pass</v>
      </c>
      <c r="BU66" t="str">
        <f t="shared" ref="BU66:BU97" si="95">IF(MAX(BH66/BI66,BJ66/BK66,BL66/BM66,BN66/BO66)=BH66/BI66,"Barlow Stress",IF(MAX(BH66/BI66,BJ66/BK66,BL66/BM66,BN66/BO66)=BJ66/BK66,"Effective Stress",IF(MAX(BH66/BI66,BJ66/BK66,BL66/BM66,BN66/BO66)=BL66/BM66,"Girth Weld Stress","Longitudinal Weld Stress")))</f>
        <v>Barlow Stress</v>
      </c>
    </row>
    <row r="67" spans="1:73">
      <c r="A67" t="s">
        <v>659</v>
      </c>
      <c r="B67" s="181">
        <v>65</v>
      </c>
      <c r="C67" t="s">
        <v>594</v>
      </c>
      <c r="D67" s="181">
        <v>12</v>
      </c>
      <c r="E67" s="181">
        <v>0.40600000000000003</v>
      </c>
      <c r="F67" t="s">
        <v>117</v>
      </c>
      <c r="G67" t="s">
        <v>119</v>
      </c>
      <c r="H67" t="s">
        <v>122</v>
      </c>
      <c r="I67" s="181">
        <v>1</v>
      </c>
      <c r="J67" t="s">
        <v>126</v>
      </c>
      <c r="K67" t="s">
        <v>129</v>
      </c>
      <c r="L67" s="181">
        <v>70</v>
      </c>
      <c r="M67" s="181">
        <v>1440</v>
      </c>
      <c r="N67" t="s">
        <v>389</v>
      </c>
      <c r="O67" s="181">
        <v>120</v>
      </c>
      <c r="P67" s="181">
        <v>6</v>
      </c>
      <c r="Q67" s="181">
        <v>14.75</v>
      </c>
      <c r="R67" t="s">
        <v>154</v>
      </c>
      <c r="S67" t="s">
        <v>156</v>
      </c>
      <c r="T67" s="181">
        <v>70</v>
      </c>
      <c r="U67" s="181">
        <f>HLOOKUP(D67,'Highway Loading'!$C$155:$AD$156,2,FALSE)</f>
        <v>12.75</v>
      </c>
      <c r="V67" s="181">
        <f>IF(ISBLANK(G67),"",INDEX('Highway Loading'!$C$216:$AG$216,1,MATCH(G67,'Highway Loading'!$C$215:$AG$215,0)))</f>
        <v>65000</v>
      </c>
      <c r="W67" s="181">
        <f>INDEX('Highway Loading'!$I$245:$L$253,MATCH(H67,'Highway Loading'!$H$245:$H$253,0),MATCH(I67,'Highway Loading'!$I$244:$L$244,0))</f>
        <v>0.72</v>
      </c>
      <c r="X67" s="181">
        <f t="shared" si="64"/>
        <v>1</v>
      </c>
      <c r="Y67" s="181">
        <f>VLOOKUP(K67,'Highway Loading'!$B$283:$E$292,2,FALSE)</f>
        <v>29000000</v>
      </c>
      <c r="Z67" s="181">
        <f>VLOOKUP(K67,'Highway Loading'!$B$283:$E$292,3,FALSE)</f>
        <v>0.3</v>
      </c>
      <c r="AA67" s="181">
        <f>VLOOKUP(K67,'Highway Loading'!$B$283:$E$292,4,FALSE)</f>
        <v>6.4999999999999996E-6</v>
      </c>
      <c r="AB67" s="181">
        <f t="shared" si="65"/>
        <v>1</v>
      </c>
      <c r="AC67" s="181">
        <f>VLOOKUP(N67,'Highway Loading'!$B$256:$D$261,2,FALSE)</f>
        <v>500</v>
      </c>
      <c r="AD67" s="181">
        <f>VLOOKUP(N67,'Highway Loading'!$B$256:$D$261,3,FALSE)</f>
        <v>5000</v>
      </c>
      <c r="AE67" s="181">
        <f>VLOOKUP(S67,'Highway Loading'!$B$340:$C$341,2,FALSE)</f>
        <v>10000</v>
      </c>
      <c r="AF67" s="181">
        <f t="shared" si="66"/>
        <v>3.1843137254901961E-2</v>
      </c>
      <c r="AG67" s="181">
        <f t="shared" si="67"/>
        <v>4.8813559322033901</v>
      </c>
      <c r="AH67" s="181">
        <f t="shared" si="68"/>
        <v>1.1568627450980393</v>
      </c>
      <c r="AI67" s="181">
        <f t="shared" si="69"/>
        <v>22610.837438423645</v>
      </c>
      <c r="AJ67" s="181">
        <f t="shared" si="70"/>
        <v>46800</v>
      </c>
      <c r="AK67" s="181">
        <f>IF(AC67=200,(INDEX(Tables!$B$17:$B$38,MAX(1,MIN(IFERROR(MATCH(AF67,Tables!$A$17:$A$38,1),1),ROWS(Tables!$A$17:$A$38)-1)))+(AF67-INDEX(Tables!$A$17:$A$38,MAX(1,MIN(IFERROR(MATCH(AF67,Tables!$A$17:$A$38,1),1),ROWS(Tables!$A$17:$A$38)-1))))*(INDEX(Tables!$B$17:$B$38,MAX(1,MIN(IFERROR(MATCH(AF67,Tables!$A$17:$A$38,1),1),ROWS(Tables!$A$17:$A$38)-1))+1)-INDEX(Tables!$B$17:$B$38,MAX(1,MIN(IFERROR(MATCH(AF67,Tables!$A$17:$A$38,1),1),ROWS(Tables!$A$17:$A$38)-1))))/(INDEX(Tables!$A$17:$A$38,MAX(1,MIN(IFERROR(MATCH(AF67,Tables!$A$17:$A$38,1),1),ROWS(Tables!$A$17:$A$38)-1))+1)-INDEX(Tables!$A$17:$A$38,MAX(1,MIN(IFERROR(MATCH(AF67,Tables!$A$17:$A$38,1),1),ROWS(Tables!$A$17:$A$38)-1))))),IF(AC67=500,(INDEX(Tables!$D$17:$D$38,MAX(1,MIN(IFERROR(MATCH(AF67,Tables!$C$17:$C$38,1),1),ROWS(Tables!$C$17:$C$38)-1)))+(AF67-INDEX(Tables!$C$17:$C$38,MAX(1,MIN(IFERROR(MATCH(AF67,Tables!$C$17:$C$38,1),1),ROWS(Tables!$C$17:$C$38)-1))))*(INDEX(Tables!$D$17:$D$38,MAX(1,MIN(IFERROR(MATCH(AF67,Tables!$C$17:$C$38,1),1),ROWS(Tables!$C$17:$C$38)-1))+1)-INDEX(Tables!$D$17:$D$38,MAX(1,MIN(IFERROR(MATCH(AF67,Tables!$C$17:$C$38,1),1),ROWS(Tables!$C$17:$C$38)-1))))/(INDEX(Tables!$C$17:$C$38,MAX(1,MIN(IFERROR(MATCH(AF67,Tables!$C$17:$C$38,1),1),ROWS(Tables!$C$17:$C$38)-1))+1)-INDEX(Tables!$C$17:$C$38,MAX(1,MIN(IFERROR(MATCH(AF67,Tables!$C$17:$C$38,1),1),ROWS(Tables!$C$17:$C$38)-1))))),IF(AC67=1000,(INDEX(Tables!$F$17:$F$38,MAX(1,MIN(IFERROR(MATCH(AF67,Tables!$E$17:$E$38,1),1),ROWS(Tables!$E$17:$E$38)-1)))+(AF67-INDEX(Tables!$E$17:$E$38,MAX(1,MIN(IFERROR(MATCH(AF67,Tables!$E$17:$E$38,1),1),ROWS(Tables!$E$17:$E$38)-1))))*(INDEX(Tables!$F$17:$F$38,MAX(1,MIN(IFERROR(MATCH(AF67,Tables!$E$17:$E$38,1),1),ROWS(Tables!$E$17:$E$38)-1))+1)-INDEX(Tables!$F$17:$F$38,MAX(1,MIN(IFERROR(MATCH(AF67,Tables!$E$17:$E$38,1),1),ROWS(Tables!$E$17:$E$38)-1))))/(INDEX(Tables!$E$17:$E$38,MAX(1,MIN(IFERROR(MATCH(AF67,Tables!$E$17:$E$38,1),1),ROWS(Tables!$E$17:$E$38)-1))+1)-INDEX(Tables!$E$17:$E$38,MAX(1,MIN(IFERROR(MATCH(AF67,Tables!$E$17:$E$38,1),1),ROWS(Tables!$E$17:$E$38)-1))))),(INDEX(Tables!$H$17:$H$38,MAX(1,MIN(IFERROR(MATCH(AF67,Tables!$G$17:$G$38,1),1),ROWS(Tables!$G$17:$G$38)-1)))+(AF67-INDEX(Tables!$G$17:$G$38,MAX(1,MIN(IFERROR(MATCH(AF67,Tables!$G$17:$G$38,1),1),ROWS(Tables!$G$17:$G$38)-1))))*(INDEX(Tables!$H$17:$H$38,MAX(1,MIN(IFERROR(MATCH(AF67,Tables!$G$17:$G$38,1),1),ROWS(Tables!$G$17:$G$38)-1))+1)-INDEX(Tables!$H$17:$H$38,MAX(1,MIN(IFERROR(MATCH(AF67,Tables!$G$17:$G$38,1),1),ROWS(Tables!$G$17:$G$38)-1))))/(INDEX(Tables!$G$17:$G$38,MAX(1,MIN(IFERROR(MATCH(AF67,Tables!$G$17:$G$38,1),1),ROWS(Tables!$G$17:$G$38)-1))+1)-INDEX(Tables!$G$17:$G$38,MAX(1,MIN(IFERROR(MATCH(AF67,Tables!$G$17:$G$38,1),1),ROWS(Tables!$G$17:$G$38)-1))))))))</f>
        <v>981.89411764705881</v>
      </c>
      <c r="AL67" s="181">
        <f>IF(AC67&lt;1000,(INDEX(Tables!$B$43:$B$76,MAX(1,MIN(IFERROR(MATCH(AG67,Tables!$A$43:$A$76,1),1),ROWS(Tables!$A$43:$A$76)-1)))+(AG67-INDEX(Tables!$A$43:$A$76,MAX(1,MIN(IFERROR(MATCH(AG67,Tables!$A$43:$A$76,1),1),ROWS(Tables!$A$43:$A$76)-1))))*(INDEX(Tables!$B$43:$B$76,MAX(1,MIN(IFERROR(MATCH(AG67,Tables!$A$43:$A$76,1),1),ROWS(Tables!$A$43:$A$76)-1))+1)-INDEX(Tables!$B$43:$B$76,MAX(1,MIN(IFERROR(MATCH(AG67,Tables!$A$43:$A$76,1),1),ROWS(Tables!$A$43:$A$76)-1))))/(INDEX(Tables!$A$43:$A$76,MAX(1,MIN(IFERROR(MATCH(AG67,Tables!$A$43:$A$76,1),1),ROWS(Tables!$A$43:$A$76)-1))+1)-INDEX(Tables!$A$43:$A$76,MAX(1,MIN(IFERROR(MATCH(AG67,Tables!$A$43:$A$76,1),1),ROWS(Tables!$A$43:$A$76)-1))))),(INDEX(Tables!$D$43:$D$76,MAX(1,MIN(IFERROR(MATCH(AG67,Tables!$C$43:$C$76,1),1),ROWS(Tables!$C$43:$C$76)-1)))+(AG67-INDEX(Tables!$C$43:$C$76,MAX(1,MIN(IFERROR(MATCH(AG67,Tables!$C$43:$C$76,1),1),ROWS(Tables!$C$43:$C$76)-1))))*(INDEX(Tables!$D$43:$D$76,MAX(1,MIN(IFERROR(MATCH(AG67,Tables!$C$43:$C$76,1),1),ROWS(Tables!$C$43:$C$76)-1))+1)-INDEX(Tables!$D$43:$D$76,MAX(1,MIN(IFERROR(MATCH(AG67,Tables!$C$43:$C$76,1),1),ROWS(Tables!$C$43:$C$76)-1))))/(INDEX(Tables!$C$43:$C$76,MAX(1,MIN(IFERROR(MATCH(AG67,Tables!$C$43:$C$76,1),1),ROWS(Tables!$C$43:$C$76)-1))+1)-INDEX(Tables!$C$43:$C$76,MAX(1,MIN(IFERROR(MATCH(AG67,Tables!$C$43:$C$76,1),1),ROWS(Tables!$C$43:$C$76)-1))))))</f>
        <v>1.0658474576271186</v>
      </c>
      <c r="AM67" s="181">
        <f>(INDEX(Tables!$B$80:$B$87,MAX(1,MIN(IFERROR(MATCH(AH67,Tables!$A$80:$A$87,1),1),ROWS(Tables!$A$80:$A$87)-1)))+(AH67-INDEX(Tables!$A$80:$A$87,MAX(1,MIN(IFERROR(MATCH(AH67,Tables!$A$80:$A$87,1),1),ROWS(Tables!$A$80:$A$87)-1))))*(INDEX(Tables!$B$80:$B$87,MAX(1,MIN(IFERROR(MATCH(AH67,Tables!$A$80:$A$87,1),1),ROWS(Tables!$A$80:$A$87)-1))+1)-INDEX(Tables!$B$80:$B$87,MAX(1,MIN(IFERROR(MATCH(AH67,Tables!$A$80:$A$87,1),1),ROWS(Tables!$A$80:$A$87)-1))))/(INDEX(Tables!$A$80:$A$87,MAX(1,MIN(IFERROR(MATCH(AH67,Tables!$A$80:$A$87,1),1),ROWS(Tables!$A$80:$A$87)-1))+1)-INDEX(Tables!$A$80:$A$87,MAX(1,MIN(IFERROR(MATCH(AH67,Tables!$A$80:$A$87,1),1),ROWS(Tables!$A$80:$A$87)-1)))))</f>
        <v>1.1041078431372553</v>
      </c>
      <c r="AN67" s="181">
        <f t="shared" si="71"/>
        <v>1023.1019195291125</v>
      </c>
      <c r="AO67" s="181">
        <f>(INDEX(Tables!$B$91:$B$94,MAX(1,MIN(IFERROR(MATCH(P67,Tables!$A$91:$A$94,1),1),ROWS(Tables!$A$91:$A$94)-1)))+(P67-INDEX(Tables!$A$91:$A$94,MAX(1,MIN(IFERROR(MATCH(P67,Tables!$A$91:$A$94,1),1),ROWS(Tables!$A$91:$A$94)-1))))*(INDEX(Tables!$B$91:$B$94,MAX(1,MIN(IFERROR(MATCH(P67,Tables!$A$91:$A$94,1),1),ROWS(Tables!$A$91:$A$94)-1))+1)-INDEX(Tables!$B$91:$B$94,MAX(1,MIN(IFERROR(MATCH(P67,Tables!$A$91:$A$94,1),1),ROWS(Tables!$A$91:$A$94)-1))))/(INDEX(Tables!$A$91:$A$94,MAX(1,MIN(IFERROR(MATCH(P67,Tables!$A$91:$A$94,1),1),ROWS(Tables!$A$91:$A$94)-1))+1)-INDEX(Tables!$A$91:$A$94,MAX(1,MIN(IFERROR(MATCH(P67,Tables!$A$91:$A$94,1),1),ROWS(Tables!$A$91:$A$94)-1)))))</f>
        <v>1.476219512195122</v>
      </c>
      <c r="AP67" s="181">
        <f>IF(AD67=5000,(INDEX(Tables!$B$99:$B$118,MAX(1,MIN(IFERROR(MATCH(AF67,Tables!$A$99:$A$118,1),1),ROWS(Tables!$A$99:$A$118)-1)))+(AF67-INDEX(Tables!$A$99:$A$118,MAX(1,MIN(IFERROR(MATCH(AF67,Tables!$A$99:$A$118,1),1),ROWS(Tables!$A$99:$A$118)-1))))*(INDEX(Tables!$B$99:$B$118,MAX(1,MIN(IFERROR(MATCH(AF67,Tables!$A$99:$A$118,1),1),ROWS(Tables!$A$99:$A$118)-1))+1)-INDEX(Tables!$B$99:$B$118,MAX(1,MIN(IFERROR(MATCH(AF67,Tables!$A$99:$A$118,1),1),ROWS(Tables!$A$99:$A$118)-1))))/(INDEX(Tables!$A$99:$A$118,MAX(1,MIN(IFERROR(MATCH(AF67,Tables!$A$99:$A$118,1),1),ROWS(Tables!$A$99:$A$118)-1))+1)-INDEX(Tables!$A$99:$A$118,MAX(1,MIN(IFERROR(MATCH(AF67,Tables!$A$99:$A$118,1),1),ROWS(Tables!$A$99:$A$118)-1))))),IF(AD67=10000,(INDEX(Tables!$D$99:$D$118,MAX(1,MIN(IFERROR(MATCH(AF67,Tables!$C$99:$C$118,1),1),ROWS(Tables!$C$99:$C$118)-1)))+(AF67-INDEX(Tables!$C$99:$C$118,MAX(1,MIN(IFERROR(MATCH(AF67,Tables!$C$99:$C$118,1),1),ROWS(Tables!$C$99:$C$118)-1))))*(INDEX(Tables!$D$99:$D$118,MAX(1,MIN(IFERROR(MATCH(AF67,Tables!$C$99:$C$118,1),1),ROWS(Tables!$C$99:$C$118)-1))+1)-INDEX(Tables!$D$99:$D$118,MAX(1,MIN(IFERROR(MATCH(AF67,Tables!$C$99:$C$118,1),1),ROWS(Tables!$C$99:$C$118)-1))))/(INDEX(Tables!$C$99:$C$118,MAX(1,MIN(IFERROR(MATCH(AF67,Tables!$C$99:$C$118,1),1),ROWS(Tables!$C$99:$C$118)-1))+1)-INDEX(Tables!$C$99:$C$118,MAX(1,MIN(IFERROR(MATCH(AF67,Tables!$C$99:$C$118,1),1),ROWS(Tables!$C$99:$C$118)-1))))),(INDEX(Tables!$F$99:$F$118,MAX(1,MIN(IFERROR(MATCH(AF67,Tables!$E$99:$E$118,1),1),ROWS(Tables!$E$99:$E$118)-1)))+(AF67-INDEX(Tables!$E$99:$E$118,MAX(1,MIN(IFERROR(MATCH(AF67,Tables!$E$99:$E$118,1),1),ROWS(Tables!$E$99:$E$118)-1))))*(INDEX(Tables!$F$99:$F$118,MAX(1,MIN(IFERROR(MATCH(AF67,Tables!$E$99:$E$118,1),1),ROWS(Tables!$E$99:$E$118)-1))+1)-INDEX(Tables!$F$99:$F$118,MAX(1,MIN(IFERROR(MATCH(AF67,Tables!$E$99:$E$118,1),1),ROWS(Tables!$E$99:$E$118)-1))))/(INDEX(Tables!$E$99:$E$118,MAX(1,MIN(IFERROR(MATCH(AF67,Tables!$E$99:$E$118,1),1),ROWS(Tables!$E$99:$E$118)-1))+1)-INDEX(Tables!$E$99:$E$118,MAX(1,MIN(IFERROR(MATCH(AF67,Tables!$E$99:$E$118,1),1),ROWS(Tables!$E$99:$E$118)-1)))))))</f>
        <v>12.445423111376529</v>
      </c>
      <c r="AQ67" s="181">
        <f>IF(P67&lt;6,(INDEX(Tables!$B$123:$B$138,MAX(1,MIN(IFERROR(MATCH(U67,Tables!$A$123:$A$138,1),1),ROWS(Tables!$A$123:$A$138)-1)))+(U67-INDEX(Tables!$A$123:$A$138,MAX(1,MIN(IFERROR(MATCH(U67,Tables!$A$123:$A$138,1),1),ROWS(Tables!$A$123:$A$138)-1))))*(INDEX(Tables!$B$123:$B$138,MAX(1,MIN(IFERROR(MATCH(U67,Tables!$A$123:$A$138,1),1),ROWS(Tables!$A$123:$A$138)-1))+1)-INDEX(Tables!$B$123:$B$138,MAX(1,MIN(IFERROR(MATCH(U67,Tables!$A$123:$A$138,1),1),ROWS(Tables!$A$123:$A$138)-1))))/(INDEX(Tables!$A$123:$A$138,MAX(1,MIN(IFERROR(MATCH(U67,Tables!$A$123:$A$138,1),1),ROWS(Tables!$A$123:$A$138)-1))+1)-INDEX(Tables!$A$123:$A$138,MAX(1,MIN(IFERROR(MATCH(U67,Tables!$A$123:$A$138,1),1),ROWS(Tables!$A$123:$A$138)-1))))),IF(P67&lt;8,(INDEX(Tables!$D$123:$D$138,MAX(1,MIN(IFERROR(MATCH(U67,Tables!$C$123:$C$138,1),1),ROWS(Tables!$C$123:$C$138)-1)))+(U67-INDEX(Tables!$C$123:$C$138,MAX(1,MIN(IFERROR(MATCH(U67,Tables!$C$123:$C$138,1),1),ROWS(Tables!$C$123:$C$138)-1))))*(INDEX(Tables!$D$123:$D$138,MAX(1,MIN(IFERROR(MATCH(U67,Tables!$C$123:$C$138,1),1),ROWS(Tables!$C$123:$C$138)-1))+1)-INDEX(Tables!$D$123:$D$138,MAX(1,MIN(IFERROR(MATCH(U67,Tables!$C$123:$C$138,1),1),ROWS(Tables!$C$123:$C$138)-1))))/(INDEX(Tables!$C$123:$C$138,MAX(1,MIN(IFERROR(MATCH(U67,Tables!$C$123:$C$138,1),1),ROWS(Tables!$C$123:$C$138)-1))+1)-INDEX(Tables!$C$123:$C$138,MAX(1,MIN(IFERROR(MATCH(U67,Tables!$C$123:$C$138,1),1),ROWS(Tables!$C$123:$C$138)-1))))),IF(P67&lt;10,(INDEX(Tables!$F$123:$F$138,MAX(1,MIN(IFERROR(MATCH(U67,Tables!$E$123:$E$138,1),1),ROWS(Tables!$E$123:$E$138)-1)))+(U67-INDEX(Tables!$E$123:$E$138,MAX(1,MIN(IFERROR(MATCH(U67,Tables!$E$123:$E$138,1),1),ROWS(Tables!$E$123:$E$138)-1))))*(INDEX(Tables!$F$123:$F$138,MAX(1,MIN(IFERROR(MATCH(U67,Tables!$E$123:$E$138,1),1),ROWS(Tables!$E$123:$E$138)-1))+1)-INDEX(Tables!$F$123:$F$138,MAX(1,MIN(IFERROR(MATCH(U67,Tables!$E$123:$E$138,1),1),ROWS(Tables!$E$123:$E$138)-1))))/(INDEX(Tables!$E$123:$E$138,MAX(1,MIN(IFERROR(MATCH(U67,Tables!$E$123:$E$138,1),1),ROWS(Tables!$E$123:$E$138)-1))+1)-INDEX(Tables!$E$123:$E$138,MAX(1,MIN(IFERROR(MATCH(U67,Tables!$E$123:$E$138,1),1),ROWS(Tables!$E$123:$E$138)-1))))),(INDEX(Tables!$H$123:$H$138,MAX(1,MIN(IFERROR(MATCH(U67,Tables!$G$123:$G$138,1),1),ROWS(Tables!$G$123:$G$138)-1)))+(U67-INDEX(Tables!$G$123:$G$138,MAX(1,MIN(IFERROR(MATCH(U67,Tables!$G$123:$G$138,1),1),ROWS(Tables!$G$123:$G$138)-1))))*(INDEX(Tables!$H$123:$H$138,MAX(1,MIN(IFERROR(MATCH(U67,Tables!$G$123:$G$138,1),1),ROWS(Tables!$G$123:$G$138)-1))+1)-INDEX(Tables!$H$123:$H$138,MAX(1,MIN(IFERROR(MATCH(U67,Tables!$G$123:$G$138,1),1),ROWS(Tables!$G$123:$G$138)-1))))/(INDEX(Tables!$G$123:$G$138,MAX(1,MIN(IFERROR(MATCH(U67,Tables!$G$123:$G$138,1),1),ROWS(Tables!$G$123:$G$138)-1))+1)-INDEX(Tables!$G$123:$G$138,MAX(1,MIN(IFERROR(MATCH(U67,Tables!$G$123:$G$138,1),1),ROWS(Tables!$G$123:$G$138)-1))))))))</f>
        <v>1.01675</v>
      </c>
      <c r="AR67" s="181">
        <f>IF(OR(P67&gt;=4,U67&gt;12),VLOOKUP(R67&amp;" "&amp;S67,Tables!$D$143:$F$148,2,FALSE),VLOOKUP(R67&amp;" "&amp;S67,Tables!$A$143:$C$148,2,FALSE))</f>
        <v>1</v>
      </c>
      <c r="AS67" s="181">
        <f>IF(OR(P67&gt;=4,U67&gt;12),VLOOKUP(R67&amp;" "&amp;S67,Tables!$D$143:$F$148,3,FALSE),VLOOKUP(R67&amp;" "&amp;S67,Tables!$A$143:$C$148,3,FALSE))</f>
        <v>1</v>
      </c>
      <c r="AT67" s="181">
        <f t="shared" si="72"/>
        <v>1297.2159992928246</v>
      </c>
      <c r="AU67" s="181">
        <f>IF(AD67=5000,(INDEX(Tables!$B$244:$B$263,MAX(1,MIN(IFERROR(MATCH(AF67,Tables!$A$244:$A$263,1),1),ROWS(Tables!$A$244:$A$263)-1)))+(AF67-INDEX(Tables!$A$244:$A$263,MAX(1,MIN(IFERROR(MATCH(AF67,Tables!$A$244:$A$263,1),1),ROWS(Tables!$A$244:$A$263)-1))))*(INDEX(Tables!$B$244:$B$263,MAX(1,MIN(IFERROR(MATCH(AF67,Tables!$A$244:$A$263,1),1),ROWS(Tables!$A$244:$A$263)-1))+1)-INDEX(Tables!$B$244:$B$263,MAX(1,MIN(IFERROR(MATCH(AF67,Tables!$A$244:$A$263,1),1),ROWS(Tables!$A$244:$A$263)-1))))/(INDEX(Tables!$A$244:$A$263,MAX(1,MIN(IFERROR(MATCH(AF67,Tables!$A$244:$A$263,1),1),ROWS(Tables!$A$244:$A$263)-1))+1)-INDEX(Tables!$A$244:$A$263,MAX(1,MIN(IFERROR(MATCH(AF67,Tables!$A$244:$A$263,1),1),ROWS(Tables!$A$244:$A$263)-1))))),IF(AD67=10000,(INDEX(Tables!$D$244:$D$263,MAX(1,MIN(IFERROR(MATCH(AF67,Tables!$C$244:$C$263,1),1),ROWS(Tables!$C$244:$C$263)-1)))+(AF67-INDEX(Tables!$C$244:$C$263,MAX(1,MIN(IFERROR(MATCH(AF67,Tables!$C$244:$C$263,1),1),ROWS(Tables!$C$244:$C$263)-1))))*(INDEX(Tables!$D$244:$D$263,MAX(1,MIN(IFERROR(MATCH(AF67,Tables!$C$244:$C$263,1),1),ROWS(Tables!$C$244:$C$263)-1))+1)-INDEX(Tables!$D$244:$D$263,MAX(1,MIN(IFERROR(MATCH(AF67,Tables!$C$244:$C$263,1),1),ROWS(Tables!$C$244:$C$263)-1))))/(INDEX(Tables!$C$244:$C$263,MAX(1,MIN(IFERROR(MATCH(AF67,Tables!$C$244:$C$263,1),1),ROWS(Tables!$C$244:$C$263)-1))+1)-INDEX(Tables!$C$244:$C$263,MAX(1,MIN(IFERROR(MATCH(AF67,Tables!$C$244:$C$263,1),1),ROWS(Tables!$C$244:$C$263)-1))))),(INDEX(Tables!$F$244:$F$263,MAX(1,MIN(IFERROR(MATCH(AF67,Tables!$E$244:$E$263,1),1),ROWS(Tables!$E$244:$E$263)-1)))+(AF67-INDEX(Tables!$E$244:$E$263,MAX(1,MIN(IFERROR(MATCH(AF67,Tables!$E$244:$E$263,1),1),ROWS(Tables!$E$244:$E$263)-1))))*(INDEX(Tables!$F$244:$F$263,MAX(1,MIN(IFERROR(MATCH(AF67,Tables!$E$244:$E$263,1),1),ROWS(Tables!$E$244:$E$263)-1))+1)-INDEX(Tables!$F$244:$F$263,MAX(1,MIN(IFERROR(MATCH(AF67,Tables!$E$244:$E$263,1),1),ROWS(Tables!$E$244:$E$263)-1))))/(INDEX(Tables!$E$244:$E$263,MAX(1,MIN(IFERROR(MATCH(AF67,Tables!$E$244:$E$263,1),1),ROWS(Tables!$E$244:$E$263)-1))+1)-INDEX(Tables!$E$244:$E$263,MAX(1,MIN(IFERROR(MATCH(AF67,Tables!$E$244:$E$263,1),1),ROWS(Tables!$E$244:$E$263)-1)))))))</f>
        <v>11.380729411764705</v>
      </c>
      <c r="AV67" s="181">
        <f>IF(P67&lt;6,(INDEX(Tables!$B$260:$B$274,MAX(1,MIN(IFERROR(MATCH(U67,Tables!$A$260:$A$274,1),1),ROWS(Tables!$A$260:$A$274)-1)))+(U67-INDEX(Tables!$A$260:$A$274,MAX(1,MIN(IFERROR(MATCH(U67,Tables!$A$260:$A$274,1),1),ROWS(Tables!$A$260:$A$274)-1))))*(INDEX(Tables!$B$260:$B$274,MAX(1,MIN(IFERROR(MATCH(U67,Tables!$A$260:$A$274,1),1),ROWS(Tables!$A$260:$A$274)-1))+1)-INDEX(Tables!$B$260:$B$274,MAX(1,MIN(IFERROR(MATCH(U67,Tables!$A$260:$A$274,1),1),ROWS(Tables!$A$260:$A$274)-1))))/(INDEX(Tables!$A$260:$A$274,MAX(1,MIN(IFERROR(MATCH(U67,Tables!$A$260:$A$274,1),1),ROWS(Tables!$A$260:$A$274)-1))+1)-INDEX(Tables!$A$260:$A$274,MAX(1,MIN(IFERROR(MATCH(U67,Tables!$A$260:$A$274,1),1),ROWS(Tables!$A$260:$A$274)-1))))),IF(P67&lt;8,(INDEX(Tables!$D$260:$D$274,MAX(1,MIN(IFERROR(MATCH(U67,Tables!$C$260:$C$274,1),1),ROWS(Tables!$C$260:$C$274)-1)))+(U67-INDEX(Tables!$C$260:$C$274,MAX(1,MIN(IFERROR(MATCH(U67,Tables!$C$260:$C$274,1),1),ROWS(Tables!$C$260:$C$274)-1))))*(INDEX(Tables!$D$260:$D$274,MAX(1,MIN(IFERROR(MATCH(U67,Tables!$C$260:$C$274,1),1),ROWS(Tables!$C$260:$C$274)-1))+1)-INDEX(Tables!$D$260:$D$274,MAX(1,MIN(IFERROR(MATCH(U67,Tables!$C$260:$C$274,1),1),ROWS(Tables!$C$260:$C$274)-1))))/(INDEX(Tables!$C$260:$C$274,MAX(1,MIN(IFERROR(MATCH(U67,Tables!$C$260:$C$274,1),1),ROWS(Tables!$C$260:$C$274)-1))+1)-INDEX(Tables!$C$260:$C$274,MAX(1,MIN(IFERROR(MATCH(U67,Tables!$C$260:$C$274,1),1),ROWS(Tables!$C$260:$C$274)-1))))),IF(P67&lt;10,(INDEX(Tables!$F$260:$F$274,MAX(1,MIN(IFERROR(MATCH(U67,Tables!$E$260:$E$274,1),1),ROWS(Tables!$E$260:$E$274)-1)))+(U67-INDEX(Tables!$E$260:$E$274,MAX(1,MIN(IFERROR(MATCH(U67,Tables!$E$260:$E$274,1),1),ROWS(Tables!$E$260:$E$274)-1))))*(INDEX(Tables!$F$260:$F$274,MAX(1,MIN(IFERROR(MATCH(U67,Tables!$E$260:$E$274,1),1),ROWS(Tables!$E$260:$E$274)-1))+1)-INDEX(Tables!$F$260:$F$274,MAX(1,MIN(IFERROR(MATCH(U67,Tables!$E$260:$E$274,1),1),ROWS(Tables!$E$260:$E$274)-1))))/(INDEX(Tables!$E$260:$E$274,MAX(1,MIN(IFERROR(MATCH(U67,Tables!$E$260:$E$274,1),1),ROWS(Tables!$E$260:$E$274)-1))+1)-INDEX(Tables!$E$260:$E$274,MAX(1,MIN(IFERROR(MATCH(U67,Tables!$E$260:$E$274,1),1),ROWS(Tables!$E$260:$E$274)-1))))),(INDEX(Tables!$H$260:$H$274,MAX(1,MIN(IFERROR(MATCH(U67,Tables!$G$260:$G$274,1),1),ROWS(Tables!$G$260:$G$274)-1)))+(U67-INDEX(Tables!$G$260:$G$274,MAX(1,MIN(IFERROR(MATCH(U67,Tables!$G$260:$G$274,1),1),ROWS(Tables!$G$260:$G$274)-1))))*(INDEX(Tables!$H$260:$H$274,MAX(1,MIN(IFERROR(MATCH(U67,Tables!$G$260:$G$274,1),1),ROWS(Tables!$G$260:$G$274)-1))+1)-INDEX(Tables!$H$260:$H$274,MAX(1,MIN(IFERROR(MATCH(U67,Tables!$G$260:$G$274,1),1),ROWS(Tables!$G$260:$G$274)-1))))/(INDEX(Tables!$G$260:$G$274,MAX(1,MIN(IFERROR(MATCH(U67,Tables!$G$260:$G$274,1),1),ROWS(Tables!$G$260:$G$274)-1))+1)-INDEX(Tables!$G$260:$G$274,MAX(1,MIN(IFERROR(MATCH(U67,Tables!$G$260:$G$274,1),1),ROWS(Tables!$G$260:$G$274)-1))))))))</f>
        <v>1.0024999999999999</v>
      </c>
      <c r="AW67" s="181">
        <f t="shared" si="73"/>
        <v>1169.6149970633069</v>
      </c>
      <c r="AX67" s="181">
        <f t="shared" si="74"/>
        <v>21890.837438423645</v>
      </c>
      <c r="AY67" s="181">
        <f t="shared" si="75"/>
        <v>24211.155357245581</v>
      </c>
      <c r="AZ67" s="181">
        <f t="shared" si="76"/>
        <v>8043.7968044491336</v>
      </c>
      <c r="BA67" s="181">
        <f t="shared" si="77"/>
        <v>-1440</v>
      </c>
      <c r="BB67" s="181">
        <f t="shared" si="78"/>
        <v>22464.501503086027</v>
      </c>
      <c r="BC67" s="181">
        <f t="shared" si="79"/>
        <v>46800</v>
      </c>
      <c r="BD67" s="181">
        <f>VLOOKUP(V67&amp;" "&amp;J67,Tables!$A$152:$E$239,4,FALSE)</f>
        <v>12000</v>
      </c>
      <c r="BE67" s="181">
        <f>VLOOKUP(V67&amp;" "&amp;J67,Tables!$A$152:$E$239,5,FALSE)</f>
        <v>23000</v>
      </c>
      <c r="BF67" s="181">
        <f t="shared" si="80"/>
        <v>8640</v>
      </c>
      <c r="BG67" s="181">
        <f t="shared" si="81"/>
        <v>16560</v>
      </c>
      <c r="BH67" s="181">
        <f t="shared" si="82"/>
        <v>22610.837438423645</v>
      </c>
      <c r="BI67" s="181">
        <f t="shared" si="83"/>
        <v>46800</v>
      </c>
      <c r="BJ67" s="181">
        <f t="shared" si="84"/>
        <v>22464.501503086027</v>
      </c>
      <c r="BK67" s="181">
        <f t="shared" si="85"/>
        <v>46800</v>
      </c>
      <c r="BL67" s="181">
        <f t="shared" si="86"/>
        <v>1169.6149970633069</v>
      </c>
      <c r="BM67" s="181">
        <f t="shared" si="87"/>
        <v>8640</v>
      </c>
      <c r="BN67" s="181">
        <f t="shared" si="88"/>
        <v>1297.2159992928246</v>
      </c>
      <c r="BO67" s="181">
        <f t="shared" si="89"/>
        <v>16560</v>
      </c>
      <c r="BP67" t="str">
        <f t="shared" si="90"/>
        <v>Pass</v>
      </c>
      <c r="BQ67" t="str">
        <f t="shared" si="91"/>
        <v>Pass</v>
      </c>
      <c r="BR67" t="str">
        <f t="shared" si="92"/>
        <v>Pass</v>
      </c>
      <c r="BS67" t="str">
        <f t="shared" si="93"/>
        <v>Pass</v>
      </c>
      <c r="BT67" t="str">
        <f t="shared" si="94"/>
        <v>Pass</v>
      </c>
      <c r="BU67" t="str">
        <f t="shared" si="95"/>
        <v>Barlow Stress</v>
      </c>
    </row>
    <row r="68" spans="1:73">
      <c r="A68" t="s">
        <v>660</v>
      </c>
      <c r="B68" s="181">
        <v>66</v>
      </c>
      <c r="C68" t="s">
        <v>594</v>
      </c>
      <c r="D68" s="181">
        <v>16</v>
      </c>
      <c r="E68" s="181">
        <v>0.81200000000000006</v>
      </c>
      <c r="F68" t="s">
        <v>117</v>
      </c>
      <c r="G68" t="s">
        <v>119</v>
      </c>
      <c r="H68" t="s">
        <v>122</v>
      </c>
      <c r="I68" s="181">
        <v>1</v>
      </c>
      <c r="J68" t="s">
        <v>126</v>
      </c>
      <c r="K68" t="s">
        <v>129</v>
      </c>
      <c r="L68" s="181">
        <v>70</v>
      </c>
      <c r="M68" s="181">
        <v>3000</v>
      </c>
      <c r="N68" t="s">
        <v>389</v>
      </c>
      <c r="O68" s="181">
        <v>120</v>
      </c>
      <c r="P68" s="181">
        <v>8</v>
      </c>
      <c r="Q68" s="181">
        <v>18</v>
      </c>
      <c r="R68" t="s">
        <v>154</v>
      </c>
      <c r="S68" t="s">
        <v>420</v>
      </c>
      <c r="T68" s="181">
        <v>70</v>
      </c>
      <c r="U68" s="181">
        <f>HLOOKUP(D68,'Highway Loading'!$C$155:$AD$156,2,FALSE)</f>
        <v>16</v>
      </c>
      <c r="V68" s="181">
        <f>IF(ISBLANK(G68),"",INDEX('Highway Loading'!$C$216:$AG$216,1,MATCH(G68,'Highway Loading'!$C$215:$AG$215,0)))</f>
        <v>65000</v>
      </c>
      <c r="W68" s="181">
        <f>INDEX('Highway Loading'!$I$245:$L$253,MATCH(H68,'Highway Loading'!$H$245:$H$253,0),MATCH(I68,'Highway Loading'!$I$244:$L$244,0))</f>
        <v>0.72</v>
      </c>
      <c r="X68" s="181">
        <f t="shared" si="64"/>
        <v>1</v>
      </c>
      <c r="Y68" s="181">
        <f>VLOOKUP(K68,'Highway Loading'!$B$283:$E$292,2,FALSE)</f>
        <v>29000000</v>
      </c>
      <c r="Z68" s="181">
        <f>VLOOKUP(K68,'Highway Loading'!$B$283:$E$292,3,FALSE)</f>
        <v>0.3</v>
      </c>
      <c r="AA68" s="181">
        <f>VLOOKUP(K68,'Highway Loading'!$B$283:$E$292,4,FALSE)</f>
        <v>6.4999999999999996E-6</v>
      </c>
      <c r="AB68" s="181">
        <f t="shared" si="65"/>
        <v>1</v>
      </c>
      <c r="AC68" s="181">
        <f>VLOOKUP(N68,'Highway Loading'!$B$256:$D$261,2,FALSE)</f>
        <v>500</v>
      </c>
      <c r="AD68" s="181">
        <f>VLOOKUP(N68,'Highway Loading'!$B$256:$D$261,3,FALSE)</f>
        <v>5000</v>
      </c>
      <c r="AE68" s="181">
        <f>VLOOKUP(S68,'Highway Loading'!$B$340:$C$341,2,FALSE)</f>
        <v>12000</v>
      </c>
      <c r="AF68" s="181">
        <f t="shared" si="66"/>
        <v>5.0750000000000003E-2</v>
      </c>
      <c r="AG68" s="181">
        <f t="shared" si="67"/>
        <v>5.333333333333333</v>
      </c>
      <c r="AH68" s="181">
        <f t="shared" si="68"/>
        <v>1.125</v>
      </c>
      <c r="AI68" s="181">
        <f t="shared" si="69"/>
        <v>29556.650246305417</v>
      </c>
      <c r="AJ68" s="181">
        <f t="shared" si="70"/>
        <v>46800</v>
      </c>
      <c r="AK68" s="181">
        <f>IF(AC68=200,(INDEX(Tables!$B$17:$B$38,MAX(1,MIN(IFERROR(MATCH(AF68,Tables!$A$17:$A$38,1),1),ROWS(Tables!$A$17:$A$38)-1)))+(AF68-INDEX(Tables!$A$17:$A$38,MAX(1,MIN(IFERROR(MATCH(AF68,Tables!$A$17:$A$38,1),1),ROWS(Tables!$A$17:$A$38)-1))))*(INDEX(Tables!$B$17:$B$38,MAX(1,MIN(IFERROR(MATCH(AF68,Tables!$A$17:$A$38,1),1),ROWS(Tables!$A$17:$A$38)-1))+1)-INDEX(Tables!$B$17:$B$38,MAX(1,MIN(IFERROR(MATCH(AF68,Tables!$A$17:$A$38,1),1),ROWS(Tables!$A$17:$A$38)-1))))/(INDEX(Tables!$A$17:$A$38,MAX(1,MIN(IFERROR(MATCH(AF68,Tables!$A$17:$A$38,1),1),ROWS(Tables!$A$17:$A$38)-1))+1)-INDEX(Tables!$A$17:$A$38,MAX(1,MIN(IFERROR(MATCH(AF68,Tables!$A$17:$A$38,1),1),ROWS(Tables!$A$17:$A$38)-1))))),IF(AC68=500,(INDEX(Tables!$D$17:$D$38,MAX(1,MIN(IFERROR(MATCH(AF68,Tables!$C$17:$C$38,1),1),ROWS(Tables!$C$17:$C$38)-1)))+(AF68-INDEX(Tables!$C$17:$C$38,MAX(1,MIN(IFERROR(MATCH(AF68,Tables!$C$17:$C$38,1),1),ROWS(Tables!$C$17:$C$38)-1))))*(INDEX(Tables!$D$17:$D$38,MAX(1,MIN(IFERROR(MATCH(AF68,Tables!$C$17:$C$38,1),1),ROWS(Tables!$C$17:$C$38)-1))+1)-INDEX(Tables!$D$17:$D$38,MAX(1,MIN(IFERROR(MATCH(AF68,Tables!$C$17:$C$38,1),1),ROWS(Tables!$C$17:$C$38)-1))))/(INDEX(Tables!$C$17:$C$38,MAX(1,MIN(IFERROR(MATCH(AF68,Tables!$C$17:$C$38,1),1),ROWS(Tables!$C$17:$C$38)-1))+1)-INDEX(Tables!$C$17:$C$38,MAX(1,MIN(IFERROR(MATCH(AF68,Tables!$C$17:$C$38,1),1),ROWS(Tables!$C$17:$C$38)-1))))),IF(AC68=1000,(INDEX(Tables!$F$17:$F$38,MAX(1,MIN(IFERROR(MATCH(AF68,Tables!$E$17:$E$38,1),1),ROWS(Tables!$E$17:$E$38)-1)))+(AF68-INDEX(Tables!$E$17:$E$38,MAX(1,MIN(IFERROR(MATCH(AF68,Tables!$E$17:$E$38,1),1),ROWS(Tables!$E$17:$E$38)-1))))*(INDEX(Tables!$F$17:$F$38,MAX(1,MIN(IFERROR(MATCH(AF68,Tables!$E$17:$E$38,1),1),ROWS(Tables!$E$17:$E$38)-1))+1)-INDEX(Tables!$F$17:$F$38,MAX(1,MIN(IFERROR(MATCH(AF68,Tables!$E$17:$E$38,1),1),ROWS(Tables!$E$17:$E$38)-1))))/(INDEX(Tables!$E$17:$E$38,MAX(1,MIN(IFERROR(MATCH(AF68,Tables!$E$17:$E$38,1),1),ROWS(Tables!$E$17:$E$38)-1))+1)-INDEX(Tables!$E$17:$E$38,MAX(1,MIN(IFERROR(MATCH(AF68,Tables!$E$17:$E$38,1),1),ROWS(Tables!$E$17:$E$38)-1))))),(INDEX(Tables!$H$17:$H$38,MAX(1,MIN(IFERROR(MATCH(AF68,Tables!$G$17:$G$38,1),1),ROWS(Tables!$G$17:$G$38)-1)))+(AF68-INDEX(Tables!$G$17:$G$38,MAX(1,MIN(IFERROR(MATCH(AF68,Tables!$G$17:$G$38,1),1),ROWS(Tables!$G$17:$G$38)-1))))*(INDEX(Tables!$H$17:$H$38,MAX(1,MIN(IFERROR(MATCH(AF68,Tables!$G$17:$G$38,1),1),ROWS(Tables!$G$17:$G$38)-1))+1)-INDEX(Tables!$H$17:$H$38,MAX(1,MIN(IFERROR(MATCH(AF68,Tables!$G$17:$G$38,1),1),ROWS(Tables!$G$17:$G$38)-1))))/(INDEX(Tables!$G$17:$G$38,MAX(1,MIN(IFERROR(MATCH(AF68,Tables!$G$17:$G$38,1),1),ROWS(Tables!$G$17:$G$38)-1))+1)-INDEX(Tables!$G$17:$G$38,MAX(1,MIN(IFERROR(MATCH(AF68,Tables!$G$17:$G$38,1),1),ROWS(Tables!$G$17:$G$38)-1))))))))</f>
        <v>449.95</v>
      </c>
      <c r="AL68" s="181">
        <f>IF(AC68&lt;1000,(INDEX(Tables!$B$43:$B$76,MAX(1,MIN(IFERROR(MATCH(AG68,Tables!$A$43:$A$76,1),1),ROWS(Tables!$A$43:$A$76)-1)))+(AG68-INDEX(Tables!$A$43:$A$76,MAX(1,MIN(IFERROR(MATCH(AG68,Tables!$A$43:$A$76,1),1),ROWS(Tables!$A$43:$A$76)-1))))*(INDEX(Tables!$B$43:$B$76,MAX(1,MIN(IFERROR(MATCH(AG68,Tables!$A$43:$A$76,1),1),ROWS(Tables!$A$43:$A$76)-1))+1)-INDEX(Tables!$B$43:$B$76,MAX(1,MIN(IFERROR(MATCH(AG68,Tables!$A$43:$A$76,1),1),ROWS(Tables!$A$43:$A$76)-1))))/(INDEX(Tables!$A$43:$A$76,MAX(1,MIN(IFERROR(MATCH(AG68,Tables!$A$43:$A$76,1),1),ROWS(Tables!$A$43:$A$76)-1))+1)-INDEX(Tables!$A$43:$A$76,MAX(1,MIN(IFERROR(MATCH(AG68,Tables!$A$43:$A$76,1),1),ROWS(Tables!$A$43:$A$76)-1))))),(INDEX(Tables!$D$43:$D$76,MAX(1,MIN(IFERROR(MATCH(AG68,Tables!$C$43:$C$76,1),1),ROWS(Tables!$C$43:$C$76)-1)))+(AG68-INDEX(Tables!$C$43:$C$76,MAX(1,MIN(IFERROR(MATCH(AG68,Tables!$C$43:$C$76,1),1),ROWS(Tables!$C$43:$C$76)-1))))*(INDEX(Tables!$D$43:$D$76,MAX(1,MIN(IFERROR(MATCH(AG68,Tables!$C$43:$C$76,1),1),ROWS(Tables!$C$43:$C$76)-1))+1)-INDEX(Tables!$D$43:$D$76,MAX(1,MIN(IFERROR(MATCH(AG68,Tables!$C$43:$C$76,1),1),ROWS(Tables!$C$43:$C$76)-1))))/(INDEX(Tables!$C$43:$C$76,MAX(1,MIN(IFERROR(MATCH(AG68,Tables!$C$43:$C$76,1),1),ROWS(Tables!$C$43:$C$76)-1))+1)-INDEX(Tables!$C$43:$C$76,MAX(1,MIN(IFERROR(MATCH(AG68,Tables!$C$43:$C$76,1),1),ROWS(Tables!$C$43:$C$76)-1))))))</f>
        <v>1.1053333333333333</v>
      </c>
      <c r="AM68" s="181">
        <f>(INDEX(Tables!$B$80:$B$87,MAX(1,MIN(IFERROR(MATCH(AH68,Tables!$A$80:$A$87,1),1),ROWS(Tables!$A$80:$A$87)-1)))+(AH68-INDEX(Tables!$A$80:$A$87,MAX(1,MIN(IFERROR(MATCH(AH68,Tables!$A$80:$A$87,1),1),ROWS(Tables!$A$80:$A$87)-1))))*(INDEX(Tables!$B$80:$B$87,MAX(1,MIN(IFERROR(MATCH(AH68,Tables!$A$80:$A$87,1),1),ROWS(Tables!$A$80:$A$87)-1))+1)-INDEX(Tables!$B$80:$B$87,MAX(1,MIN(IFERROR(MATCH(AH68,Tables!$A$80:$A$87,1),1),ROWS(Tables!$A$80:$A$87)-1))))/(INDEX(Tables!$A$80:$A$87,MAX(1,MIN(IFERROR(MATCH(AH68,Tables!$A$80:$A$87,1),1),ROWS(Tables!$A$80:$A$87)-1))+1)-INDEX(Tables!$A$80:$A$87,MAX(1,MIN(IFERROR(MATCH(AH68,Tables!$A$80:$A$87,1),1),ROWS(Tables!$A$80:$A$87)-1)))))</f>
        <v>1.04345</v>
      </c>
      <c r="AN68" s="181">
        <f t="shared" si="71"/>
        <v>576.6159577740741</v>
      </c>
      <c r="AO68" s="181">
        <f>(INDEX(Tables!$B$91:$B$94,MAX(1,MIN(IFERROR(MATCH(P68,Tables!$A$91:$A$94,1),1),ROWS(Tables!$A$91:$A$94)-1)))+(P68-INDEX(Tables!$A$91:$A$94,MAX(1,MIN(IFERROR(MATCH(P68,Tables!$A$91:$A$94,1),1),ROWS(Tables!$A$91:$A$94)-1))))*(INDEX(Tables!$B$91:$B$94,MAX(1,MIN(IFERROR(MATCH(P68,Tables!$A$91:$A$94,1),1),ROWS(Tables!$A$91:$A$94)-1))+1)-INDEX(Tables!$B$91:$B$94,MAX(1,MIN(IFERROR(MATCH(P68,Tables!$A$91:$A$94,1),1),ROWS(Tables!$A$91:$A$94)-1))))/(INDEX(Tables!$A$91:$A$94,MAX(1,MIN(IFERROR(MATCH(P68,Tables!$A$91:$A$94,1),1),ROWS(Tables!$A$91:$A$94)-1))+1)-INDEX(Tables!$A$91:$A$94,MAX(1,MIN(IFERROR(MATCH(P68,Tables!$A$91:$A$94,1),1),ROWS(Tables!$A$91:$A$94)-1)))))</f>
        <v>1.4152439024390244</v>
      </c>
      <c r="AP68" s="181">
        <f>IF(AD68=5000,(INDEX(Tables!$B$99:$B$118,MAX(1,MIN(IFERROR(MATCH(AF68,Tables!$A$99:$A$118,1),1),ROWS(Tables!$A$99:$A$118)-1)))+(AF68-INDEX(Tables!$A$99:$A$118,MAX(1,MIN(IFERROR(MATCH(AF68,Tables!$A$99:$A$118,1),1),ROWS(Tables!$A$99:$A$118)-1))))*(INDEX(Tables!$B$99:$B$118,MAX(1,MIN(IFERROR(MATCH(AF68,Tables!$A$99:$A$118,1),1),ROWS(Tables!$A$99:$A$118)-1))+1)-INDEX(Tables!$B$99:$B$118,MAX(1,MIN(IFERROR(MATCH(AF68,Tables!$A$99:$A$118,1),1),ROWS(Tables!$A$99:$A$118)-1))))/(INDEX(Tables!$A$99:$A$118,MAX(1,MIN(IFERROR(MATCH(AF68,Tables!$A$99:$A$118,1),1),ROWS(Tables!$A$99:$A$118)-1))+1)-INDEX(Tables!$A$99:$A$118,MAX(1,MIN(IFERROR(MATCH(AF68,Tables!$A$99:$A$118,1),1),ROWS(Tables!$A$99:$A$118)-1))))),IF(AD68=10000,(INDEX(Tables!$D$99:$D$118,MAX(1,MIN(IFERROR(MATCH(AF68,Tables!$C$99:$C$118,1),1),ROWS(Tables!$C$99:$C$118)-1)))+(AF68-INDEX(Tables!$C$99:$C$118,MAX(1,MIN(IFERROR(MATCH(AF68,Tables!$C$99:$C$118,1),1),ROWS(Tables!$C$99:$C$118)-1))))*(INDEX(Tables!$D$99:$D$118,MAX(1,MIN(IFERROR(MATCH(AF68,Tables!$C$99:$C$118,1),1),ROWS(Tables!$C$99:$C$118)-1))+1)-INDEX(Tables!$D$99:$D$118,MAX(1,MIN(IFERROR(MATCH(AF68,Tables!$C$99:$C$118,1),1),ROWS(Tables!$C$99:$C$118)-1))))/(INDEX(Tables!$C$99:$C$118,MAX(1,MIN(IFERROR(MATCH(AF68,Tables!$C$99:$C$118,1),1),ROWS(Tables!$C$99:$C$118)-1))+1)-INDEX(Tables!$C$99:$C$118,MAX(1,MIN(IFERROR(MATCH(AF68,Tables!$C$99:$C$118,1),1),ROWS(Tables!$C$99:$C$118)-1))))),(INDEX(Tables!$F$99:$F$118,MAX(1,MIN(IFERROR(MATCH(AF68,Tables!$E$99:$E$118,1),1),ROWS(Tables!$E$99:$E$118)-1)))+(AF68-INDEX(Tables!$E$99:$E$118,MAX(1,MIN(IFERROR(MATCH(AF68,Tables!$E$99:$E$118,1),1),ROWS(Tables!$E$99:$E$118)-1))))*(INDEX(Tables!$F$99:$F$118,MAX(1,MIN(IFERROR(MATCH(AF68,Tables!$E$99:$E$118,1),1),ROWS(Tables!$E$99:$E$118)-1))+1)-INDEX(Tables!$F$99:$F$118,MAX(1,MIN(IFERROR(MATCH(AF68,Tables!$E$99:$E$118,1),1),ROWS(Tables!$E$99:$E$118)-1))))/(INDEX(Tables!$E$99:$E$118,MAX(1,MIN(IFERROR(MATCH(AF68,Tables!$E$99:$E$118,1),1),ROWS(Tables!$E$99:$E$118)-1))+1)-INDEX(Tables!$E$99:$E$118,MAX(1,MIN(IFERROR(MATCH(AF68,Tables!$E$99:$E$118,1),1),ROWS(Tables!$E$99:$E$118)-1)))))))</f>
        <v>5.8145537190082637</v>
      </c>
      <c r="AQ68" s="181">
        <f>IF(P68&lt;6,(INDEX(Tables!$B$123:$B$138,MAX(1,MIN(IFERROR(MATCH(U68,Tables!$A$123:$A$138,1),1),ROWS(Tables!$A$123:$A$138)-1)))+(U68-INDEX(Tables!$A$123:$A$138,MAX(1,MIN(IFERROR(MATCH(U68,Tables!$A$123:$A$138,1),1),ROWS(Tables!$A$123:$A$138)-1))))*(INDEX(Tables!$B$123:$B$138,MAX(1,MIN(IFERROR(MATCH(U68,Tables!$A$123:$A$138,1),1),ROWS(Tables!$A$123:$A$138)-1))+1)-INDEX(Tables!$B$123:$B$138,MAX(1,MIN(IFERROR(MATCH(U68,Tables!$A$123:$A$138,1),1),ROWS(Tables!$A$123:$A$138)-1))))/(INDEX(Tables!$A$123:$A$138,MAX(1,MIN(IFERROR(MATCH(U68,Tables!$A$123:$A$138,1),1),ROWS(Tables!$A$123:$A$138)-1))+1)-INDEX(Tables!$A$123:$A$138,MAX(1,MIN(IFERROR(MATCH(U68,Tables!$A$123:$A$138,1),1),ROWS(Tables!$A$123:$A$138)-1))))),IF(P68&lt;8,(INDEX(Tables!$D$123:$D$138,MAX(1,MIN(IFERROR(MATCH(U68,Tables!$C$123:$C$138,1),1),ROWS(Tables!$C$123:$C$138)-1)))+(U68-INDEX(Tables!$C$123:$C$138,MAX(1,MIN(IFERROR(MATCH(U68,Tables!$C$123:$C$138,1),1),ROWS(Tables!$C$123:$C$138)-1))))*(INDEX(Tables!$D$123:$D$138,MAX(1,MIN(IFERROR(MATCH(U68,Tables!$C$123:$C$138,1),1),ROWS(Tables!$C$123:$C$138)-1))+1)-INDEX(Tables!$D$123:$D$138,MAX(1,MIN(IFERROR(MATCH(U68,Tables!$C$123:$C$138,1),1),ROWS(Tables!$C$123:$C$138)-1))))/(INDEX(Tables!$C$123:$C$138,MAX(1,MIN(IFERROR(MATCH(U68,Tables!$C$123:$C$138,1),1),ROWS(Tables!$C$123:$C$138)-1))+1)-INDEX(Tables!$C$123:$C$138,MAX(1,MIN(IFERROR(MATCH(U68,Tables!$C$123:$C$138,1),1),ROWS(Tables!$C$123:$C$138)-1))))),IF(P68&lt;10,(INDEX(Tables!$F$123:$F$138,MAX(1,MIN(IFERROR(MATCH(U68,Tables!$E$123:$E$138,1),1),ROWS(Tables!$E$123:$E$138)-1)))+(U68-INDEX(Tables!$E$123:$E$138,MAX(1,MIN(IFERROR(MATCH(U68,Tables!$E$123:$E$138,1),1),ROWS(Tables!$E$123:$E$138)-1))))*(INDEX(Tables!$F$123:$F$138,MAX(1,MIN(IFERROR(MATCH(U68,Tables!$E$123:$E$138,1),1),ROWS(Tables!$E$123:$E$138)-1))+1)-INDEX(Tables!$F$123:$F$138,MAX(1,MIN(IFERROR(MATCH(U68,Tables!$E$123:$E$138,1),1),ROWS(Tables!$E$123:$E$138)-1))))/(INDEX(Tables!$E$123:$E$138,MAX(1,MIN(IFERROR(MATCH(U68,Tables!$E$123:$E$138,1),1),ROWS(Tables!$E$123:$E$138)-1))+1)-INDEX(Tables!$E$123:$E$138,MAX(1,MIN(IFERROR(MATCH(U68,Tables!$E$123:$E$138,1),1),ROWS(Tables!$E$123:$E$138)-1))))),(INDEX(Tables!$H$123:$H$138,MAX(1,MIN(IFERROR(MATCH(U68,Tables!$G$123:$G$138,1),1),ROWS(Tables!$G$123:$G$138)-1)))+(U68-INDEX(Tables!$G$123:$G$138,MAX(1,MIN(IFERROR(MATCH(U68,Tables!$G$123:$G$138,1),1),ROWS(Tables!$G$123:$G$138)-1))))*(INDEX(Tables!$H$123:$H$138,MAX(1,MIN(IFERROR(MATCH(U68,Tables!$G$123:$G$138,1),1),ROWS(Tables!$G$123:$G$138)-1))+1)-INDEX(Tables!$H$123:$H$138,MAX(1,MIN(IFERROR(MATCH(U68,Tables!$G$123:$G$138,1),1),ROWS(Tables!$G$123:$G$138)-1))))/(INDEX(Tables!$G$123:$G$138,MAX(1,MIN(IFERROR(MATCH(U68,Tables!$G$123:$G$138,1),1),ROWS(Tables!$G$123:$G$138)-1))+1)-INDEX(Tables!$G$123:$G$138,MAX(1,MIN(IFERROR(MATCH(U68,Tables!$G$123:$G$138,1),1),ROWS(Tables!$G$123:$G$138)-1))))))))</f>
        <v>0.79200000000000004</v>
      </c>
      <c r="AR68" s="181">
        <f>IF(OR(P68&gt;=4,U68&gt;12),VLOOKUP(R68&amp;" "&amp;S68,Tables!$D$143:$F$148,2,FALSE),VLOOKUP(R68&amp;" "&amp;S68,Tables!$A$143:$C$148,2,FALSE))</f>
        <v>1</v>
      </c>
      <c r="AS68" s="181">
        <f>IF(OR(P68&gt;=4,U68&gt;12),VLOOKUP(R68&amp;" "&amp;S68,Tables!$D$143:$F$148,3,FALSE),VLOOKUP(R68&amp;" "&amp;S68,Tables!$A$143:$C$148,3,FALSE))</f>
        <v>0.65</v>
      </c>
      <c r="AT68" s="181">
        <f t="shared" si="72"/>
        <v>353.02460176829271</v>
      </c>
      <c r="AU68" s="181">
        <f>IF(AD68=5000,(INDEX(Tables!$B$244:$B$263,MAX(1,MIN(IFERROR(MATCH(AF68,Tables!$A$244:$A$263,1),1),ROWS(Tables!$A$244:$A$263)-1)))+(AF68-INDEX(Tables!$A$244:$A$263,MAX(1,MIN(IFERROR(MATCH(AF68,Tables!$A$244:$A$263,1),1),ROWS(Tables!$A$244:$A$263)-1))))*(INDEX(Tables!$B$244:$B$263,MAX(1,MIN(IFERROR(MATCH(AF68,Tables!$A$244:$A$263,1),1),ROWS(Tables!$A$244:$A$263)-1))+1)-INDEX(Tables!$B$244:$B$263,MAX(1,MIN(IFERROR(MATCH(AF68,Tables!$A$244:$A$263,1),1),ROWS(Tables!$A$244:$A$263)-1))))/(INDEX(Tables!$A$244:$A$263,MAX(1,MIN(IFERROR(MATCH(AF68,Tables!$A$244:$A$263,1),1),ROWS(Tables!$A$244:$A$263)-1))+1)-INDEX(Tables!$A$244:$A$263,MAX(1,MIN(IFERROR(MATCH(AF68,Tables!$A$244:$A$263,1),1),ROWS(Tables!$A$244:$A$263)-1))))),IF(AD68=10000,(INDEX(Tables!$D$244:$D$263,MAX(1,MIN(IFERROR(MATCH(AF68,Tables!$C$244:$C$263,1),1),ROWS(Tables!$C$244:$C$263)-1)))+(AF68-INDEX(Tables!$C$244:$C$263,MAX(1,MIN(IFERROR(MATCH(AF68,Tables!$C$244:$C$263,1),1),ROWS(Tables!$C$244:$C$263)-1))))*(INDEX(Tables!$D$244:$D$263,MAX(1,MIN(IFERROR(MATCH(AF68,Tables!$C$244:$C$263,1),1),ROWS(Tables!$C$244:$C$263)-1))+1)-INDEX(Tables!$D$244:$D$263,MAX(1,MIN(IFERROR(MATCH(AF68,Tables!$C$244:$C$263,1),1),ROWS(Tables!$C$244:$C$263)-1))))/(INDEX(Tables!$C$244:$C$263,MAX(1,MIN(IFERROR(MATCH(AF68,Tables!$C$244:$C$263,1),1),ROWS(Tables!$C$244:$C$263)-1))+1)-INDEX(Tables!$C$244:$C$263,MAX(1,MIN(IFERROR(MATCH(AF68,Tables!$C$244:$C$263,1),1),ROWS(Tables!$C$244:$C$263)-1))))),(INDEX(Tables!$F$244:$F$263,MAX(1,MIN(IFERROR(MATCH(AF68,Tables!$E$244:$E$263,1),1),ROWS(Tables!$E$244:$E$263)-1)))+(AF68-INDEX(Tables!$E$244:$E$263,MAX(1,MIN(IFERROR(MATCH(AF68,Tables!$E$244:$E$263,1),1),ROWS(Tables!$E$244:$E$263)-1))))*(INDEX(Tables!$F$244:$F$263,MAX(1,MIN(IFERROR(MATCH(AF68,Tables!$E$244:$E$263,1),1),ROWS(Tables!$E$244:$E$263)-1))+1)-INDEX(Tables!$F$244:$F$263,MAX(1,MIN(IFERROR(MATCH(AF68,Tables!$E$244:$E$263,1),1),ROWS(Tables!$E$244:$E$263)-1))))/(INDEX(Tables!$E$244:$E$263,MAX(1,MIN(IFERROR(MATCH(AF68,Tables!$E$244:$E$263,1),1),ROWS(Tables!$E$244:$E$263)-1))+1)-INDEX(Tables!$E$244:$E$263,MAX(1,MIN(IFERROR(MATCH(AF68,Tables!$E$244:$E$263,1),1),ROWS(Tables!$E$244:$E$263)-1)))))))</f>
        <v>8.3038249999999998</v>
      </c>
      <c r="AV68" s="181">
        <f>IF(P68&lt;6,(INDEX(Tables!$B$260:$B$274,MAX(1,MIN(IFERROR(MATCH(U68,Tables!$A$260:$A$274,1),1),ROWS(Tables!$A$260:$A$274)-1)))+(U68-INDEX(Tables!$A$260:$A$274,MAX(1,MIN(IFERROR(MATCH(U68,Tables!$A$260:$A$274,1),1),ROWS(Tables!$A$260:$A$274)-1))))*(INDEX(Tables!$B$260:$B$274,MAX(1,MIN(IFERROR(MATCH(U68,Tables!$A$260:$A$274,1),1),ROWS(Tables!$A$260:$A$274)-1))+1)-INDEX(Tables!$B$260:$B$274,MAX(1,MIN(IFERROR(MATCH(U68,Tables!$A$260:$A$274,1),1),ROWS(Tables!$A$260:$A$274)-1))))/(INDEX(Tables!$A$260:$A$274,MAX(1,MIN(IFERROR(MATCH(U68,Tables!$A$260:$A$274,1),1),ROWS(Tables!$A$260:$A$274)-1))+1)-INDEX(Tables!$A$260:$A$274,MAX(1,MIN(IFERROR(MATCH(U68,Tables!$A$260:$A$274,1),1),ROWS(Tables!$A$260:$A$274)-1))))),IF(P68&lt;8,(INDEX(Tables!$D$260:$D$274,MAX(1,MIN(IFERROR(MATCH(U68,Tables!$C$260:$C$274,1),1),ROWS(Tables!$C$260:$C$274)-1)))+(U68-INDEX(Tables!$C$260:$C$274,MAX(1,MIN(IFERROR(MATCH(U68,Tables!$C$260:$C$274,1),1),ROWS(Tables!$C$260:$C$274)-1))))*(INDEX(Tables!$D$260:$D$274,MAX(1,MIN(IFERROR(MATCH(U68,Tables!$C$260:$C$274,1),1),ROWS(Tables!$C$260:$C$274)-1))+1)-INDEX(Tables!$D$260:$D$274,MAX(1,MIN(IFERROR(MATCH(U68,Tables!$C$260:$C$274,1),1),ROWS(Tables!$C$260:$C$274)-1))))/(INDEX(Tables!$C$260:$C$274,MAX(1,MIN(IFERROR(MATCH(U68,Tables!$C$260:$C$274,1),1),ROWS(Tables!$C$260:$C$274)-1))+1)-INDEX(Tables!$C$260:$C$274,MAX(1,MIN(IFERROR(MATCH(U68,Tables!$C$260:$C$274,1),1),ROWS(Tables!$C$260:$C$274)-1))))),IF(P68&lt;10,(INDEX(Tables!$F$260:$F$274,MAX(1,MIN(IFERROR(MATCH(U68,Tables!$E$260:$E$274,1),1),ROWS(Tables!$E$260:$E$274)-1)))+(U68-INDEX(Tables!$E$260:$E$274,MAX(1,MIN(IFERROR(MATCH(U68,Tables!$E$260:$E$274,1),1),ROWS(Tables!$E$260:$E$274)-1))))*(INDEX(Tables!$F$260:$F$274,MAX(1,MIN(IFERROR(MATCH(U68,Tables!$E$260:$E$274,1),1),ROWS(Tables!$E$260:$E$274)-1))+1)-INDEX(Tables!$F$260:$F$274,MAX(1,MIN(IFERROR(MATCH(U68,Tables!$E$260:$E$274,1),1),ROWS(Tables!$E$260:$E$274)-1))))/(INDEX(Tables!$E$260:$E$274,MAX(1,MIN(IFERROR(MATCH(U68,Tables!$E$260:$E$274,1),1),ROWS(Tables!$E$260:$E$274)-1))+1)-INDEX(Tables!$E$260:$E$274,MAX(1,MIN(IFERROR(MATCH(U68,Tables!$E$260:$E$274,1),1),ROWS(Tables!$E$260:$E$274)-1))))),(INDEX(Tables!$H$260:$H$274,MAX(1,MIN(IFERROR(MATCH(U68,Tables!$G$260:$G$274,1),1),ROWS(Tables!$G$260:$G$274)-1)))+(U68-INDEX(Tables!$G$260:$G$274,MAX(1,MIN(IFERROR(MATCH(U68,Tables!$G$260:$G$274,1),1),ROWS(Tables!$G$260:$G$274)-1))))*(INDEX(Tables!$H$260:$H$274,MAX(1,MIN(IFERROR(MATCH(U68,Tables!$G$260:$G$274,1),1),ROWS(Tables!$G$260:$G$274)-1))+1)-INDEX(Tables!$H$260:$H$274,MAX(1,MIN(IFERROR(MATCH(U68,Tables!$G$260:$G$274,1),1),ROWS(Tables!$G$260:$G$274)-1))))/(INDEX(Tables!$G$260:$G$274,MAX(1,MIN(IFERROR(MATCH(U68,Tables!$G$260:$G$274,1),1),ROWS(Tables!$G$260:$G$274)-1))+1)-INDEX(Tables!$G$260:$G$274,MAX(1,MIN(IFERROR(MATCH(U68,Tables!$G$260:$G$274,1),1),ROWS(Tables!$G$260:$G$274)-1))))))))</f>
        <v>0.84099999999999997</v>
      </c>
      <c r="AW68" s="181">
        <f t="shared" si="73"/>
        <v>535.34972855875253</v>
      </c>
      <c r="AX68" s="181">
        <f t="shared" si="74"/>
        <v>28056.650246305417</v>
      </c>
      <c r="AY68" s="181">
        <f t="shared" si="75"/>
        <v>28986.290805847784</v>
      </c>
      <c r="AZ68" s="181">
        <f t="shared" si="76"/>
        <v>9125.3295897825992</v>
      </c>
      <c r="BA68" s="181">
        <f t="shared" si="77"/>
        <v>-3000</v>
      </c>
      <c r="BB68" s="181">
        <f t="shared" si="78"/>
        <v>27969.663902192009</v>
      </c>
      <c r="BC68" s="181">
        <f t="shared" si="79"/>
        <v>46800</v>
      </c>
      <c r="BD68" s="181">
        <f>VLOOKUP(V68&amp;" "&amp;J68,Tables!$A$152:$E$239,4,FALSE)</f>
        <v>12000</v>
      </c>
      <c r="BE68" s="181">
        <f>VLOOKUP(V68&amp;" "&amp;J68,Tables!$A$152:$E$239,5,FALSE)</f>
        <v>23000</v>
      </c>
      <c r="BF68" s="181">
        <f t="shared" si="80"/>
        <v>8640</v>
      </c>
      <c r="BG68" s="181">
        <f t="shared" si="81"/>
        <v>16560</v>
      </c>
      <c r="BH68" s="181">
        <f t="shared" si="82"/>
        <v>29556.650246305417</v>
      </c>
      <c r="BI68" s="181">
        <f t="shared" si="83"/>
        <v>46800</v>
      </c>
      <c r="BJ68" s="181">
        <f t="shared" si="84"/>
        <v>27969.663902192009</v>
      </c>
      <c r="BK68" s="181">
        <f t="shared" si="85"/>
        <v>46800</v>
      </c>
      <c r="BL68" s="181">
        <f t="shared" si="86"/>
        <v>535.34972855875253</v>
      </c>
      <c r="BM68" s="181">
        <f t="shared" si="87"/>
        <v>8640</v>
      </c>
      <c r="BN68" s="181">
        <f t="shared" si="88"/>
        <v>353.02460176829271</v>
      </c>
      <c r="BO68" s="181">
        <f t="shared" si="89"/>
        <v>16560</v>
      </c>
      <c r="BP68" t="str">
        <f t="shared" si="90"/>
        <v>Pass</v>
      </c>
      <c r="BQ68" t="str">
        <f t="shared" si="91"/>
        <v>Pass</v>
      </c>
      <c r="BR68" t="str">
        <f t="shared" si="92"/>
        <v>Pass</v>
      </c>
      <c r="BS68" t="str">
        <f t="shared" si="93"/>
        <v>Pass</v>
      </c>
      <c r="BT68" t="str">
        <f t="shared" si="94"/>
        <v>Pass</v>
      </c>
      <c r="BU68" t="str">
        <f t="shared" si="95"/>
        <v>Barlow Stress</v>
      </c>
    </row>
    <row r="69" spans="1:73">
      <c r="A69" t="s">
        <v>661</v>
      </c>
      <c r="B69" s="181">
        <v>67</v>
      </c>
      <c r="C69" t="s">
        <v>594</v>
      </c>
      <c r="D69" s="181">
        <v>24</v>
      </c>
      <c r="E69" s="181">
        <v>0.56200000000000006</v>
      </c>
      <c r="F69" t="s">
        <v>117</v>
      </c>
      <c r="G69" t="s">
        <v>119</v>
      </c>
      <c r="H69" t="s">
        <v>122</v>
      </c>
      <c r="I69" s="181">
        <v>1</v>
      </c>
      <c r="J69" t="s">
        <v>126</v>
      </c>
      <c r="K69" t="s">
        <v>129</v>
      </c>
      <c r="L69" s="181">
        <v>70</v>
      </c>
      <c r="M69" s="181">
        <v>3000</v>
      </c>
      <c r="N69" t="s">
        <v>389</v>
      </c>
      <c r="O69" s="181">
        <v>120</v>
      </c>
      <c r="P69" s="181">
        <v>10</v>
      </c>
      <c r="Q69" s="181">
        <v>26</v>
      </c>
      <c r="R69" t="s">
        <v>154</v>
      </c>
      <c r="S69" t="s">
        <v>420</v>
      </c>
      <c r="T69" s="181">
        <v>70</v>
      </c>
      <c r="U69" s="181">
        <f>HLOOKUP(D69,'Highway Loading'!$C$155:$AD$156,2,FALSE)</f>
        <v>24</v>
      </c>
      <c r="V69" s="181">
        <f>IF(ISBLANK(G69),"",INDEX('Highway Loading'!$C$216:$AG$216,1,MATCH(G69,'Highway Loading'!$C$215:$AG$215,0)))</f>
        <v>65000</v>
      </c>
      <c r="W69" s="181">
        <f>INDEX('Highway Loading'!$I$245:$L$253,MATCH(H69,'Highway Loading'!$H$245:$H$253,0),MATCH(I69,'Highway Loading'!$I$244:$L$244,0))</f>
        <v>0.72</v>
      </c>
      <c r="X69" s="181">
        <f t="shared" si="64"/>
        <v>1</v>
      </c>
      <c r="Y69" s="181">
        <f>VLOOKUP(K69,'Highway Loading'!$B$283:$E$292,2,FALSE)</f>
        <v>29000000</v>
      </c>
      <c r="Z69" s="181">
        <f>VLOOKUP(K69,'Highway Loading'!$B$283:$E$292,3,FALSE)</f>
        <v>0.3</v>
      </c>
      <c r="AA69" s="181">
        <f>VLOOKUP(K69,'Highway Loading'!$B$283:$E$292,4,FALSE)</f>
        <v>6.4999999999999996E-6</v>
      </c>
      <c r="AB69" s="181">
        <f t="shared" si="65"/>
        <v>1</v>
      </c>
      <c r="AC69" s="181">
        <f>VLOOKUP(N69,'Highway Loading'!$B$256:$D$261,2,FALSE)</f>
        <v>500</v>
      </c>
      <c r="AD69" s="181">
        <f>VLOOKUP(N69,'Highway Loading'!$B$256:$D$261,3,FALSE)</f>
        <v>5000</v>
      </c>
      <c r="AE69" s="181">
        <f>VLOOKUP(S69,'Highway Loading'!$B$340:$C$341,2,FALSE)</f>
        <v>12000</v>
      </c>
      <c r="AF69" s="181">
        <f t="shared" si="66"/>
        <v>2.3416666666666669E-2</v>
      </c>
      <c r="AG69" s="181">
        <f t="shared" si="67"/>
        <v>4.615384615384615</v>
      </c>
      <c r="AH69" s="181">
        <f t="shared" si="68"/>
        <v>1.0833333333333333</v>
      </c>
      <c r="AI69" s="181">
        <f t="shared" si="69"/>
        <v>64056.93950177935</v>
      </c>
      <c r="AJ69" s="181">
        <f t="shared" si="70"/>
        <v>46800</v>
      </c>
      <c r="AK69" s="181">
        <f>IF(AC69=200,(INDEX(Tables!$B$17:$B$38,MAX(1,MIN(IFERROR(MATCH(AF69,Tables!$A$17:$A$38,1),1),ROWS(Tables!$A$17:$A$38)-1)))+(AF69-INDEX(Tables!$A$17:$A$38,MAX(1,MIN(IFERROR(MATCH(AF69,Tables!$A$17:$A$38,1),1),ROWS(Tables!$A$17:$A$38)-1))))*(INDEX(Tables!$B$17:$B$38,MAX(1,MIN(IFERROR(MATCH(AF69,Tables!$A$17:$A$38,1),1),ROWS(Tables!$A$17:$A$38)-1))+1)-INDEX(Tables!$B$17:$B$38,MAX(1,MIN(IFERROR(MATCH(AF69,Tables!$A$17:$A$38,1),1),ROWS(Tables!$A$17:$A$38)-1))))/(INDEX(Tables!$A$17:$A$38,MAX(1,MIN(IFERROR(MATCH(AF69,Tables!$A$17:$A$38,1),1),ROWS(Tables!$A$17:$A$38)-1))+1)-INDEX(Tables!$A$17:$A$38,MAX(1,MIN(IFERROR(MATCH(AF69,Tables!$A$17:$A$38,1),1),ROWS(Tables!$A$17:$A$38)-1))))),IF(AC69=500,(INDEX(Tables!$D$17:$D$38,MAX(1,MIN(IFERROR(MATCH(AF69,Tables!$C$17:$C$38,1),1),ROWS(Tables!$C$17:$C$38)-1)))+(AF69-INDEX(Tables!$C$17:$C$38,MAX(1,MIN(IFERROR(MATCH(AF69,Tables!$C$17:$C$38,1),1),ROWS(Tables!$C$17:$C$38)-1))))*(INDEX(Tables!$D$17:$D$38,MAX(1,MIN(IFERROR(MATCH(AF69,Tables!$C$17:$C$38,1),1),ROWS(Tables!$C$17:$C$38)-1))+1)-INDEX(Tables!$D$17:$D$38,MAX(1,MIN(IFERROR(MATCH(AF69,Tables!$C$17:$C$38,1),1),ROWS(Tables!$C$17:$C$38)-1))))/(INDEX(Tables!$C$17:$C$38,MAX(1,MIN(IFERROR(MATCH(AF69,Tables!$C$17:$C$38,1),1),ROWS(Tables!$C$17:$C$38)-1))+1)-INDEX(Tables!$C$17:$C$38,MAX(1,MIN(IFERROR(MATCH(AF69,Tables!$C$17:$C$38,1),1),ROWS(Tables!$C$17:$C$38)-1))))),IF(AC69=1000,(INDEX(Tables!$F$17:$F$38,MAX(1,MIN(IFERROR(MATCH(AF69,Tables!$E$17:$E$38,1),1),ROWS(Tables!$E$17:$E$38)-1)))+(AF69-INDEX(Tables!$E$17:$E$38,MAX(1,MIN(IFERROR(MATCH(AF69,Tables!$E$17:$E$38,1),1),ROWS(Tables!$E$17:$E$38)-1))))*(INDEX(Tables!$F$17:$F$38,MAX(1,MIN(IFERROR(MATCH(AF69,Tables!$E$17:$E$38,1),1),ROWS(Tables!$E$17:$E$38)-1))+1)-INDEX(Tables!$F$17:$F$38,MAX(1,MIN(IFERROR(MATCH(AF69,Tables!$E$17:$E$38,1),1),ROWS(Tables!$E$17:$E$38)-1))))/(INDEX(Tables!$E$17:$E$38,MAX(1,MIN(IFERROR(MATCH(AF69,Tables!$E$17:$E$38,1),1),ROWS(Tables!$E$17:$E$38)-1))+1)-INDEX(Tables!$E$17:$E$38,MAX(1,MIN(IFERROR(MATCH(AF69,Tables!$E$17:$E$38,1),1),ROWS(Tables!$E$17:$E$38)-1))))),(INDEX(Tables!$H$17:$H$38,MAX(1,MIN(IFERROR(MATCH(AF69,Tables!$G$17:$G$38,1),1),ROWS(Tables!$G$17:$G$38)-1)))+(AF69-INDEX(Tables!$G$17:$G$38,MAX(1,MIN(IFERROR(MATCH(AF69,Tables!$G$17:$G$38,1),1),ROWS(Tables!$G$17:$G$38)-1))))*(INDEX(Tables!$H$17:$H$38,MAX(1,MIN(IFERROR(MATCH(AF69,Tables!$G$17:$G$38,1),1),ROWS(Tables!$G$17:$G$38)-1))+1)-INDEX(Tables!$H$17:$H$38,MAX(1,MIN(IFERROR(MATCH(AF69,Tables!$G$17:$G$38,1),1),ROWS(Tables!$G$17:$G$38)-1))))/(INDEX(Tables!$G$17:$G$38,MAX(1,MIN(IFERROR(MATCH(AF69,Tables!$G$17:$G$38,1),1),ROWS(Tables!$G$17:$G$38)-1))+1)-INDEX(Tables!$G$17:$G$38,MAX(1,MIN(IFERROR(MATCH(AF69,Tables!$G$17:$G$38,1),1),ROWS(Tables!$G$17:$G$38)-1))))))))</f>
        <v>1965.3166666666666</v>
      </c>
      <c r="AL69" s="181">
        <f>IF(AC69&lt;1000,(INDEX(Tables!$B$43:$B$76,MAX(1,MIN(IFERROR(MATCH(AG69,Tables!$A$43:$A$76,1),1),ROWS(Tables!$A$43:$A$76)-1)))+(AG69-INDEX(Tables!$A$43:$A$76,MAX(1,MIN(IFERROR(MATCH(AG69,Tables!$A$43:$A$76,1),1),ROWS(Tables!$A$43:$A$76)-1))))*(INDEX(Tables!$B$43:$B$76,MAX(1,MIN(IFERROR(MATCH(AG69,Tables!$A$43:$A$76,1),1),ROWS(Tables!$A$43:$A$76)-1))+1)-INDEX(Tables!$B$43:$B$76,MAX(1,MIN(IFERROR(MATCH(AG69,Tables!$A$43:$A$76,1),1),ROWS(Tables!$A$43:$A$76)-1))))/(INDEX(Tables!$A$43:$A$76,MAX(1,MIN(IFERROR(MATCH(AG69,Tables!$A$43:$A$76,1),1),ROWS(Tables!$A$43:$A$76)-1))+1)-INDEX(Tables!$A$43:$A$76,MAX(1,MIN(IFERROR(MATCH(AG69,Tables!$A$43:$A$76,1),1),ROWS(Tables!$A$43:$A$76)-1))))),(INDEX(Tables!$D$43:$D$76,MAX(1,MIN(IFERROR(MATCH(AG69,Tables!$C$43:$C$76,1),1),ROWS(Tables!$C$43:$C$76)-1)))+(AG69-INDEX(Tables!$C$43:$C$76,MAX(1,MIN(IFERROR(MATCH(AG69,Tables!$C$43:$C$76,1),1),ROWS(Tables!$C$43:$C$76)-1))))*(INDEX(Tables!$D$43:$D$76,MAX(1,MIN(IFERROR(MATCH(AG69,Tables!$C$43:$C$76,1),1),ROWS(Tables!$C$43:$C$76)-1))+1)-INDEX(Tables!$D$43:$D$76,MAX(1,MIN(IFERROR(MATCH(AG69,Tables!$C$43:$C$76,1),1),ROWS(Tables!$C$43:$C$76)-1))))/(INDEX(Tables!$C$43:$C$76,MAX(1,MIN(IFERROR(MATCH(AG69,Tables!$C$43:$C$76,1),1),ROWS(Tables!$C$43:$C$76)-1))+1)-INDEX(Tables!$C$43:$C$76,MAX(1,MIN(IFERROR(MATCH(AG69,Tables!$C$43:$C$76,1),1),ROWS(Tables!$C$43:$C$76)-1))))))</f>
        <v>1.0408461538461538</v>
      </c>
      <c r="AM69" s="181">
        <f>(INDEX(Tables!$B$80:$B$87,MAX(1,MIN(IFERROR(MATCH(AH69,Tables!$A$80:$A$87,1),1),ROWS(Tables!$A$80:$A$87)-1)))+(AH69-INDEX(Tables!$A$80:$A$87,MAX(1,MIN(IFERROR(MATCH(AH69,Tables!$A$80:$A$87,1),1),ROWS(Tables!$A$80:$A$87)-1))))*(INDEX(Tables!$B$80:$B$87,MAX(1,MIN(IFERROR(MATCH(AH69,Tables!$A$80:$A$87,1),1),ROWS(Tables!$A$80:$A$87)-1))+1)-INDEX(Tables!$B$80:$B$87,MAX(1,MIN(IFERROR(MATCH(AH69,Tables!$A$80:$A$87,1),1),ROWS(Tables!$A$80:$A$87)-1))))/(INDEX(Tables!$A$80:$A$87,MAX(1,MIN(IFERROR(MATCH(AH69,Tables!$A$80:$A$87,1),1),ROWS(Tables!$A$80:$A$87)-1))+1)-INDEX(Tables!$A$80:$A$87,MAX(1,MIN(IFERROR(MATCH(AH69,Tables!$A$80:$A$87,1),1),ROWS(Tables!$A$80:$A$87)-1)))))</f>
        <v>0.96739999999999982</v>
      </c>
      <c r="AN69" s="181">
        <f t="shared" si="71"/>
        <v>3298.1766413645291</v>
      </c>
      <c r="AO69" s="181">
        <f>(INDEX(Tables!$B$91:$B$94,MAX(1,MIN(IFERROR(MATCH(P69,Tables!$A$91:$A$94,1),1),ROWS(Tables!$A$91:$A$94)-1)))+(P69-INDEX(Tables!$A$91:$A$94,MAX(1,MIN(IFERROR(MATCH(P69,Tables!$A$91:$A$94,1),1),ROWS(Tables!$A$91:$A$94)-1))))*(INDEX(Tables!$B$91:$B$94,MAX(1,MIN(IFERROR(MATCH(P69,Tables!$A$91:$A$94,1),1),ROWS(Tables!$A$91:$A$94)-1))+1)-INDEX(Tables!$B$91:$B$94,MAX(1,MIN(IFERROR(MATCH(P69,Tables!$A$91:$A$94,1),1),ROWS(Tables!$A$91:$A$94)-1))))/(INDEX(Tables!$A$91:$A$94,MAX(1,MIN(IFERROR(MATCH(P69,Tables!$A$91:$A$94,1),1),ROWS(Tables!$A$91:$A$94)-1))+1)-INDEX(Tables!$A$91:$A$94,MAX(1,MIN(IFERROR(MATCH(P69,Tables!$A$91:$A$94,1),1),ROWS(Tables!$A$91:$A$94)-1)))))</f>
        <v>1.3542682926829268</v>
      </c>
      <c r="AP69" s="181">
        <f>IF(AD69=5000,(INDEX(Tables!$B$99:$B$118,MAX(1,MIN(IFERROR(MATCH(AF69,Tables!$A$99:$A$118,1),1),ROWS(Tables!$A$99:$A$118)-1)))+(AF69-INDEX(Tables!$A$99:$A$118,MAX(1,MIN(IFERROR(MATCH(AF69,Tables!$A$99:$A$118,1),1),ROWS(Tables!$A$99:$A$118)-1))))*(INDEX(Tables!$B$99:$B$118,MAX(1,MIN(IFERROR(MATCH(AF69,Tables!$A$99:$A$118,1),1),ROWS(Tables!$A$99:$A$118)-1))+1)-INDEX(Tables!$B$99:$B$118,MAX(1,MIN(IFERROR(MATCH(AF69,Tables!$A$99:$A$118,1),1),ROWS(Tables!$A$99:$A$118)-1))))/(INDEX(Tables!$A$99:$A$118,MAX(1,MIN(IFERROR(MATCH(AF69,Tables!$A$99:$A$118,1),1),ROWS(Tables!$A$99:$A$118)-1))+1)-INDEX(Tables!$A$99:$A$118,MAX(1,MIN(IFERROR(MATCH(AF69,Tables!$A$99:$A$118,1),1),ROWS(Tables!$A$99:$A$118)-1))))),IF(AD69=10000,(INDEX(Tables!$D$99:$D$118,MAX(1,MIN(IFERROR(MATCH(AF69,Tables!$C$99:$C$118,1),1),ROWS(Tables!$C$99:$C$118)-1)))+(AF69-INDEX(Tables!$C$99:$C$118,MAX(1,MIN(IFERROR(MATCH(AF69,Tables!$C$99:$C$118,1),1),ROWS(Tables!$C$99:$C$118)-1))))*(INDEX(Tables!$D$99:$D$118,MAX(1,MIN(IFERROR(MATCH(AF69,Tables!$C$99:$C$118,1),1),ROWS(Tables!$C$99:$C$118)-1))+1)-INDEX(Tables!$D$99:$D$118,MAX(1,MIN(IFERROR(MATCH(AF69,Tables!$C$99:$C$118,1),1),ROWS(Tables!$C$99:$C$118)-1))))/(INDEX(Tables!$C$99:$C$118,MAX(1,MIN(IFERROR(MATCH(AF69,Tables!$C$99:$C$118,1),1),ROWS(Tables!$C$99:$C$118)-1))+1)-INDEX(Tables!$C$99:$C$118,MAX(1,MIN(IFERROR(MATCH(AF69,Tables!$C$99:$C$118,1),1),ROWS(Tables!$C$99:$C$118)-1))))),(INDEX(Tables!$F$99:$F$118,MAX(1,MIN(IFERROR(MATCH(AF69,Tables!$E$99:$E$118,1),1),ROWS(Tables!$E$99:$E$118)-1)))+(AF69-INDEX(Tables!$E$99:$E$118,MAX(1,MIN(IFERROR(MATCH(AF69,Tables!$E$99:$E$118,1),1),ROWS(Tables!$E$99:$E$118)-1))))*(INDEX(Tables!$F$99:$F$118,MAX(1,MIN(IFERROR(MATCH(AF69,Tables!$E$99:$E$118,1),1),ROWS(Tables!$E$99:$E$118)-1))+1)-INDEX(Tables!$F$99:$F$118,MAX(1,MIN(IFERROR(MATCH(AF69,Tables!$E$99:$E$118,1),1),ROWS(Tables!$E$99:$E$118)-1))))/(INDEX(Tables!$E$99:$E$118,MAX(1,MIN(IFERROR(MATCH(AF69,Tables!$E$99:$E$118,1),1),ROWS(Tables!$E$99:$E$118)-1))+1)-INDEX(Tables!$E$99:$E$118,MAX(1,MIN(IFERROR(MATCH(AF69,Tables!$E$99:$E$118,1),1),ROWS(Tables!$E$99:$E$118)-1)))))))</f>
        <v>17.686755937755937</v>
      </c>
      <c r="AQ69" s="181">
        <f>IF(P69&lt;6,(INDEX(Tables!$B$123:$B$138,MAX(1,MIN(IFERROR(MATCH(U69,Tables!$A$123:$A$138,1),1),ROWS(Tables!$A$123:$A$138)-1)))+(U69-INDEX(Tables!$A$123:$A$138,MAX(1,MIN(IFERROR(MATCH(U69,Tables!$A$123:$A$138,1),1),ROWS(Tables!$A$123:$A$138)-1))))*(INDEX(Tables!$B$123:$B$138,MAX(1,MIN(IFERROR(MATCH(U69,Tables!$A$123:$A$138,1),1),ROWS(Tables!$A$123:$A$138)-1))+1)-INDEX(Tables!$B$123:$B$138,MAX(1,MIN(IFERROR(MATCH(U69,Tables!$A$123:$A$138,1),1),ROWS(Tables!$A$123:$A$138)-1))))/(INDEX(Tables!$A$123:$A$138,MAX(1,MIN(IFERROR(MATCH(U69,Tables!$A$123:$A$138,1),1),ROWS(Tables!$A$123:$A$138)-1))+1)-INDEX(Tables!$A$123:$A$138,MAX(1,MIN(IFERROR(MATCH(U69,Tables!$A$123:$A$138,1),1),ROWS(Tables!$A$123:$A$138)-1))))),IF(P69&lt;8,(INDEX(Tables!$D$123:$D$138,MAX(1,MIN(IFERROR(MATCH(U69,Tables!$C$123:$C$138,1),1),ROWS(Tables!$C$123:$C$138)-1)))+(U69-INDEX(Tables!$C$123:$C$138,MAX(1,MIN(IFERROR(MATCH(U69,Tables!$C$123:$C$138,1),1),ROWS(Tables!$C$123:$C$138)-1))))*(INDEX(Tables!$D$123:$D$138,MAX(1,MIN(IFERROR(MATCH(U69,Tables!$C$123:$C$138,1),1),ROWS(Tables!$C$123:$C$138)-1))+1)-INDEX(Tables!$D$123:$D$138,MAX(1,MIN(IFERROR(MATCH(U69,Tables!$C$123:$C$138,1),1),ROWS(Tables!$C$123:$C$138)-1))))/(INDEX(Tables!$C$123:$C$138,MAX(1,MIN(IFERROR(MATCH(U69,Tables!$C$123:$C$138,1),1),ROWS(Tables!$C$123:$C$138)-1))+1)-INDEX(Tables!$C$123:$C$138,MAX(1,MIN(IFERROR(MATCH(U69,Tables!$C$123:$C$138,1),1),ROWS(Tables!$C$123:$C$138)-1))))),IF(P69&lt;10,(INDEX(Tables!$F$123:$F$138,MAX(1,MIN(IFERROR(MATCH(U69,Tables!$E$123:$E$138,1),1),ROWS(Tables!$E$123:$E$138)-1)))+(U69-INDEX(Tables!$E$123:$E$138,MAX(1,MIN(IFERROR(MATCH(U69,Tables!$E$123:$E$138,1),1),ROWS(Tables!$E$123:$E$138)-1))))*(INDEX(Tables!$F$123:$F$138,MAX(1,MIN(IFERROR(MATCH(U69,Tables!$E$123:$E$138,1),1),ROWS(Tables!$E$123:$E$138)-1))+1)-INDEX(Tables!$F$123:$F$138,MAX(1,MIN(IFERROR(MATCH(U69,Tables!$E$123:$E$138,1),1),ROWS(Tables!$E$123:$E$138)-1))))/(INDEX(Tables!$E$123:$E$138,MAX(1,MIN(IFERROR(MATCH(U69,Tables!$E$123:$E$138,1),1),ROWS(Tables!$E$123:$E$138)-1))+1)-INDEX(Tables!$E$123:$E$138,MAX(1,MIN(IFERROR(MATCH(U69,Tables!$E$123:$E$138,1),1),ROWS(Tables!$E$123:$E$138)-1))))),(INDEX(Tables!$H$123:$H$138,MAX(1,MIN(IFERROR(MATCH(U69,Tables!$G$123:$G$138,1),1),ROWS(Tables!$G$123:$G$138)-1)))+(U69-INDEX(Tables!$G$123:$G$138,MAX(1,MIN(IFERROR(MATCH(U69,Tables!$G$123:$G$138,1),1),ROWS(Tables!$G$123:$G$138)-1))))*(INDEX(Tables!$H$123:$H$138,MAX(1,MIN(IFERROR(MATCH(U69,Tables!$G$123:$G$138,1),1),ROWS(Tables!$G$123:$G$138)-1))+1)-INDEX(Tables!$H$123:$H$138,MAX(1,MIN(IFERROR(MATCH(U69,Tables!$G$123:$G$138,1),1),ROWS(Tables!$G$123:$G$138)-1))))/(INDEX(Tables!$G$123:$G$138,MAX(1,MIN(IFERROR(MATCH(U69,Tables!$G$123:$G$138,1),1),ROWS(Tables!$G$123:$G$138)-1))+1)-INDEX(Tables!$G$123:$G$138,MAX(1,MIN(IFERROR(MATCH(U69,Tables!$G$123:$G$138,1),1),ROWS(Tables!$G$123:$G$138)-1))))))))</f>
        <v>0.57750000000000001</v>
      </c>
      <c r="AR69" s="181">
        <f>IF(OR(P69&gt;=4,U69&gt;12),VLOOKUP(R69&amp;" "&amp;S69,Tables!$D$143:$F$148,2,FALSE),VLOOKUP(R69&amp;" "&amp;S69,Tables!$A$143:$C$148,2,FALSE))</f>
        <v>1</v>
      </c>
      <c r="AS69" s="181">
        <f>IF(OR(P69&gt;=4,U69&gt;12),VLOOKUP(R69&amp;" "&amp;S69,Tables!$D$143:$F$148,3,FALSE),VLOOKUP(R69&amp;" "&amp;S69,Tables!$A$143:$C$148,3,FALSE))</f>
        <v>0.65</v>
      </c>
      <c r="AT69" s="181">
        <f t="shared" si="72"/>
        <v>749.26766811535231</v>
      </c>
      <c r="AU69" s="181">
        <f>IF(AD69=5000,(INDEX(Tables!$B$244:$B$263,MAX(1,MIN(IFERROR(MATCH(AF69,Tables!$A$244:$A$263,1),1),ROWS(Tables!$A$244:$A$263)-1)))+(AF69-INDEX(Tables!$A$244:$A$263,MAX(1,MIN(IFERROR(MATCH(AF69,Tables!$A$244:$A$263,1),1),ROWS(Tables!$A$244:$A$263)-1))))*(INDEX(Tables!$B$244:$B$263,MAX(1,MIN(IFERROR(MATCH(AF69,Tables!$A$244:$A$263,1),1),ROWS(Tables!$A$244:$A$263)-1))+1)-INDEX(Tables!$B$244:$B$263,MAX(1,MIN(IFERROR(MATCH(AF69,Tables!$A$244:$A$263,1),1),ROWS(Tables!$A$244:$A$263)-1))))/(INDEX(Tables!$A$244:$A$263,MAX(1,MIN(IFERROR(MATCH(AF69,Tables!$A$244:$A$263,1),1),ROWS(Tables!$A$244:$A$263)-1))+1)-INDEX(Tables!$A$244:$A$263,MAX(1,MIN(IFERROR(MATCH(AF69,Tables!$A$244:$A$263,1),1),ROWS(Tables!$A$244:$A$263)-1))))),IF(AD69=10000,(INDEX(Tables!$D$244:$D$263,MAX(1,MIN(IFERROR(MATCH(AF69,Tables!$C$244:$C$263,1),1),ROWS(Tables!$C$244:$C$263)-1)))+(AF69-INDEX(Tables!$C$244:$C$263,MAX(1,MIN(IFERROR(MATCH(AF69,Tables!$C$244:$C$263,1),1),ROWS(Tables!$C$244:$C$263)-1))))*(INDEX(Tables!$D$244:$D$263,MAX(1,MIN(IFERROR(MATCH(AF69,Tables!$C$244:$C$263,1),1),ROWS(Tables!$C$244:$C$263)-1))+1)-INDEX(Tables!$D$244:$D$263,MAX(1,MIN(IFERROR(MATCH(AF69,Tables!$C$244:$C$263,1),1),ROWS(Tables!$C$244:$C$263)-1))))/(INDEX(Tables!$C$244:$C$263,MAX(1,MIN(IFERROR(MATCH(AF69,Tables!$C$244:$C$263,1),1),ROWS(Tables!$C$244:$C$263)-1))+1)-INDEX(Tables!$C$244:$C$263,MAX(1,MIN(IFERROR(MATCH(AF69,Tables!$C$244:$C$263,1),1),ROWS(Tables!$C$244:$C$263)-1))))),(INDEX(Tables!$F$244:$F$263,MAX(1,MIN(IFERROR(MATCH(AF69,Tables!$E$244:$E$263,1),1),ROWS(Tables!$E$244:$E$263)-1)))+(AF69-INDEX(Tables!$E$244:$E$263,MAX(1,MIN(IFERROR(MATCH(AF69,Tables!$E$244:$E$263,1),1),ROWS(Tables!$E$244:$E$263)-1))))*(INDEX(Tables!$F$244:$F$263,MAX(1,MIN(IFERROR(MATCH(AF69,Tables!$E$244:$E$263,1),1),ROWS(Tables!$E$244:$E$263)-1))+1)-INDEX(Tables!$F$244:$F$263,MAX(1,MIN(IFERROR(MATCH(AF69,Tables!$E$244:$E$263,1),1),ROWS(Tables!$E$244:$E$263)-1))))/(INDEX(Tables!$E$244:$E$263,MAX(1,MIN(IFERROR(MATCH(AF69,Tables!$E$244:$E$263,1),1),ROWS(Tables!$E$244:$E$263)-1))+1)-INDEX(Tables!$E$244:$E$263,MAX(1,MIN(IFERROR(MATCH(AF69,Tables!$E$244:$E$263,1),1),ROWS(Tables!$E$244:$E$263)-1)))))))</f>
        <v>13.628550000000001</v>
      </c>
      <c r="AV69" s="181">
        <f>IF(P69&lt;6,(INDEX(Tables!$B$260:$B$274,MAX(1,MIN(IFERROR(MATCH(U69,Tables!$A$260:$A$274,1),1),ROWS(Tables!$A$260:$A$274)-1)))+(U69-INDEX(Tables!$A$260:$A$274,MAX(1,MIN(IFERROR(MATCH(U69,Tables!$A$260:$A$274,1),1),ROWS(Tables!$A$260:$A$274)-1))))*(INDEX(Tables!$B$260:$B$274,MAX(1,MIN(IFERROR(MATCH(U69,Tables!$A$260:$A$274,1),1),ROWS(Tables!$A$260:$A$274)-1))+1)-INDEX(Tables!$B$260:$B$274,MAX(1,MIN(IFERROR(MATCH(U69,Tables!$A$260:$A$274,1),1),ROWS(Tables!$A$260:$A$274)-1))))/(INDEX(Tables!$A$260:$A$274,MAX(1,MIN(IFERROR(MATCH(U69,Tables!$A$260:$A$274,1),1),ROWS(Tables!$A$260:$A$274)-1))+1)-INDEX(Tables!$A$260:$A$274,MAX(1,MIN(IFERROR(MATCH(U69,Tables!$A$260:$A$274,1),1),ROWS(Tables!$A$260:$A$274)-1))))),IF(P69&lt;8,(INDEX(Tables!$D$260:$D$274,MAX(1,MIN(IFERROR(MATCH(U69,Tables!$C$260:$C$274,1),1),ROWS(Tables!$C$260:$C$274)-1)))+(U69-INDEX(Tables!$C$260:$C$274,MAX(1,MIN(IFERROR(MATCH(U69,Tables!$C$260:$C$274,1),1),ROWS(Tables!$C$260:$C$274)-1))))*(INDEX(Tables!$D$260:$D$274,MAX(1,MIN(IFERROR(MATCH(U69,Tables!$C$260:$C$274,1),1),ROWS(Tables!$C$260:$C$274)-1))+1)-INDEX(Tables!$D$260:$D$274,MAX(1,MIN(IFERROR(MATCH(U69,Tables!$C$260:$C$274,1),1),ROWS(Tables!$C$260:$C$274)-1))))/(INDEX(Tables!$C$260:$C$274,MAX(1,MIN(IFERROR(MATCH(U69,Tables!$C$260:$C$274,1),1),ROWS(Tables!$C$260:$C$274)-1))+1)-INDEX(Tables!$C$260:$C$274,MAX(1,MIN(IFERROR(MATCH(U69,Tables!$C$260:$C$274,1),1),ROWS(Tables!$C$260:$C$274)-1))))),IF(P69&lt;10,(INDEX(Tables!$F$260:$F$274,MAX(1,MIN(IFERROR(MATCH(U69,Tables!$E$260:$E$274,1),1),ROWS(Tables!$E$260:$E$274)-1)))+(U69-INDEX(Tables!$E$260:$E$274,MAX(1,MIN(IFERROR(MATCH(U69,Tables!$E$260:$E$274,1),1),ROWS(Tables!$E$260:$E$274)-1))))*(INDEX(Tables!$F$260:$F$274,MAX(1,MIN(IFERROR(MATCH(U69,Tables!$E$260:$E$274,1),1),ROWS(Tables!$E$260:$E$274)-1))+1)-INDEX(Tables!$F$260:$F$274,MAX(1,MIN(IFERROR(MATCH(U69,Tables!$E$260:$E$274,1),1),ROWS(Tables!$E$260:$E$274)-1))))/(INDEX(Tables!$E$260:$E$274,MAX(1,MIN(IFERROR(MATCH(U69,Tables!$E$260:$E$274,1),1),ROWS(Tables!$E$260:$E$274)-1))+1)-INDEX(Tables!$E$260:$E$274,MAX(1,MIN(IFERROR(MATCH(U69,Tables!$E$260:$E$274,1),1),ROWS(Tables!$E$260:$E$274)-1))))),(INDEX(Tables!$H$260:$H$274,MAX(1,MIN(IFERROR(MATCH(U69,Tables!$G$260:$G$274,1),1),ROWS(Tables!$G$260:$G$274)-1)))+(U69-INDEX(Tables!$G$260:$G$274,MAX(1,MIN(IFERROR(MATCH(U69,Tables!$G$260:$G$274,1),1),ROWS(Tables!$G$260:$G$274)-1))))*(INDEX(Tables!$H$260:$H$274,MAX(1,MIN(IFERROR(MATCH(U69,Tables!$G$260:$G$274,1),1),ROWS(Tables!$G$260:$G$274)-1))+1)-INDEX(Tables!$H$260:$H$274,MAX(1,MIN(IFERROR(MATCH(U69,Tables!$G$260:$G$274,1),1),ROWS(Tables!$G$260:$G$274)-1))))/(INDEX(Tables!$G$260:$G$274,MAX(1,MIN(IFERROR(MATCH(U69,Tables!$G$260:$G$274,1),1),ROWS(Tables!$G$260:$G$274)-1))+1)-INDEX(Tables!$G$260:$G$274,MAX(1,MIN(IFERROR(MATCH(U69,Tables!$G$260:$G$274,1),1),ROWS(Tables!$G$260:$G$274)-1))))))))</f>
        <v>0.64533333333333331</v>
      </c>
      <c r="AW69" s="181">
        <f t="shared" si="73"/>
        <v>645.16466154674788</v>
      </c>
      <c r="AX69" s="181">
        <f t="shared" si="74"/>
        <v>62556.93950177935</v>
      </c>
      <c r="AY69" s="181">
        <f t="shared" si="75"/>
        <v>66604.383811259235</v>
      </c>
      <c r="AZ69" s="181">
        <f t="shared" si="76"/>
        <v>20401.699504489912</v>
      </c>
      <c r="BA69" s="181">
        <f t="shared" si="77"/>
        <v>-3000</v>
      </c>
      <c r="BB69" s="181">
        <f t="shared" si="78"/>
        <v>61347.770222700507</v>
      </c>
      <c r="BC69" s="181">
        <f t="shared" si="79"/>
        <v>46800</v>
      </c>
      <c r="BD69" s="181">
        <f>VLOOKUP(V69&amp;" "&amp;J69,Tables!$A$152:$E$239,4,FALSE)</f>
        <v>12000</v>
      </c>
      <c r="BE69" s="181">
        <f>VLOOKUP(V69&amp;" "&amp;J69,Tables!$A$152:$E$239,5,FALSE)</f>
        <v>23000</v>
      </c>
      <c r="BF69" s="181">
        <f t="shared" si="80"/>
        <v>8640</v>
      </c>
      <c r="BG69" s="181">
        <f t="shared" si="81"/>
        <v>16560</v>
      </c>
      <c r="BH69" s="181">
        <f t="shared" si="82"/>
        <v>64056.93950177935</v>
      </c>
      <c r="BI69" s="181">
        <f t="shared" si="83"/>
        <v>46800</v>
      </c>
      <c r="BJ69" s="181">
        <f t="shared" si="84"/>
        <v>61347.770222700507</v>
      </c>
      <c r="BK69" s="181">
        <f t="shared" si="85"/>
        <v>46800</v>
      </c>
      <c r="BL69" s="181">
        <f t="shared" si="86"/>
        <v>645.16466154674788</v>
      </c>
      <c r="BM69" s="181">
        <f t="shared" si="87"/>
        <v>8640</v>
      </c>
      <c r="BN69" s="181">
        <f t="shared" si="88"/>
        <v>749.26766811535231</v>
      </c>
      <c r="BO69" s="181">
        <f t="shared" si="89"/>
        <v>16560</v>
      </c>
      <c r="BP69" t="str">
        <f t="shared" si="90"/>
        <v>Fail</v>
      </c>
      <c r="BQ69" t="str">
        <f t="shared" si="91"/>
        <v>Fail</v>
      </c>
      <c r="BR69" t="str">
        <f t="shared" si="92"/>
        <v>Pass</v>
      </c>
      <c r="BS69" t="str">
        <f t="shared" si="93"/>
        <v>Pass</v>
      </c>
      <c r="BT69" t="str">
        <f t="shared" si="94"/>
        <v>Fail</v>
      </c>
      <c r="BU69" t="str">
        <f t="shared" si="95"/>
        <v>Barlow Stress</v>
      </c>
    </row>
    <row r="70" spans="1:73">
      <c r="A70" t="s">
        <v>662</v>
      </c>
      <c r="B70" s="181">
        <v>68</v>
      </c>
      <c r="C70" t="s">
        <v>594</v>
      </c>
      <c r="D70" s="181">
        <v>36</v>
      </c>
      <c r="E70" s="181">
        <v>0.5</v>
      </c>
      <c r="F70" t="s">
        <v>117</v>
      </c>
      <c r="G70" t="s">
        <v>119</v>
      </c>
      <c r="H70" t="s">
        <v>122</v>
      </c>
      <c r="I70" s="181">
        <v>1</v>
      </c>
      <c r="J70" t="s">
        <v>126</v>
      </c>
      <c r="K70" t="s">
        <v>129</v>
      </c>
      <c r="L70" s="181">
        <v>70</v>
      </c>
      <c r="M70" s="181">
        <v>3000</v>
      </c>
      <c r="N70" t="s">
        <v>389</v>
      </c>
      <c r="O70" s="181">
        <v>120</v>
      </c>
      <c r="P70" s="181">
        <v>14</v>
      </c>
      <c r="Q70" s="181">
        <v>38</v>
      </c>
      <c r="R70" t="s">
        <v>154</v>
      </c>
      <c r="S70" t="s">
        <v>420</v>
      </c>
      <c r="T70" s="181">
        <v>70</v>
      </c>
      <c r="U70" s="181">
        <f>HLOOKUP(D70,'Highway Loading'!$C$155:$AD$156,2,FALSE)</f>
        <v>36</v>
      </c>
      <c r="V70" s="181">
        <f>IF(ISBLANK(G70),"",INDEX('Highway Loading'!$C$216:$AG$216,1,MATCH(G70,'Highway Loading'!$C$215:$AG$215,0)))</f>
        <v>65000</v>
      </c>
      <c r="W70" s="181">
        <f>INDEX('Highway Loading'!$I$245:$L$253,MATCH(H70,'Highway Loading'!$H$245:$H$253,0),MATCH(I70,'Highway Loading'!$I$244:$L$244,0))</f>
        <v>0.72</v>
      </c>
      <c r="X70" s="181">
        <f t="shared" si="64"/>
        <v>1</v>
      </c>
      <c r="Y70" s="181">
        <f>VLOOKUP(K70,'Highway Loading'!$B$283:$E$292,2,FALSE)</f>
        <v>29000000</v>
      </c>
      <c r="Z70" s="181">
        <f>VLOOKUP(K70,'Highway Loading'!$B$283:$E$292,3,FALSE)</f>
        <v>0.3</v>
      </c>
      <c r="AA70" s="181">
        <f>VLOOKUP(K70,'Highway Loading'!$B$283:$E$292,4,FALSE)</f>
        <v>6.4999999999999996E-6</v>
      </c>
      <c r="AB70" s="181">
        <f t="shared" si="65"/>
        <v>1</v>
      </c>
      <c r="AC70" s="181">
        <f>VLOOKUP(N70,'Highway Loading'!$B$256:$D$261,2,FALSE)</f>
        <v>500</v>
      </c>
      <c r="AD70" s="181">
        <f>VLOOKUP(N70,'Highway Loading'!$B$256:$D$261,3,FALSE)</f>
        <v>5000</v>
      </c>
      <c r="AE70" s="181">
        <f>VLOOKUP(S70,'Highway Loading'!$B$340:$C$341,2,FALSE)</f>
        <v>12000</v>
      </c>
      <c r="AF70" s="181">
        <f t="shared" si="66"/>
        <v>1.3888888888888888E-2</v>
      </c>
      <c r="AG70" s="181">
        <f t="shared" si="67"/>
        <v>4.4210526315789478</v>
      </c>
      <c r="AH70" s="181">
        <f t="shared" si="68"/>
        <v>1.0555555555555556</v>
      </c>
      <c r="AI70" s="181">
        <f t="shared" si="69"/>
        <v>108000</v>
      </c>
      <c r="AJ70" s="181">
        <f t="shared" si="70"/>
        <v>46800</v>
      </c>
      <c r="AK70" s="181">
        <f>IF(AC70=200,(INDEX(Tables!$B$17:$B$38,MAX(1,MIN(IFERROR(MATCH(AF70,Tables!$A$17:$A$38,1),1),ROWS(Tables!$A$17:$A$38)-1)))+(AF70-INDEX(Tables!$A$17:$A$38,MAX(1,MIN(IFERROR(MATCH(AF70,Tables!$A$17:$A$38,1),1),ROWS(Tables!$A$17:$A$38)-1))))*(INDEX(Tables!$B$17:$B$38,MAX(1,MIN(IFERROR(MATCH(AF70,Tables!$A$17:$A$38,1),1),ROWS(Tables!$A$17:$A$38)-1))+1)-INDEX(Tables!$B$17:$B$38,MAX(1,MIN(IFERROR(MATCH(AF70,Tables!$A$17:$A$38,1),1),ROWS(Tables!$A$17:$A$38)-1))))/(INDEX(Tables!$A$17:$A$38,MAX(1,MIN(IFERROR(MATCH(AF70,Tables!$A$17:$A$38,1),1),ROWS(Tables!$A$17:$A$38)-1))+1)-INDEX(Tables!$A$17:$A$38,MAX(1,MIN(IFERROR(MATCH(AF70,Tables!$A$17:$A$38,1),1),ROWS(Tables!$A$17:$A$38)-1))))),IF(AC70=500,(INDEX(Tables!$D$17:$D$38,MAX(1,MIN(IFERROR(MATCH(AF70,Tables!$C$17:$C$38,1),1),ROWS(Tables!$C$17:$C$38)-1)))+(AF70-INDEX(Tables!$C$17:$C$38,MAX(1,MIN(IFERROR(MATCH(AF70,Tables!$C$17:$C$38,1),1),ROWS(Tables!$C$17:$C$38)-1))))*(INDEX(Tables!$D$17:$D$38,MAX(1,MIN(IFERROR(MATCH(AF70,Tables!$C$17:$C$38,1),1),ROWS(Tables!$C$17:$C$38)-1))+1)-INDEX(Tables!$D$17:$D$38,MAX(1,MIN(IFERROR(MATCH(AF70,Tables!$C$17:$C$38,1),1),ROWS(Tables!$C$17:$C$38)-1))))/(INDEX(Tables!$C$17:$C$38,MAX(1,MIN(IFERROR(MATCH(AF70,Tables!$C$17:$C$38,1),1),ROWS(Tables!$C$17:$C$38)-1))+1)-INDEX(Tables!$C$17:$C$38,MAX(1,MIN(IFERROR(MATCH(AF70,Tables!$C$17:$C$38,1),1),ROWS(Tables!$C$17:$C$38)-1))))),IF(AC70=1000,(INDEX(Tables!$F$17:$F$38,MAX(1,MIN(IFERROR(MATCH(AF70,Tables!$E$17:$E$38,1),1),ROWS(Tables!$E$17:$E$38)-1)))+(AF70-INDEX(Tables!$E$17:$E$38,MAX(1,MIN(IFERROR(MATCH(AF70,Tables!$E$17:$E$38,1),1),ROWS(Tables!$E$17:$E$38)-1))))*(INDEX(Tables!$F$17:$F$38,MAX(1,MIN(IFERROR(MATCH(AF70,Tables!$E$17:$E$38,1),1),ROWS(Tables!$E$17:$E$38)-1))+1)-INDEX(Tables!$F$17:$F$38,MAX(1,MIN(IFERROR(MATCH(AF70,Tables!$E$17:$E$38,1),1),ROWS(Tables!$E$17:$E$38)-1))))/(INDEX(Tables!$E$17:$E$38,MAX(1,MIN(IFERROR(MATCH(AF70,Tables!$E$17:$E$38,1),1),ROWS(Tables!$E$17:$E$38)-1))+1)-INDEX(Tables!$E$17:$E$38,MAX(1,MIN(IFERROR(MATCH(AF70,Tables!$E$17:$E$38,1),1),ROWS(Tables!$E$17:$E$38)-1))))),(INDEX(Tables!$H$17:$H$38,MAX(1,MIN(IFERROR(MATCH(AF70,Tables!$G$17:$G$38,1),1),ROWS(Tables!$G$17:$G$38)-1)))+(AF70-INDEX(Tables!$G$17:$G$38,MAX(1,MIN(IFERROR(MATCH(AF70,Tables!$G$17:$G$38,1),1),ROWS(Tables!$G$17:$G$38)-1))))*(INDEX(Tables!$H$17:$H$38,MAX(1,MIN(IFERROR(MATCH(AF70,Tables!$G$17:$G$38,1),1),ROWS(Tables!$G$17:$G$38)-1))+1)-INDEX(Tables!$H$17:$H$38,MAX(1,MIN(IFERROR(MATCH(AF70,Tables!$G$17:$G$38,1),1),ROWS(Tables!$G$17:$G$38)-1))))/(INDEX(Tables!$G$17:$G$38,MAX(1,MIN(IFERROR(MATCH(AF70,Tables!$G$17:$G$38,1),1),ROWS(Tables!$G$17:$G$38)-1))+1)-INDEX(Tables!$G$17:$G$38,MAX(1,MIN(IFERROR(MATCH(AF70,Tables!$G$17:$G$38,1),1),ROWS(Tables!$G$17:$G$38)-1))))))))</f>
        <v>4780.1111111111113</v>
      </c>
      <c r="AL70" s="181">
        <f>IF(AC70&lt;1000,(INDEX(Tables!$B$43:$B$76,MAX(1,MIN(IFERROR(MATCH(AG70,Tables!$A$43:$A$76,1),1),ROWS(Tables!$A$43:$A$76)-1)))+(AG70-INDEX(Tables!$A$43:$A$76,MAX(1,MIN(IFERROR(MATCH(AG70,Tables!$A$43:$A$76,1),1),ROWS(Tables!$A$43:$A$76)-1))))*(INDEX(Tables!$B$43:$B$76,MAX(1,MIN(IFERROR(MATCH(AG70,Tables!$A$43:$A$76,1),1),ROWS(Tables!$A$43:$A$76)-1))+1)-INDEX(Tables!$B$43:$B$76,MAX(1,MIN(IFERROR(MATCH(AG70,Tables!$A$43:$A$76,1),1),ROWS(Tables!$A$43:$A$76)-1))))/(INDEX(Tables!$A$43:$A$76,MAX(1,MIN(IFERROR(MATCH(AG70,Tables!$A$43:$A$76,1),1),ROWS(Tables!$A$43:$A$76)-1))+1)-INDEX(Tables!$A$43:$A$76,MAX(1,MIN(IFERROR(MATCH(AG70,Tables!$A$43:$A$76,1),1),ROWS(Tables!$A$43:$A$76)-1))))),(INDEX(Tables!$D$43:$D$76,MAX(1,MIN(IFERROR(MATCH(AG70,Tables!$C$43:$C$76,1),1),ROWS(Tables!$C$43:$C$76)-1)))+(AG70-INDEX(Tables!$C$43:$C$76,MAX(1,MIN(IFERROR(MATCH(AG70,Tables!$C$43:$C$76,1),1),ROWS(Tables!$C$43:$C$76)-1))))*(INDEX(Tables!$D$43:$D$76,MAX(1,MIN(IFERROR(MATCH(AG70,Tables!$C$43:$C$76,1),1),ROWS(Tables!$C$43:$C$76)-1))+1)-INDEX(Tables!$D$43:$D$76,MAX(1,MIN(IFERROR(MATCH(AG70,Tables!$C$43:$C$76,1),1),ROWS(Tables!$C$43:$C$76)-1))))/(INDEX(Tables!$C$43:$C$76,MAX(1,MIN(IFERROR(MATCH(AG70,Tables!$C$43:$C$76,1),1),ROWS(Tables!$C$43:$C$76)-1))+1)-INDEX(Tables!$C$43:$C$76,MAX(1,MIN(IFERROR(MATCH(AG70,Tables!$C$43:$C$76,1),1),ROWS(Tables!$C$43:$C$76)-1))))))</f>
        <v>1.022578947368421</v>
      </c>
      <c r="AM70" s="181">
        <f>(INDEX(Tables!$B$80:$B$87,MAX(1,MIN(IFERROR(MATCH(AH70,Tables!$A$80:$A$87,1),1),ROWS(Tables!$A$80:$A$87)-1)))+(AH70-INDEX(Tables!$A$80:$A$87,MAX(1,MIN(IFERROR(MATCH(AH70,Tables!$A$80:$A$87,1),1),ROWS(Tables!$A$80:$A$87)-1))))*(INDEX(Tables!$B$80:$B$87,MAX(1,MIN(IFERROR(MATCH(AH70,Tables!$A$80:$A$87,1),1),ROWS(Tables!$A$80:$A$87)-1))+1)-INDEX(Tables!$B$80:$B$87,MAX(1,MIN(IFERROR(MATCH(AH70,Tables!$A$80:$A$87,1),1),ROWS(Tables!$A$80:$A$87)-1))))/(INDEX(Tables!$A$80:$A$87,MAX(1,MIN(IFERROR(MATCH(AH70,Tables!$A$80:$A$87,1),1),ROWS(Tables!$A$80:$A$87)-1))+1)-INDEX(Tables!$A$80:$A$87,MAX(1,MIN(IFERROR(MATCH(AH70,Tables!$A$80:$A$87,1),1),ROWS(Tables!$A$80:$A$87)-1)))))</f>
        <v>0.91873333333333329</v>
      </c>
      <c r="AN70" s="181">
        <f t="shared" si="71"/>
        <v>11227.015476636454</v>
      </c>
      <c r="AO70" s="181">
        <f>(INDEX(Tables!$B$91:$B$94,MAX(1,MIN(IFERROR(MATCH(P70,Tables!$A$91:$A$94,1),1),ROWS(Tables!$A$91:$A$94)-1)))+(P70-INDEX(Tables!$A$91:$A$94,MAX(1,MIN(IFERROR(MATCH(P70,Tables!$A$91:$A$94,1),1),ROWS(Tables!$A$91:$A$94)-1))))*(INDEX(Tables!$B$91:$B$94,MAX(1,MIN(IFERROR(MATCH(P70,Tables!$A$91:$A$94,1),1),ROWS(Tables!$A$91:$A$94)-1))+1)-INDEX(Tables!$B$91:$B$94,MAX(1,MIN(IFERROR(MATCH(P70,Tables!$A$91:$A$94,1),1),ROWS(Tables!$A$91:$A$94)-1))))/(INDEX(Tables!$A$91:$A$94,MAX(1,MIN(IFERROR(MATCH(P70,Tables!$A$91:$A$94,1),1),ROWS(Tables!$A$91:$A$94)-1))+1)-INDEX(Tables!$A$91:$A$94,MAX(1,MIN(IFERROR(MATCH(P70,Tables!$A$91:$A$94,1),1),ROWS(Tables!$A$91:$A$94)-1)))))</f>
        <v>1.2323170731707318</v>
      </c>
      <c r="AP70" s="181">
        <f>IF(AD70=5000,(INDEX(Tables!$B$99:$B$118,MAX(1,MIN(IFERROR(MATCH(AF70,Tables!$A$99:$A$118,1),1),ROWS(Tables!$A$99:$A$118)-1)))+(AF70-INDEX(Tables!$A$99:$A$118,MAX(1,MIN(IFERROR(MATCH(AF70,Tables!$A$99:$A$118,1),1),ROWS(Tables!$A$99:$A$118)-1))))*(INDEX(Tables!$B$99:$B$118,MAX(1,MIN(IFERROR(MATCH(AF70,Tables!$A$99:$A$118,1),1),ROWS(Tables!$A$99:$A$118)-1))+1)-INDEX(Tables!$B$99:$B$118,MAX(1,MIN(IFERROR(MATCH(AF70,Tables!$A$99:$A$118,1),1),ROWS(Tables!$A$99:$A$118)-1))))/(INDEX(Tables!$A$99:$A$118,MAX(1,MIN(IFERROR(MATCH(AF70,Tables!$A$99:$A$118,1),1),ROWS(Tables!$A$99:$A$118)-1))+1)-INDEX(Tables!$A$99:$A$118,MAX(1,MIN(IFERROR(MATCH(AF70,Tables!$A$99:$A$118,1),1),ROWS(Tables!$A$99:$A$118)-1))))),IF(AD70=10000,(INDEX(Tables!$D$99:$D$118,MAX(1,MIN(IFERROR(MATCH(AF70,Tables!$C$99:$C$118,1),1),ROWS(Tables!$C$99:$C$118)-1)))+(AF70-INDEX(Tables!$C$99:$C$118,MAX(1,MIN(IFERROR(MATCH(AF70,Tables!$C$99:$C$118,1),1),ROWS(Tables!$C$99:$C$118)-1))))*(INDEX(Tables!$D$99:$D$118,MAX(1,MIN(IFERROR(MATCH(AF70,Tables!$C$99:$C$118,1),1),ROWS(Tables!$C$99:$C$118)-1))+1)-INDEX(Tables!$D$99:$D$118,MAX(1,MIN(IFERROR(MATCH(AF70,Tables!$C$99:$C$118,1),1),ROWS(Tables!$C$99:$C$118)-1))))/(INDEX(Tables!$C$99:$C$118,MAX(1,MIN(IFERROR(MATCH(AF70,Tables!$C$99:$C$118,1),1),ROWS(Tables!$C$99:$C$118)-1))+1)-INDEX(Tables!$C$99:$C$118,MAX(1,MIN(IFERROR(MATCH(AF70,Tables!$C$99:$C$118,1),1),ROWS(Tables!$C$99:$C$118)-1))))),(INDEX(Tables!$F$99:$F$118,MAX(1,MIN(IFERROR(MATCH(AF70,Tables!$E$99:$E$118,1),1),ROWS(Tables!$E$99:$E$118)-1)))+(AF70-INDEX(Tables!$E$99:$E$118,MAX(1,MIN(IFERROR(MATCH(AF70,Tables!$E$99:$E$118,1),1),ROWS(Tables!$E$99:$E$118)-1))))*(INDEX(Tables!$F$99:$F$118,MAX(1,MIN(IFERROR(MATCH(AF70,Tables!$E$99:$E$118,1),1),ROWS(Tables!$E$99:$E$118)-1))+1)-INDEX(Tables!$F$99:$F$118,MAX(1,MIN(IFERROR(MATCH(AF70,Tables!$E$99:$E$118,1),1),ROWS(Tables!$E$99:$E$118)-1))))/(INDEX(Tables!$E$99:$E$118,MAX(1,MIN(IFERROR(MATCH(AF70,Tables!$E$99:$E$118,1),1),ROWS(Tables!$E$99:$E$118)-1))+1)-INDEX(Tables!$E$99:$E$118,MAX(1,MIN(IFERROR(MATCH(AF70,Tables!$E$99:$E$118,1),1),ROWS(Tables!$E$99:$E$118)-1)))))))</f>
        <v>20.667621129326047</v>
      </c>
      <c r="AQ70" s="181">
        <f>IF(P70&lt;6,(INDEX(Tables!$B$123:$B$138,MAX(1,MIN(IFERROR(MATCH(U70,Tables!$A$123:$A$138,1),1),ROWS(Tables!$A$123:$A$138)-1)))+(U70-INDEX(Tables!$A$123:$A$138,MAX(1,MIN(IFERROR(MATCH(U70,Tables!$A$123:$A$138,1),1),ROWS(Tables!$A$123:$A$138)-1))))*(INDEX(Tables!$B$123:$B$138,MAX(1,MIN(IFERROR(MATCH(U70,Tables!$A$123:$A$138,1),1),ROWS(Tables!$A$123:$A$138)-1))+1)-INDEX(Tables!$B$123:$B$138,MAX(1,MIN(IFERROR(MATCH(U70,Tables!$A$123:$A$138,1),1),ROWS(Tables!$A$123:$A$138)-1))))/(INDEX(Tables!$A$123:$A$138,MAX(1,MIN(IFERROR(MATCH(U70,Tables!$A$123:$A$138,1),1),ROWS(Tables!$A$123:$A$138)-1))+1)-INDEX(Tables!$A$123:$A$138,MAX(1,MIN(IFERROR(MATCH(U70,Tables!$A$123:$A$138,1),1),ROWS(Tables!$A$123:$A$138)-1))))),IF(P70&lt;8,(INDEX(Tables!$D$123:$D$138,MAX(1,MIN(IFERROR(MATCH(U70,Tables!$C$123:$C$138,1),1),ROWS(Tables!$C$123:$C$138)-1)))+(U70-INDEX(Tables!$C$123:$C$138,MAX(1,MIN(IFERROR(MATCH(U70,Tables!$C$123:$C$138,1),1),ROWS(Tables!$C$123:$C$138)-1))))*(INDEX(Tables!$D$123:$D$138,MAX(1,MIN(IFERROR(MATCH(U70,Tables!$C$123:$C$138,1),1),ROWS(Tables!$C$123:$C$138)-1))+1)-INDEX(Tables!$D$123:$D$138,MAX(1,MIN(IFERROR(MATCH(U70,Tables!$C$123:$C$138,1),1),ROWS(Tables!$C$123:$C$138)-1))))/(INDEX(Tables!$C$123:$C$138,MAX(1,MIN(IFERROR(MATCH(U70,Tables!$C$123:$C$138,1),1),ROWS(Tables!$C$123:$C$138)-1))+1)-INDEX(Tables!$C$123:$C$138,MAX(1,MIN(IFERROR(MATCH(U70,Tables!$C$123:$C$138,1),1),ROWS(Tables!$C$123:$C$138)-1))))),IF(P70&lt;10,(INDEX(Tables!$F$123:$F$138,MAX(1,MIN(IFERROR(MATCH(U70,Tables!$E$123:$E$138,1),1),ROWS(Tables!$E$123:$E$138)-1)))+(U70-INDEX(Tables!$E$123:$E$138,MAX(1,MIN(IFERROR(MATCH(U70,Tables!$E$123:$E$138,1),1),ROWS(Tables!$E$123:$E$138)-1))))*(INDEX(Tables!$F$123:$F$138,MAX(1,MIN(IFERROR(MATCH(U70,Tables!$E$123:$E$138,1),1),ROWS(Tables!$E$123:$E$138)-1))+1)-INDEX(Tables!$F$123:$F$138,MAX(1,MIN(IFERROR(MATCH(U70,Tables!$E$123:$E$138,1),1),ROWS(Tables!$E$123:$E$138)-1))))/(INDEX(Tables!$E$123:$E$138,MAX(1,MIN(IFERROR(MATCH(U70,Tables!$E$123:$E$138,1),1),ROWS(Tables!$E$123:$E$138)-1))+1)-INDEX(Tables!$E$123:$E$138,MAX(1,MIN(IFERROR(MATCH(U70,Tables!$E$123:$E$138,1),1),ROWS(Tables!$E$123:$E$138)-1))))),(INDEX(Tables!$H$123:$H$138,MAX(1,MIN(IFERROR(MATCH(U70,Tables!$G$123:$G$138,1),1),ROWS(Tables!$G$123:$G$138)-1)))+(U70-INDEX(Tables!$G$123:$G$138,MAX(1,MIN(IFERROR(MATCH(U70,Tables!$G$123:$G$138,1),1),ROWS(Tables!$G$123:$G$138)-1))))*(INDEX(Tables!$H$123:$H$138,MAX(1,MIN(IFERROR(MATCH(U70,Tables!$G$123:$G$138,1),1),ROWS(Tables!$G$123:$G$138)-1))+1)-INDEX(Tables!$H$123:$H$138,MAX(1,MIN(IFERROR(MATCH(U70,Tables!$G$123:$G$138,1),1),ROWS(Tables!$G$123:$G$138)-1))))/(INDEX(Tables!$G$123:$G$138,MAX(1,MIN(IFERROR(MATCH(U70,Tables!$G$123:$G$138,1),1),ROWS(Tables!$G$123:$G$138)-1))+1)-INDEX(Tables!$G$123:$G$138,MAX(1,MIN(IFERROR(MATCH(U70,Tables!$G$123:$G$138,1),1),ROWS(Tables!$G$123:$G$138)-1))))))))</f>
        <v>0.50060000000000004</v>
      </c>
      <c r="AR70" s="181">
        <f>IF(OR(P70&gt;=4,U70&gt;12),VLOOKUP(R70&amp;" "&amp;S70,Tables!$D$143:$F$148,2,FALSE),VLOOKUP(R70&amp;" "&amp;S70,Tables!$A$143:$C$148,2,FALSE))</f>
        <v>1</v>
      </c>
      <c r="AS70" s="181">
        <f>IF(OR(P70&gt;=4,U70&gt;12),VLOOKUP(R70&amp;" "&amp;S70,Tables!$D$143:$F$148,3,FALSE),VLOOKUP(R70&amp;" "&amp;S70,Tables!$A$143:$C$148,3,FALSE))</f>
        <v>0.65</v>
      </c>
      <c r="AT70" s="181">
        <f t="shared" si="72"/>
        <v>690.614850638593</v>
      </c>
      <c r="AU70" s="181">
        <f>IF(AD70=5000,(INDEX(Tables!$B$244:$B$263,MAX(1,MIN(IFERROR(MATCH(AF70,Tables!$A$244:$A$263,1),1),ROWS(Tables!$A$244:$A$263)-1)))+(AF70-INDEX(Tables!$A$244:$A$263,MAX(1,MIN(IFERROR(MATCH(AF70,Tables!$A$244:$A$263,1),1),ROWS(Tables!$A$244:$A$263)-1))))*(INDEX(Tables!$B$244:$B$263,MAX(1,MIN(IFERROR(MATCH(AF70,Tables!$A$244:$A$263,1),1),ROWS(Tables!$A$244:$A$263)-1))+1)-INDEX(Tables!$B$244:$B$263,MAX(1,MIN(IFERROR(MATCH(AF70,Tables!$A$244:$A$263,1),1),ROWS(Tables!$A$244:$A$263)-1))))/(INDEX(Tables!$A$244:$A$263,MAX(1,MIN(IFERROR(MATCH(AF70,Tables!$A$244:$A$263,1),1),ROWS(Tables!$A$244:$A$263)-1))+1)-INDEX(Tables!$A$244:$A$263,MAX(1,MIN(IFERROR(MATCH(AF70,Tables!$A$244:$A$263,1),1),ROWS(Tables!$A$244:$A$263)-1))))),IF(AD70=10000,(INDEX(Tables!$D$244:$D$263,MAX(1,MIN(IFERROR(MATCH(AF70,Tables!$C$244:$C$263,1),1),ROWS(Tables!$C$244:$C$263)-1)))+(AF70-INDEX(Tables!$C$244:$C$263,MAX(1,MIN(IFERROR(MATCH(AF70,Tables!$C$244:$C$263,1),1),ROWS(Tables!$C$244:$C$263)-1))))*(INDEX(Tables!$D$244:$D$263,MAX(1,MIN(IFERROR(MATCH(AF70,Tables!$C$244:$C$263,1),1),ROWS(Tables!$C$244:$C$263)-1))+1)-INDEX(Tables!$D$244:$D$263,MAX(1,MIN(IFERROR(MATCH(AF70,Tables!$C$244:$C$263,1),1),ROWS(Tables!$C$244:$C$263)-1))))/(INDEX(Tables!$C$244:$C$263,MAX(1,MIN(IFERROR(MATCH(AF70,Tables!$C$244:$C$263,1),1),ROWS(Tables!$C$244:$C$263)-1))+1)-INDEX(Tables!$C$244:$C$263,MAX(1,MIN(IFERROR(MATCH(AF70,Tables!$C$244:$C$263,1),1),ROWS(Tables!$C$244:$C$263)-1))))),(INDEX(Tables!$F$244:$F$263,MAX(1,MIN(IFERROR(MATCH(AF70,Tables!$E$244:$E$263,1),1),ROWS(Tables!$E$244:$E$263)-1)))+(AF70-INDEX(Tables!$E$244:$E$263,MAX(1,MIN(IFERROR(MATCH(AF70,Tables!$E$244:$E$263,1),1),ROWS(Tables!$E$244:$E$263)-1))))*(INDEX(Tables!$F$244:$F$263,MAX(1,MIN(IFERROR(MATCH(AF70,Tables!$E$244:$E$263,1),1),ROWS(Tables!$E$244:$E$263)-1))+1)-INDEX(Tables!$F$244:$F$263,MAX(1,MIN(IFERROR(MATCH(AF70,Tables!$E$244:$E$263,1),1),ROWS(Tables!$E$244:$E$263)-1))))/(INDEX(Tables!$E$244:$E$263,MAX(1,MIN(IFERROR(MATCH(AF70,Tables!$E$244:$E$263,1),1),ROWS(Tables!$E$244:$E$263)-1))+1)-INDEX(Tables!$E$244:$E$263,MAX(1,MIN(IFERROR(MATCH(AF70,Tables!$E$244:$E$263,1),1),ROWS(Tables!$E$244:$E$263)-1)))))))</f>
        <v>14.915802469135803</v>
      </c>
      <c r="AV70" s="181">
        <f>IF(P70&lt;6,(INDEX(Tables!$B$260:$B$274,MAX(1,MIN(IFERROR(MATCH(U70,Tables!$A$260:$A$274,1),1),ROWS(Tables!$A$260:$A$274)-1)))+(U70-INDEX(Tables!$A$260:$A$274,MAX(1,MIN(IFERROR(MATCH(U70,Tables!$A$260:$A$274,1),1),ROWS(Tables!$A$260:$A$274)-1))))*(INDEX(Tables!$B$260:$B$274,MAX(1,MIN(IFERROR(MATCH(U70,Tables!$A$260:$A$274,1),1),ROWS(Tables!$A$260:$A$274)-1))+1)-INDEX(Tables!$B$260:$B$274,MAX(1,MIN(IFERROR(MATCH(U70,Tables!$A$260:$A$274,1),1),ROWS(Tables!$A$260:$A$274)-1))))/(INDEX(Tables!$A$260:$A$274,MAX(1,MIN(IFERROR(MATCH(U70,Tables!$A$260:$A$274,1),1),ROWS(Tables!$A$260:$A$274)-1))+1)-INDEX(Tables!$A$260:$A$274,MAX(1,MIN(IFERROR(MATCH(U70,Tables!$A$260:$A$274,1),1),ROWS(Tables!$A$260:$A$274)-1))))),IF(P70&lt;8,(INDEX(Tables!$D$260:$D$274,MAX(1,MIN(IFERROR(MATCH(U70,Tables!$C$260:$C$274,1),1),ROWS(Tables!$C$260:$C$274)-1)))+(U70-INDEX(Tables!$C$260:$C$274,MAX(1,MIN(IFERROR(MATCH(U70,Tables!$C$260:$C$274,1),1),ROWS(Tables!$C$260:$C$274)-1))))*(INDEX(Tables!$D$260:$D$274,MAX(1,MIN(IFERROR(MATCH(U70,Tables!$C$260:$C$274,1),1),ROWS(Tables!$C$260:$C$274)-1))+1)-INDEX(Tables!$D$260:$D$274,MAX(1,MIN(IFERROR(MATCH(U70,Tables!$C$260:$C$274,1),1),ROWS(Tables!$C$260:$C$274)-1))))/(INDEX(Tables!$C$260:$C$274,MAX(1,MIN(IFERROR(MATCH(U70,Tables!$C$260:$C$274,1),1),ROWS(Tables!$C$260:$C$274)-1))+1)-INDEX(Tables!$C$260:$C$274,MAX(1,MIN(IFERROR(MATCH(U70,Tables!$C$260:$C$274,1),1),ROWS(Tables!$C$260:$C$274)-1))))),IF(P70&lt;10,(INDEX(Tables!$F$260:$F$274,MAX(1,MIN(IFERROR(MATCH(U70,Tables!$E$260:$E$274,1),1),ROWS(Tables!$E$260:$E$274)-1)))+(U70-INDEX(Tables!$E$260:$E$274,MAX(1,MIN(IFERROR(MATCH(U70,Tables!$E$260:$E$274,1),1),ROWS(Tables!$E$260:$E$274)-1))))*(INDEX(Tables!$F$260:$F$274,MAX(1,MIN(IFERROR(MATCH(U70,Tables!$E$260:$E$274,1),1),ROWS(Tables!$E$260:$E$274)-1))+1)-INDEX(Tables!$F$260:$F$274,MAX(1,MIN(IFERROR(MATCH(U70,Tables!$E$260:$E$274,1),1),ROWS(Tables!$E$260:$E$274)-1))))/(INDEX(Tables!$E$260:$E$274,MAX(1,MIN(IFERROR(MATCH(U70,Tables!$E$260:$E$274,1),1),ROWS(Tables!$E$260:$E$274)-1))+1)-INDEX(Tables!$E$260:$E$274,MAX(1,MIN(IFERROR(MATCH(U70,Tables!$E$260:$E$274,1),1),ROWS(Tables!$E$260:$E$274)-1))))),(INDEX(Tables!$H$260:$H$274,MAX(1,MIN(IFERROR(MATCH(U70,Tables!$G$260:$G$274,1),1),ROWS(Tables!$G$260:$G$274)-1)))+(U70-INDEX(Tables!$G$260:$G$274,MAX(1,MIN(IFERROR(MATCH(U70,Tables!$G$260:$G$274,1),1),ROWS(Tables!$G$260:$G$274)-1))))*(INDEX(Tables!$H$260:$H$274,MAX(1,MIN(IFERROR(MATCH(U70,Tables!$G$260:$G$274,1),1),ROWS(Tables!$G$260:$G$274)-1))+1)-INDEX(Tables!$H$260:$H$274,MAX(1,MIN(IFERROR(MATCH(U70,Tables!$G$260:$G$274,1),1),ROWS(Tables!$G$260:$G$274)-1))))/(INDEX(Tables!$G$260:$G$274,MAX(1,MIN(IFERROR(MATCH(U70,Tables!$G$260:$G$274,1),1),ROWS(Tables!$G$260:$G$274)-1))+1)-INDEX(Tables!$G$260:$G$274,MAX(1,MIN(IFERROR(MATCH(U70,Tables!$G$260:$G$274,1),1),ROWS(Tables!$G$260:$G$274)-1))))))))</f>
        <v>0.51828571428571424</v>
      </c>
      <c r="AW70" s="181">
        <f t="shared" si="73"/>
        <v>516.02463790990953</v>
      </c>
      <c r="AX70" s="181">
        <f t="shared" si="74"/>
        <v>106500</v>
      </c>
      <c r="AY70" s="181">
        <f t="shared" si="75"/>
        <v>118417.63032727505</v>
      </c>
      <c r="AZ70" s="181">
        <f t="shared" si="76"/>
        <v>35834.129280900845</v>
      </c>
      <c r="BA70" s="181">
        <f t="shared" si="77"/>
        <v>-3000</v>
      </c>
      <c r="BB70" s="181">
        <f t="shared" si="78"/>
        <v>107401.96738508339</v>
      </c>
      <c r="BC70" s="181">
        <f t="shared" si="79"/>
        <v>46800</v>
      </c>
      <c r="BD70" s="181">
        <f>VLOOKUP(V70&amp;" "&amp;J70,Tables!$A$152:$E$239,4,FALSE)</f>
        <v>12000</v>
      </c>
      <c r="BE70" s="181">
        <f>VLOOKUP(V70&amp;" "&amp;J70,Tables!$A$152:$E$239,5,FALSE)</f>
        <v>23000</v>
      </c>
      <c r="BF70" s="181">
        <f t="shared" si="80"/>
        <v>8640</v>
      </c>
      <c r="BG70" s="181">
        <f t="shared" si="81"/>
        <v>16560</v>
      </c>
      <c r="BH70" s="181">
        <f t="shared" si="82"/>
        <v>108000</v>
      </c>
      <c r="BI70" s="181">
        <f t="shared" si="83"/>
        <v>46800</v>
      </c>
      <c r="BJ70" s="181">
        <f t="shared" si="84"/>
        <v>107401.96738508339</v>
      </c>
      <c r="BK70" s="181">
        <f t="shared" si="85"/>
        <v>46800</v>
      </c>
      <c r="BL70" s="181">
        <f t="shared" si="86"/>
        <v>516.02463790990953</v>
      </c>
      <c r="BM70" s="181">
        <f t="shared" si="87"/>
        <v>8640</v>
      </c>
      <c r="BN70" s="181">
        <f t="shared" si="88"/>
        <v>690.614850638593</v>
      </c>
      <c r="BO70" s="181">
        <f t="shared" si="89"/>
        <v>16560</v>
      </c>
      <c r="BP70" t="str">
        <f t="shared" si="90"/>
        <v>Fail</v>
      </c>
      <c r="BQ70" t="str">
        <f t="shared" si="91"/>
        <v>Fail</v>
      </c>
      <c r="BR70" t="str">
        <f t="shared" si="92"/>
        <v>Pass</v>
      </c>
      <c r="BS70" t="str">
        <f t="shared" si="93"/>
        <v>Pass</v>
      </c>
      <c r="BT70" t="str">
        <f t="shared" si="94"/>
        <v>Fail</v>
      </c>
      <c r="BU70" t="str">
        <f t="shared" si="95"/>
        <v>Barlow Stress</v>
      </c>
    </row>
    <row r="71" spans="1:73">
      <c r="A71" t="s">
        <v>663</v>
      </c>
      <c r="B71" s="181">
        <v>69</v>
      </c>
      <c r="C71" t="s">
        <v>594</v>
      </c>
      <c r="D71" s="181">
        <v>48</v>
      </c>
      <c r="E71" s="181">
        <v>0.5</v>
      </c>
      <c r="F71" t="s">
        <v>117</v>
      </c>
      <c r="G71" t="s">
        <v>119</v>
      </c>
      <c r="H71" t="s">
        <v>122</v>
      </c>
      <c r="I71" s="181">
        <v>1</v>
      </c>
      <c r="J71" t="s">
        <v>126</v>
      </c>
      <c r="K71" t="s">
        <v>129</v>
      </c>
      <c r="L71" s="181">
        <v>70</v>
      </c>
      <c r="M71" s="181">
        <v>6000</v>
      </c>
      <c r="N71" t="s">
        <v>389</v>
      </c>
      <c r="O71" s="181">
        <v>120</v>
      </c>
      <c r="P71" s="181">
        <v>30</v>
      </c>
      <c r="Q71" s="181">
        <v>50</v>
      </c>
      <c r="R71" t="s">
        <v>154</v>
      </c>
      <c r="S71" t="s">
        <v>420</v>
      </c>
      <c r="T71" s="181">
        <v>70</v>
      </c>
      <c r="U71" s="181">
        <f>HLOOKUP(D71,'Highway Loading'!$C$155:$AD$156,2,FALSE)</f>
        <v>48</v>
      </c>
      <c r="V71" s="181">
        <f>IF(ISBLANK(G71),"",INDEX('Highway Loading'!$C$216:$AG$216,1,MATCH(G71,'Highway Loading'!$C$215:$AG$215,0)))</f>
        <v>65000</v>
      </c>
      <c r="W71" s="181">
        <f>INDEX('Highway Loading'!$I$245:$L$253,MATCH(H71,'Highway Loading'!$H$245:$H$253,0),MATCH(I71,'Highway Loading'!$I$244:$L$244,0))</f>
        <v>0.72</v>
      </c>
      <c r="X71" s="181">
        <f t="shared" si="64"/>
        <v>1</v>
      </c>
      <c r="Y71" s="181">
        <f>VLOOKUP(K71,'Highway Loading'!$B$283:$E$292,2,FALSE)</f>
        <v>29000000</v>
      </c>
      <c r="Z71" s="181">
        <f>VLOOKUP(K71,'Highway Loading'!$B$283:$E$292,3,FALSE)</f>
        <v>0.3</v>
      </c>
      <c r="AA71" s="181">
        <f>VLOOKUP(K71,'Highway Loading'!$B$283:$E$292,4,FALSE)</f>
        <v>6.4999999999999996E-6</v>
      </c>
      <c r="AB71" s="181">
        <f t="shared" si="65"/>
        <v>1</v>
      </c>
      <c r="AC71" s="181">
        <f>VLOOKUP(N71,'Highway Loading'!$B$256:$D$261,2,FALSE)</f>
        <v>500</v>
      </c>
      <c r="AD71" s="181">
        <f>VLOOKUP(N71,'Highway Loading'!$B$256:$D$261,3,FALSE)</f>
        <v>5000</v>
      </c>
      <c r="AE71" s="181">
        <f>VLOOKUP(S71,'Highway Loading'!$B$340:$C$341,2,FALSE)</f>
        <v>12000</v>
      </c>
      <c r="AF71" s="181">
        <f t="shared" si="66"/>
        <v>1.0416666666666666E-2</v>
      </c>
      <c r="AG71" s="181">
        <f t="shared" si="67"/>
        <v>7.2</v>
      </c>
      <c r="AH71" s="181">
        <f t="shared" si="68"/>
        <v>1.0416666666666667</v>
      </c>
      <c r="AI71" s="181">
        <f t="shared" si="69"/>
        <v>288000</v>
      </c>
      <c r="AJ71" s="181">
        <f t="shared" si="70"/>
        <v>46800</v>
      </c>
      <c r="AK71" s="181">
        <f>IF(AC71=200,(INDEX(Tables!$B$17:$B$38,MAX(1,MIN(IFERROR(MATCH(AF71,Tables!$A$17:$A$38,1),1),ROWS(Tables!$A$17:$A$38)-1)))+(AF71-INDEX(Tables!$A$17:$A$38,MAX(1,MIN(IFERROR(MATCH(AF71,Tables!$A$17:$A$38,1),1),ROWS(Tables!$A$17:$A$38)-1))))*(INDEX(Tables!$B$17:$B$38,MAX(1,MIN(IFERROR(MATCH(AF71,Tables!$A$17:$A$38,1),1),ROWS(Tables!$A$17:$A$38)-1))+1)-INDEX(Tables!$B$17:$B$38,MAX(1,MIN(IFERROR(MATCH(AF71,Tables!$A$17:$A$38,1),1),ROWS(Tables!$A$17:$A$38)-1))))/(INDEX(Tables!$A$17:$A$38,MAX(1,MIN(IFERROR(MATCH(AF71,Tables!$A$17:$A$38,1),1),ROWS(Tables!$A$17:$A$38)-1))+1)-INDEX(Tables!$A$17:$A$38,MAX(1,MIN(IFERROR(MATCH(AF71,Tables!$A$17:$A$38,1),1),ROWS(Tables!$A$17:$A$38)-1))))),IF(AC71=500,(INDEX(Tables!$D$17:$D$38,MAX(1,MIN(IFERROR(MATCH(AF71,Tables!$C$17:$C$38,1),1),ROWS(Tables!$C$17:$C$38)-1)))+(AF71-INDEX(Tables!$C$17:$C$38,MAX(1,MIN(IFERROR(MATCH(AF71,Tables!$C$17:$C$38,1),1),ROWS(Tables!$C$17:$C$38)-1))))*(INDEX(Tables!$D$17:$D$38,MAX(1,MIN(IFERROR(MATCH(AF71,Tables!$C$17:$C$38,1),1),ROWS(Tables!$C$17:$C$38)-1))+1)-INDEX(Tables!$D$17:$D$38,MAX(1,MIN(IFERROR(MATCH(AF71,Tables!$C$17:$C$38,1),1),ROWS(Tables!$C$17:$C$38)-1))))/(INDEX(Tables!$C$17:$C$38,MAX(1,MIN(IFERROR(MATCH(AF71,Tables!$C$17:$C$38,1),1),ROWS(Tables!$C$17:$C$38)-1))+1)-INDEX(Tables!$C$17:$C$38,MAX(1,MIN(IFERROR(MATCH(AF71,Tables!$C$17:$C$38,1),1),ROWS(Tables!$C$17:$C$38)-1))))),IF(AC71=1000,(INDEX(Tables!$F$17:$F$38,MAX(1,MIN(IFERROR(MATCH(AF71,Tables!$E$17:$E$38,1),1),ROWS(Tables!$E$17:$E$38)-1)))+(AF71-INDEX(Tables!$E$17:$E$38,MAX(1,MIN(IFERROR(MATCH(AF71,Tables!$E$17:$E$38,1),1),ROWS(Tables!$E$17:$E$38)-1))))*(INDEX(Tables!$F$17:$F$38,MAX(1,MIN(IFERROR(MATCH(AF71,Tables!$E$17:$E$38,1),1),ROWS(Tables!$E$17:$E$38)-1))+1)-INDEX(Tables!$F$17:$F$38,MAX(1,MIN(IFERROR(MATCH(AF71,Tables!$E$17:$E$38,1),1),ROWS(Tables!$E$17:$E$38)-1))))/(INDEX(Tables!$E$17:$E$38,MAX(1,MIN(IFERROR(MATCH(AF71,Tables!$E$17:$E$38,1),1),ROWS(Tables!$E$17:$E$38)-1))+1)-INDEX(Tables!$E$17:$E$38,MAX(1,MIN(IFERROR(MATCH(AF71,Tables!$E$17:$E$38,1),1),ROWS(Tables!$E$17:$E$38)-1))))),(INDEX(Tables!$H$17:$H$38,MAX(1,MIN(IFERROR(MATCH(AF71,Tables!$G$17:$G$38,1),1),ROWS(Tables!$G$17:$G$38)-1)))+(AF71-INDEX(Tables!$G$17:$G$38,MAX(1,MIN(IFERROR(MATCH(AF71,Tables!$G$17:$G$38,1),1),ROWS(Tables!$G$17:$G$38)-1))))*(INDEX(Tables!$H$17:$H$38,MAX(1,MIN(IFERROR(MATCH(AF71,Tables!$G$17:$G$38,1),1),ROWS(Tables!$G$17:$G$38)-1))+1)-INDEX(Tables!$H$17:$H$38,MAX(1,MIN(IFERROR(MATCH(AF71,Tables!$G$17:$G$38,1),1),ROWS(Tables!$G$17:$G$38)-1))))/(INDEX(Tables!$G$17:$G$38,MAX(1,MIN(IFERROR(MATCH(AF71,Tables!$G$17:$G$38,1),1),ROWS(Tables!$G$17:$G$38)-1))+1)-INDEX(Tables!$G$17:$G$38,MAX(1,MIN(IFERROR(MATCH(AF71,Tables!$G$17:$G$38,1),1),ROWS(Tables!$G$17:$G$38)-1))))))))</f>
        <v>6129</v>
      </c>
      <c r="AL71" s="181">
        <f>IF(AC71&lt;1000,(INDEX(Tables!$B$43:$B$76,MAX(1,MIN(IFERROR(MATCH(AG71,Tables!$A$43:$A$76,1),1),ROWS(Tables!$A$43:$A$76)-1)))+(AG71-INDEX(Tables!$A$43:$A$76,MAX(1,MIN(IFERROR(MATCH(AG71,Tables!$A$43:$A$76,1),1),ROWS(Tables!$A$43:$A$76)-1))))*(INDEX(Tables!$B$43:$B$76,MAX(1,MIN(IFERROR(MATCH(AG71,Tables!$A$43:$A$76,1),1),ROWS(Tables!$A$43:$A$76)-1))+1)-INDEX(Tables!$B$43:$B$76,MAX(1,MIN(IFERROR(MATCH(AG71,Tables!$A$43:$A$76,1),1),ROWS(Tables!$A$43:$A$76)-1))))/(INDEX(Tables!$A$43:$A$76,MAX(1,MIN(IFERROR(MATCH(AG71,Tables!$A$43:$A$76,1),1),ROWS(Tables!$A$43:$A$76)-1))+1)-INDEX(Tables!$A$43:$A$76,MAX(1,MIN(IFERROR(MATCH(AG71,Tables!$A$43:$A$76,1),1),ROWS(Tables!$A$43:$A$76)-1))))),(INDEX(Tables!$D$43:$D$76,MAX(1,MIN(IFERROR(MATCH(AG71,Tables!$C$43:$C$76,1),1),ROWS(Tables!$C$43:$C$76)-1)))+(AG71-INDEX(Tables!$C$43:$C$76,MAX(1,MIN(IFERROR(MATCH(AG71,Tables!$C$43:$C$76,1),1),ROWS(Tables!$C$43:$C$76)-1))))*(INDEX(Tables!$D$43:$D$76,MAX(1,MIN(IFERROR(MATCH(AG71,Tables!$C$43:$C$76,1),1),ROWS(Tables!$C$43:$C$76)-1))+1)-INDEX(Tables!$D$43:$D$76,MAX(1,MIN(IFERROR(MATCH(AG71,Tables!$C$43:$C$76,1),1),ROWS(Tables!$C$43:$C$76)-1))))/(INDEX(Tables!$C$43:$C$76,MAX(1,MIN(IFERROR(MATCH(AG71,Tables!$C$43:$C$76,1),1),ROWS(Tables!$C$43:$C$76)-1))+1)-INDEX(Tables!$C$43:$C$76,MAX(1,MIN(IFERROR(MATCH(AG71,Tables!$C$43:$C$76,1),1),ROWS(Tables!$C$43:$C$76)-1))))))</f>
        <v>1.224</v>
      </c>
      <c r="AM71" s="181">
        <f>(INDEX(Tables!$B$80:$B$87,MAX(1,MIN(IFERROR(MATCH(AH71,Tables!$A$80:$A$87,1),1),ROWS(Tables!$A$80:$A$87)-1)))+(AH71-INDEX(Tables!$A$80:$A$87,MAX(1,MIN(IFERROR(MATCH(AH71,Tables!$A$80:$A$87,1),1),ROWS(Tables!$A$80:$A$87)-1))))*(INDEX(Tables!$B$80:$B$87,MAX(1,MIN(IFERROR(MATCH(AH71,Tables!$A$80:$A$87,1),1),ROWS(Tables!$A$80:$A$87)-1))+1)-INDEX(Tables!$B$80:$B$87,MAX(1,MIN(IFERROR(MATCH(AH71,Tables!$A$80:$A$87,1),1),ROWS(Tables!$A$80:$A$87)-1))))/(INDEX(Tables!$A$80:$A$87,MAX(1,MIN(IFERROR(MATCH(AH71,Tables!$A$80:$A$87,1),1),ROWS(Tables!$A$80:$A$87)-1))+1)-INDEX(Tables!$A$80:$A$87,MAX(1,MIN(IFERROR(MATCH(AH71,Tables!$A$80:$A$87,1),1),ROWS(Tables!$A$80:$A$87)-1)))))</f>
        <v>0.89595000000000002</v>
      </c>
      <c r="AN71" s="181">
        <f t="shared" si="71"/>
        <v>22404.412404000002</v>
      </c>
      <c r="AO71" s="181">
        <f>(INDEX(Tables!$B$91:$B$94,MAX(1,MIN(IFERROR(MATCH(P71,Tables!$A$91:$A$94,1),1),ROWS(Tables!$A$91:$A$94)-1)))+(P71-INDEX(Tables!$A$91:$A$94,MAX(1,MIN(IFERROR(MATCH(P71,Tables!$A$91:$A$94,1),1),ROWS(Tables!$A$91:$A$94)-1))))*(INDEX(Tables!$B$91:$B$94,MAX(1,MIN(IFERROR(MATCH(P71,Tables!$A$91:$A$94,1),1),ROWS(Tables!$A$91:$A$94)-1))+1)-INDEX(Tables!$B$91:$B$94,MAX(1,MIN(IFERROR(MATCH(P71,Tables!$A$91:$A$94,1),1),ROWS(Tables!$A$91:$A$94)-1))))/(INDEX(Tables!$A$91:$A$94,MAX(1,MIN(IFERROR(MATCH(P71,Tables!$A$91:$A$94,1),1),ROWS(Tables!$A$91:$A$94)-1))+1)-INDEX(Tables!$A$91:$A$94,MAX(1,MIN(IFERROR(MATCH(P71,Tables!$A$91:$A$94,1),1),ROWS(Tables!$A$91:$A$94)-1)))))</f>
        <v>1</v>
      </c>
      <c r="AP71" s="181">
        <f>IF(AD71=5000,(INDEX(Tables!$B$99:$B$118,MAX(1,MIN(IFERROR(MATCH(AF71,Tables!$A$99:$A$118,1),1),ROWS(Tables!$A$99:$A$118)-1)))+(AF71-INDEX(Tables!$A$99:$A$118,MAX(1,MIN(IFERROR(MATCH(AF71,Tables!$A$99:$A$118,1),1),ROWS(Tables!$A$99:$A$118)-1))))*(INDEX(Tables!$B$99:$B$118,MAX(1,MIN(IFERROR(MATCH(AF71,Tables!$A$99:$A$118,1),1),ROWS(Tables!$A$99:$A$118)-1))+1)-INDEX(Tables!$B$99:$B$118,MAX(1,MIN(IFERROR(MATCH(AF71,Tables!$A$99:$A$118,1),1),ROWS(Tables!$A$99:$A$118)-1))))/(INDEX(Tables!$A$99:$A$118,MAX(1,MIN(IFERROR(MATCH(AF71,Tables!$A$99:$A$118,1),1),ROWS(Tables!$A$99:$A$118)-1))+1)-INDEX(Tables!$A$99:$A$118,MAX(1,MIN(IFERROR(MATCH(AF71,Tables!$A$99:$A$118,1),1),ROWS(Tables!$A$99:$A$118)-1))))),IF(AD71=10000,(INDEX(Tables!$D$99:$D$118,MAX(1,MIN(IFERROR(MATCH(AF71,Tables!$C$99:$C$118,1),1),ROWS(Tables!$C$99:$C$118)-1)))+(AF71-INDEX(Tables!$C$99:$C$118,MAX(1,MIN(IFERROR(MATCH(AF71,Tables!$C$99:$C$118,1),1),ROWS(Tables!$C$99:$C$118)-1))))*(INDEX(Tables!$D$99:$D$118,MAX(1,MIN(IFERROR(MATCH(AF71,Tables!$C$99:$C$118,1),1),ROWS(Tables!$C$99:$C$118)-1))+1)-INDEX(Tables!$D$99:$D$118,MAX(1,MIN(IFERROR(MATCH(AF71,Tables!$C$99:$C$118,1),1),ROWS(Tables!$C$99:$C$118)-1))))/(INDEX(Tables!$C$99:$C$118,MAX(1,MIN(IFERROR(MATCH(AF71,Tables!$C$99:$C$118,1),1),ROWS(Tables!$C$99:$C$118)-1))+1)-INDEX(Tables!$C$99:$C$118,MAX(1,MIN(IFERROR(MATCH(AF71,Tables!$C$99:$C$118,1),1),ROWS(Tables!$C$99:$C$118)-1))))),(INDEX(Tables!$F$99:$F$118,MAX(1,MIN(IFERROR(MATCH(AF71,Tables!$E$99:$E$118,1),1),ROWS(Tables!$E$99:$E$118)-1)))+(AF71-INDEX(Tables!$E$99:$E$118,MAX(1,MIN(IFERROR(MATCH(AF71,Tables!$E$99:$E$118,1),1),ROWS(Tables!$E$99:$E$118)-1))))*(INDEX(Tables!$F$99:$F$118,MAX(1,MIN(IFERROR(MATCH(AF71,Tables!$E$99:$E$118,1),1),ROWS(Tables!$E$99:$E$118)-1))+1)-INDEX(Tables!$F$99:$F$118,MAX(1,MIN(IFERROR(MATCH(AF71,Tables!$E$99:$E$118,1),1),ROWS(Tables!$E$99:$E$118)-1))))/(INDEX(Tables!$E$99:$E$118,MAX(1,MIN(IFERROR(MATCH(AF71,Tables!$E$99:$E$118,1),1),ROWS(Tables!$E$99:$E$118)-1))+1)-INDEX(Tables!$E$99:$E$118,MAX(1,MIN(IFERROR(MATCH(AF71,Tables!$E$99:$E$118,1),1),ROWS(Tables!$E$99:$E$118)-1)))))))</f>
        <v>19.818999999999999</v>
      </c>
      <c r="AQ71" s="181">
        <f>IF(P71&lt;6,(INDEX(Tables!$B$123:$B$138,MAX(1,MIN(IFERROR(MATCH(U71,Tables!$A$123:$A$138,1),1),ROWS(Tables!$A$123:$A$138)-1)))+(U71-INDEX(Tables!$A$123:$A$138,MAX(1,MIN(IFERROR(MATCH(U71,Tables!$A$123:$A$138,1),1),ROWS(Tables!$A$123:$A$138)-1))))*(INDEX(Tables!$B$123:$B$138,MAX(1,MIN(IFERROR(MATCH(U71,Tables!$A$123:$A$138,1),1),ROWS(Tables!$A$123:$A$138)-1))+1)-INDEX(Tables!$B$123:$B$138,MAX(1,MIN(IFERROR(MATCH(U71,Tables!$A$123:$A$138,1),1),ROWS(Tables!$A$123:$A$138)-1))))/(INDEX(Tables!$A$123:$A$138,MAX(1,MIN(IFERROR(MATCH(U71,Tables!$A$123:$A$138,1),1),ROWS(Tables!$A$123:$A$138)-1))+1)-INDEX(Tables!$A$123:$A$138,MAX(1,MIN(IFERROR(MATCH(U71,Tables!$A$123:$A$138,1),1),ROWS(Tables!$A$123:$A$138)-1))))),IF(P71&lt;8,(INDEX(Tables!$D$123:$D$138,MAX(1,MIN(IFERROR(MATCH(U71,Tables!$C$123:$C$138,1),1),ROWS(Tables!$C$123:$C$138)-1)))+(U71-INDEX(Tables!$C$123:$C$138,MAX(1,MIN(IFERROR(MATCH(U71,Tables!$C$123:$C$138,1),1),ROWS(Tables!$C$123:$C$138)-1))))*(INDEX(Tables!$D$123:$D$138,MAX(1,MIN(IFERROR(MATCH(U71,Tables!$C$123:$C$138,1),1),ROWS(Tables!$C$123:$C$138)-1))+1)-INDEX(Tables!$D$123:$D$138,MAX(1,MIN(IFERROR(MATCH(U71,Tables!$C$123:$C$138,1),1),ROWS(Tables!$C$123:$C$138)-1))))/(INDEX(Tables!$C$123:$C$138,MAX(1,MIN(IFERROR(MATCH(U71,Tables!$C$123:$C$138,1),1),ROWS(Tables!$C$123:$C$138)-1))+1)-INDEX(Tables!$C$123:$C$138,MAX(1,MIN(IFERROR(MATCH(U71,Tables!$C$123:$C$138,1),1),ROWS(Tables!$C$123:$C$138)-1))))),IF(P71&lt;10,(INDEX(Tables!$F$123:$F$138,MAX(1,MIN(IFERROR(MATCH(U71,Tables!$E$123:$E$138,1),1),ROWS(Tables!$E$123:$E$138)-1)))+(U71-INDEX(Tables!$E$123:$E$138,MAX(1,MIN(IFERROR(MATCH(U71,Tables!$E$123:$E$138,1),1),ROWS(Tables!$E$123:$E$138)-1))))*(INDEX(Tables!$F$123:$F$138,MAX(1,MIN(IFERROR(MATCH(U71,Tables!$E$123:$E$138,1),1),ROWS(Tables!$E$123:$E$138)-1))+1)-INDEX(Tables!$F$123:$F$138,MAX(1,MIN(IFERROR(MATCH(U71,Tables!$E$123:$E$138,1),1),ROWS(Tables!$E$123:$E$138)-1))))/(INDEX(Tables!$E$123:$E$138,MAX(1,MIN(IFERROR(MATCH(U71,Tables!$E$123:$E$138,1),1),ROWS(Tables!$E$123:$E$138)-1))+1)-INDEX(Tables!$E$123:$E$138,MAX(1,MIN(IFERROR(MATCH(U71,Tables!$E$123:$E$138,1),1),ROWS(Tables!$E$123:$E$138)-1))))),(INDEX(Tables!$H$123:$H$138,MAX(1,MIN(IFERROR(MATCH(U71,Tables!$G$123:$G$138,1),1),ROWS(Tables!$G$123:$G$138)-1)))+(U71-INDEX(Tables!$G$123:$G$138,MAX(1,MIN(IFERROR(MATCH(U71,Tables!$G$123:$G$138,1),1),ROWS(Tables!$G$123:$G$138)-1))))*(INDEX(Tables!$H$123:$H$138,MAX(1,MIN(IFERROR(MATCH(U71,Tables!$G$123:$G$138,1),1),ROWS(Tables!$G$123:$G$138)-1))+1)-INDEX(Tables!$H$123:$H$138,MAX(1,MIN(IFERROR(MATCH(U71,Tables!$G$123:$G$138,1),1),ROWS(Tables!$G$123:$G$138)-1))))/(INDEX(Tables!$G$123:$G$138,MAX(1,MIN(IFERROR(MATCH(U71,Tables!$G$123:$G$138,1),1),ROWS(Tables!$G$123:$G$138)-1))+1)-INDEX(Tables!$G$123:$G$138,MAX(1,MIN(IFERROR(MATCH(U71,Tables!$G$123:$G$138,1),1),ROWS(Tables!$G$123:$G$138)-1))))))))</f>
        <v>0.46899999999999997</v>
      </c>
      <c r="AR71" s="181">
        <f>IF(OR(P71&gt;=4,U71&gt;12),VLOOKUP(R71&amp;" "&amp;S71,Tables!$D$143:$F$148,2,FALSE),VLOOKUP(R71&amp;" "&amp;S71,Tables!$A$143:$C$148,2,FALSE))</f>
        <v>1</v>
      </c>
      <c r="AS71" s="181">
        <f>IF(OR(P71&gt;=4,U71&gt;12),VLOOKUP(R71&amp;" "&amp;S71,Tables!$D$143:$F$148,3,FALSE),VLOOKUP(R71&amp;" "&amp;S71,Tables!$A$143:$C$148,3,FALSE))</f>
        <v>0.65</v>
      </c>
      <c r="AT71" s="181">
        <f t="shared" si="72"/>
        <v>503.48517916666657</v>
      </c>
      <c r="AU71" s="181">
        <f>IF(AD71=5000,(INDEX(Tables!$B$244:$B$263,MAX(1,MIN(IFERROR(MATCH(AF71,Tables!$A$244:$A$263,1),1),ROWS(Tables!$A$244:$A$263)-1)))+(AF71-INDEX(Tables!$A$244:$A$263,MAX(1,MIN(IFERROR(MATCH(AF71,Tables!$A$244:$A$263,1),1),ROWS(Tables!$A$244:$A$263)-1))))*(INDEX(Tables!$B$244:$B$263,MAX(1,MIN(IFERROR(MATCH(AF71,Tables!$A$244:$A$263,1),1),ROWS(Tables!$A$244:$A$263)-1))+1)-INDEX(Tables!$B$244:$B$263,MAX(1,MIN(IFERROR(MATCH(AF71,Tables!$A$244:$A$263,1),1),ROWS(Tables!$A$244:$A$263)-1))))/(INDEX(Tables!$A$244:$A$263,MAX(1,MIN(IFERROR(MATCH(AF71,Tables!$A$244:$A$263,1),1),ROWS(Tables!$A$244:$A$263)-1))+1)-INDEX(Tables!$A$244:$A$263,MAX(1,MIN(IFERROR(MATCH(AF71,Tables!$A$244:$A$263,1),1),ROWS(Tables!$A$244:$A$263)-1))))),IF(AD71=10000,(INDEX(Tables!$D$244:$D$263,MAX(1,MIN(IFERROR(MATCH(AF71,Tables!$C$244:$C$263,1),1),ROWS(Tables!$C$244:$C$263)-1)))+(AF71-INDEX(Tables!$C$244:$C$263,MAX(1,MIN(IFERROR(MATCH(AF71,Tables!$C$244:$C$263,1),1),ROWS(Tables!$C$244:$C$263)-1))))*(INDEX(Tables!$D$244:$D$263,MAX(1,MIN(IFERROR(MATCH(AF71,Tables!$C$244:$C$263,1),1),ROWS(Tables!$C$244:$C$263)-1))+1)-INDEX(Tables!$D$244:$D$263,MAX(1,MIN(IFERROR(MATCH(AF71,Tables!$C$244:$C$263,1),1),ROWS(Tables!$C$244:$C$263)-1))))/(INDEX(Tables!$C$244:$C$263,MAX(1,MIN(IFERROR(MATCH(AF71,Tables!$C$244:$C$263,1),1),ROWS(Tables!$C$244:$C$263)-1))+1)-INDEX(Tables!$C$244:$C$263,MAX(1,MIN(IFERROR(MATCH(AF71,Tables!$C$244:$C$263,1),1),ROWS(Tables!$C$244:$C$263)-1))))),(INDEX(Tables!$F$244:$F$263,MAX(1,MIN(IFERROR(MATCH(AF71,Tables!$E$244:$E$263,1),1),ROWS(Tables!$E$244:$E$263)-1)))+(AF71-INDEX(Tables!$E$244:$E$263,MAX(1,MIN(IFERROR(MATCH(AF71,Tables!$E$244:$E$263,1),1),ROWS(Tables!$E$244:$E$263)-1))))*(INDEX(Tables!$F$244:$F$263,MAX(1,MIN(IFERROR(MATCH(AF71,Tables!$E$244:$E$263,1),1),ROWS(Tables!$E$244:$E$263)-1))+1)-INDEX(Tables!$F$244:$F$263,MAX(1,MIN(IFERROR(MATCH(AF71,Tables!$E$244:$E$263,1),1),ROWS(Tables!$E$244:$E$263)-1))))/(INDEX(Tables!$E$244:$E$263,MAX(1,MIN(IFERROR(MATCH(AF71,Tables!$E$244:$E$263,1),1),ROWS(Tables!$E$244:$E$263)-1))+1)-INDEX(Tables!$E$244:$E$263,MAX(1,MIN(IFERROR(MATCH(AF71,Tables!$E$244:$E$263,1),1),ROWS(Tables!$E$244:$E$263)-1)))))))</f>
        <v>14.659000000000001</v>
      </c>
      <c r="AV71" s="181">
        <f>IF(P71&lt;6,(INDEX(Tables!$B$260:$B$274,MAX(1,MIN(IFERROR(MATCH(U71,Tables!$A$260:$A$274,1),1),ROWS(Tables!$A$260:$A$274)-1)))+(U71-INDEX(Tables!$A$260:$A$274,MAX(1,MIN(IFERROR(MATCH(U71,Tables!$A$260:$A$274,1),1),ROWS(Tables!$A$260:$A$274)-1))))*(INDEX(Tables!$B$260:$B$274,MAX(1,MIN(IFERROR(MATCH(U71,Tables!$A$260:$A$274,1),1),ROWS(Tables!$A$260:$A$274)-1))+1)-INDEX(Tables!$B$260:$B$274,MAX(1,MIN(IFERROR(MATCH(U71,Tables!$A$260:$A$274,1),1),ROWS(Tables!$A$260:$A$274)-1))))/(INDEX(Tables!$A$260:$A$274,MAX(1,MIN(IFERROR(MATCH(U71,Tables!$A$260:$A$274,1),1),ROWS(Tables!$A$260:$A$274)-1))+1)-INDEX(Tables!$A$260:$A$274,MAX(1,MIN(IFERROR(MATCH(U71,Tables!$A$260:$A$274,1),1),ROWS(Tables!$A$260:$A$274)-1))))),IF(P71&lt;8,(INDEX(Tables!$D$260:$D$274,MAX(1,MIN(IFERROR(MATCH(U71,Tables!$C$260:$C$274,1),1),ROWS(Tables!$C$260:$C$274)-1)))+(U71-INDEX(Tables!$C$260:$C$274,MAX(1,MIN(IFERROR(MATCH(U71,Tables!$C$260:$C$274,1),1),ROWS(Tables!$C$260:$C$274)-1))))*(INDEX(Tables!$D$260:$D$274,MAX(1,MIN(IFERROR(MATCH(U71,Tables!$C$260:$C$274,1),1),ROWS(Tables!$C$260:$C$274)-1))+1)-INDEX(Tables!$D$260:$D$274,MAX(1,MIN(IFERROR(MATCH(U71,Tables!$C$260:$C$274,1),1),ROWS(Tables!$C$260:$C$274)-1))))/(INDEX(Tables!$C$260:$C$274,MAX(1,MIN(IFERROR(MATCH(U71,Tables!$C$260:$C$274,1),1),ROWS(Tables!$C$260:$C$274)-1))+1)-INDEX(Tables!$C$260:$C$274,MAX(1,MIN(IFERROR(MATCH(U71,Tables!$C$260:$C$274,1),1),ROWS(Tables!$C$260:$C$274)-1))))),IF(P71&lt;10,(INDEX(Tables!$F$260:$F$274,MAX(1,MIN(IFERROR(MATCH(U71,Tables!$E$260:$E$274,1),1),ROWS(Tables!$E$260:$E$274)-1)))+(U71-INDEX(Tables!$E$260:$E$274,MAX(1,MIN(IFERROR(MATCH(U71,Tables!$E$260:$E$274,1),1),ROWS(Tables!$E$260:$E$274)-1))))*(INDEX(Tables!$F$260:$F$274,MAX(1,MIN(IFERROR(MATCH(U71,Tables!$E$260:$E$274,1),1),ROWS(Tables!$E$260:$E$274)-1))+1)-INDEX(Tables!$F$260:$F$274,MAX(1,MIN(IFERROR(MATCH(U71,Tables!$E$260:$E$274,1),1),ROWS(Tables!$E$260:$E$274)-1))))/(INDEX(Tables!$E$260:$E$274,MAX(1,MIN(IFERROR(MATCH(U71,Tables!$E$260:$E$274,1),1),ROWS(Tables!$E$260:$E$274)-1))+1)-INDEX(Tables!$E$260:$E$274,MAX(1,MIN(IFERROR(MATCH(U71,Tables!$E$260:$E$274,1),1),ROWS(Tables!$E$260:$E$274)-1))))),(INDEX(Tables!$H$260:$H$274,MAX(1,MIN(IFERROR(MATCH(U71,Tables!$G$260:$G$274,1),1),ROWS(Tables!$G$260:$G$274)-1)))+(U71-INDEX(Tables!$G$260:$G$274,MAX(1,MIN(IFERROR(MATCH(U71,Tables!$G$260:$G$274,1),1),ROWS(Tables!$G$260:$G$274)-1))))*(INDEX(Tables!$H$260:$H$274,MAX(1,MIN(IFERROR(MATCH(U71,Tables!$G$260:$G$274,1),1),ROWS(Tables!$G$260:$G$274)-1))+1)-INDEX(Tables!$H$260:$H$274,MAX(1,MIN(IFERROR(MATCH(U71,Tables!$G$260:$G$274,1),1),ROWS(Tables!$G$260:$G$274)-1))))/(INDEX(Tables!$G$260:$G$274,MAX(1,MIN(IFERROR(MATCH(U71,Tables!$G$260:$G$274,1),1),ROWS(Tables!$G$260:$G$274)-1))+1)-INDEX(Tables!$G$260:$G$274,MAX(1,MIN(IFERROR(MATCH(U71,Tables!$G$260:$G$274,1),1),ROWS(Tables!$G$260:$G$274)-1))))))))</f>
        <v>0.45700000000000002</v>
      </c>
      <c r="AW71" s="181">
        <f t="shared" si="73"/>
        <v>362.87132916666667</v>
      </c>
      <c r="AX71" s="181">
        <f t="shared" si="74"/>
        <v>285000</v>
      </c>
      <c r="AY71" s="181">
        <f t="shared" si="75"/>
        <v>307907.89758316666</v>
      </c>
      <c r="AZ71" s="181">
        <f t="shared" si="76"/>
        <v>92584.195050366659</v>
      </c>
      <c r="BA71" s="181">
        <f t="shared" si="77"/>
        <v>-6000</v>
      </c>
      <c r="BB71" s="181">
        <f t="shared" si="78"/>
        <v>278047.93521193997</v>
      </c>
      <c r="BC71" s="181">
        <f t="shared" si="79"/>
        <v>46800</v>
      </c>
      <c r="BD71" s="181">
        <f>VLOOKUP(V71&amp;" "&amp;J71,Tables!$A$152:$E$239,4,FALSE)</f>
        <v>12000</v>
      </c>
      <c r="BE71" s="181">
        <f>VLOOKUP(V71&amp;" "&amp;J71,Tables!$A$152:$E$239,5,FALSE)</f>
        <v>23000</v>
      </c>
      <c r="BF71" s="181">
        <f t="shared" si="80"/>
        <v>8640</v>
      </c>
      <c r="BG71" s="181">
        <f t="shared" si="81"/>
        <v>16560</v>
      </c>
      <c r="BH71" s="181">
        <f t="shared" si="82"/>
        <v>288000</v>
      </c>
      <c r="BI71" s="181">
        <f t="shared" si="83"/>
        <v>46800</v>
      </c>
      <c r="BJ71" s="181">
        <f t="shared" si="84"/>
        <v>278047.93521193997</v>
      </c>
      <c r="BK71" s="181">
        <f t="shared" si="85"/>
        <v>46800</v>
      </c>
      <c r="BL71" s="181">
        <f t="shared" si="86"/>
        <v>362.87132916666667</v>
      </c>
      <c r="BM71" s="181">
        <f t="shared" si="87"/>
        <v>8640</v>
      </c>
      <c r="BN71" s="181">
        <f t="shared" si="88"/>
        <v>503.48517916666657</v>
      </c>
      <c r="BO71" s="181">
        <f t="shared" si="89"/>
        <v>16560</v>
      </c>
      <c r="BP71" t="str">
        <f t="shared" si="90"/>
        <v>Fail</v>
      </c>
      <c r="BQ71" t="str">
        <f t="shared" si="91"/>
        <v>Fail</v>
      </c>
      <c r="BR71" t="str">
        <f t="shared" si="92"/>
        <v>Pass</v>
      </c>
      <c r="BS71" t="str">
        <f t="shared" si="93"/>
        <v>Pass</v>
      </c>
      <c r="BT71" t="str">
        <f t="shared" si="94"/>
        <v>Fail</v>
      </c>
      <c r="BU71" t="str">
        <f t="shared" si="95"/>
        <v>Barlow Stress</v>
      </c>
    </row>
    <row r="72" spans="1:73">
      <c r="A72" t="s">
        <v>664</v>
      </c>
      <c r="B72" s="181">
        <v>70</v>
      </c>
      <c r="C72" t="s">
        <v>594</v>
      </c>
      <c r="D72" s="181">
        <v>6</v>
      </c>
      <c r="E72" s="181">
        <v>0.86399999999999999</v>
      </c>
      <c r="F72" t="s">
        <v>117</v>
      </c>
      <c r="G72" t="s">
        <v>119</v>
      </c>
      <c r="H72" t="s">
        <v>122</v>
      </c>
      <c r="I72" s="181">
        <v>1</v>
      </c>
      <c r="J72" t="s">
        <v>126</v>
      </c>
      <c r="K72" t="s">
        <v>129</v>
      </c>
      <c r="L72" s="181">
        <v>70</v>
      </c>
      <c r="M72" s="181">
        <v>6000</v>
      </c>
      <c r="N72" t="s">
        <v>141</v>
      </c>
      <c r="O72" s="181">
        <v>120</v>
      </c>
      <c r="P72" s="181">
        <v>1</v>
      </c>
      <c r="Q72" s="181">
        <v>8.625</v>
      </c>
      <c r="R72" t="s">
        <v>418</v>
      </c>
      <c r="S72" t="s">
        <v>420</v>
      </c>
      <c r="T72" s="181">
        <v>70</v>
      </c>
      <c r="U72" s="181">
        <f>HLOOKUP(D72,'Highway Loading'!$C$155:$AD$156,2,FALSE)</f>
        <v>6.625</v>
      </c>
      <c r="V72" s="181">
        <f>IF(ISBLANK(G72),"",INDEX('Highway Loading'!$C$216:$AG$216,1,MATCH(G72,'Highway Loading'!$C$215:$AG$215,0)))</f>
        <v>65000</v>
      </c>
      <c r="W72" s="181">
        <f>INDEX('Highway Loading'!$I$245:$L$253,MATCH(H72,'Highway Loading'!$H$245:$H$253,0),MATCH(I72,'Highway Loading'!$I$244:$L$244,0))</f>
        <v>0.72</v>
      </c>
      <c r="X72" s="181">
        <f t="shared" si="64"/>
        <v>1</v>
      </c>
      <c r="Y72" s="181">
        <f>VLOOKUP(K72,'Highway Loading'!$B$283:$E$292,2,FALSE)</f>
        <v>29000000</v>
      </c>
      <c r="Z72" s="181">
        <f>VLOOKUP(K72,'Highway Loading'!$B$283:$E$292,3,FALSE)</f>
        <v>0.3</v>
      </c>
      <c r="AA72" s="181">
        <f>VLOOKUP(K72,'Highway Loading'!$B$283:$E$292,4,FALSE)</f>
        <v>6.4999999999999996E-6</v>
      </c>
      <c r="AB72" s="181">
        <f t="shared" si="65"/>
        <v>1</v>
      </c>
      <c r="AC72" s="181">
        <f>VLOOKUP(N72,'Highway Loading'!$B$256:$D$261,2,FALSE)</f>
        <v>500</v>
      </c>
      <c r="AD72" s="181">
        <f>VLOOKUP(N72,'Highway Loading'!$B$256:$D$261,3,FALSE)</f>
        <v>10000</v>
      </c>
      <c r="AE72" s="181">
        <f>VLOOKUP(S72,'Highway Loading'!$B$340:$C$341,2,FALSE)</f>
        <v>12000</v>
      </c>
      <c r="AF72" s="181">
        <f t="shared" si="66"/>
        <v>0.13041509433962264</v>
      </c>
      <c r="AG72" s="181">
        <f t="shared" si="67"/>
        <v>1.3913043478260869</v>
      </c>
      <c r="AH72" s="181">
        <f t="shared" si="68"/>
        <v>1.3018867924528301</v>
      </c>
      <c r="AI72" s="181">
        <f t="shared" si="69"/>
        <v>23003.472222222223</v>
      </c>
      <c r="AJ72" s="181">
        <f t="shared" si="70"/>
        <v>46800</v>
      </c>
      <c r="AK72" s="181">
        <f>IF(AC72=200,(INDEX(Tables!$B$17:$B$38,MAX(1,MIN(IFERROR(MATCH(AF72,Tables!$A$17:$A$38,1),1),ROWS(Tables!$A$17:$A$38)-1)))+(AF72-INDEX(Tables!$A$17:$A$38,MAX(1,MIN(IFERROR(MATCH(AF72,Tables!$A$17:$A$38,1),1),ROWS(Tables!$A$17:$A$38)-1))))*(INDEX(Tables!$B$17:$B$38,MAX(1,MIN(IFERROR(MATCH(AF72,Tables!$A$17:$A$38,1),1),ROWS(Tables!$A$17:$A$38)-1))+1)-INDEX(Tables!$B$17:$B$38,MAX(1,MIN(IFERROR(MATCH(AF72,Tables!$A$17:$A$38,1),1),ROWS(Tables!$A$17:$A$38)-1))))/(INDEX(Tables!$A$17:$A$38,MAX(1,MIN(IFERROR(MATCH(AF72,Tables!$A$17:$A$38,1),1),ROWS(Tables!$A$17:$A$38)-1))+1)-INDEX(Tables!$A$17:$A$38,MAX(1,MIN(IFERROR(MATCH(AF72,Tables!$A$17:$A$38,1),1),ROWS(Tables!$A$17:$A$38)-1))))),IF(AC72=500,(INDEX(Tables!$D$17:$D$38,MAX(1,MIN(IFERROR(MATCH(AF72,Tables!$C$17:$C$38,1),1),ROWS(Tables!$C$17:$C$38)-1)))+(AF72-INDEX(Tables!$C$17:$C$38,MAX(1,MIN(IFERROR(MATCH(AF72,Tables!$C$17:$C$38,1),1),ROWS(Tables!$C$17:$C$38)-1))))*(INDEX(Tables!$D$17:$D$38,MAX(1,MIN(IFERROR(MATCH(AF72,Tables!$C$17:$C$38,1),1),ROWS(Tables!$C$17:$C$38)-1))+1)-INDEX(Tables!$D$17:$D$38,MAX(1,MIN(IFERROR(MATCH(AF72,Tables!$C$17:$C$38,1),1),ROWS(Tables!$C$17:$C$38)-1))))/(INDEX(Tables!$C$17:$C$38,MAX(1,MIN(IFERROR(MATCH(AF72,Tables!$C$17:$C$38,1),1),ROWS(Tables!$C$17:$C$38)-1))+1)-INDEX(Tables!$C$17:$C$38,MAX(1,MIN(IFERROR(MATCH(AF72,Tables!$C$17:$C$38,1),1),ROWS(Tables!$C$17:$C$38)-1))))),IF(AC72=1000,(INDEX(Tables!$F$17:$F$38,MAX(1,MIN(IFERROR(MATCH(AF72,Tables!$E$17:$E$38,1),1),ROWS(Tables!$E$17:$E$38)-1)))+(AF72-INDEX(Tables!$E$17:$E$38,MAX(1,MIN(IFERROR(MATCH(AF72,Tables!$E$17:$E$38,1),1),ROWS(Tables!$E$17:$E$38)-1))))*(INDEX(Tables!$F$17:$F$38,MAX(1,MIN(IFERROR(MATCH(AF72,Tables!$E$17:$E$38,1),1),ROWS(Tables!$E$17:$E$38)-1))+1)-INDEX(Tables!$F$17:$F$38,MAX(1,MIN(IFERROR(MATCH(AF72,Tables!$E$17:$E$38,1),1),ROWS(Tables!$E$17:$E$38)-1))))/(INDEX(Tables!$E$17:$E$38,MAX(1,MIN(IFERROR(MATCH(AF72,Tables!$E$17:$E$38,1),1),ROWS(Tables!$E$17:$E$38)-1))+1)-INDEX(Tables!$E$17:$E$38,MAX(1,MIN(IFERROR(MATCH(AF72,Tables!$E$17:$E$38,1),1),ROWS(Tables!$E$17:$E$38)-1))))),(INDEX(Tables!$H$17:$H$38,MAX(1,MIN(IFERROR(MATCH(AF72,Tables!$G$17:$G$38,1),1),ROWS(Tables!$G$17:$G$38)-1)))+(AF72-INDEX(Tables!$G$17:$G$38,MAX(1,MIN(IFERROR(MATCH(AF72,Tables!$G$17:$G$38,1),1),ROWS(Tables!$G$17:$G$38)-1))))*(INDEX(Tables!$H$17:$H$38,MAX(1,MIN(IFERROR(MATCH(AF72,Tables!$G$17:$G$38,1),1),ROWS(Tables!$G$17:$G$38)-1))+1)-INDEX(Tables!$H$17:$H$38,MAX(1,MIN(IFERROR(MATCH(AF72,Tables!$G$17:$G$38,1),1),ROWS(Tables!$G$17:$G$38)-1))))/(INDEX(Tables!$G$17:$G$38,MAX(1,MIN(IFERROR(MATCH(AF72,Tables!$G$17:$G$38,1),1),ROWS(Tables!$G$17:$G$38)-1))+1)-INDEX(Tables!$G$17:$G$38,MAX(1,MIN(IFERROR(MATCH(AF72,Tables!$G$17:$G$38,1),1),ROWS(Tables!$G$17:$G$38)-1))))))))</f>
        <v>88</v>
      </c>
      <c r="AL72" s="181">
        <f>IF(AC72&lt;1000,(INDEX(Tables!$B$43:$B$76,MAX(1,MIN(IFERROR(MATCH(AG72,Tables!$A$43:$A$76,1),1),ROWS(Tables!$A$43:$A$76)-1)))+(AG72-INDEX(Tables!$A$43:$A$76,MAX(1,MIN(IFERROR(MATCH(AG72,Tables!$A$43:$A$76,1),1),ROWS(Tables!$A$43:$A$76)-1))))*(INDEX(Tables!$B$43:$B$76,MAX(1,MIN(IFERROR(MATCH(AG72,Tables!$A$43:$A$76,1),1),ROWS(Tables!$A$43:$A$76)-1))+1)-INDEX(Tables!$B$43:$B$76,MAX(1,MIN(IFERROR(MATCH(AG72,Tables!$A$43:$A$76,1),1),ROWS(Tables!$A$43:$A$76)-1))))/(INDEX(Tables!$A$43:$A$76,MAX(1,MIN(IFERROR(MATCH(AG72,Tables!$A$43:$A$76,1),1),ROWS(Tables!$A$43:$A$76)-1))+1)-INDEX(Tables!$A$43:$A$76,MAX(1,MIN(IFERROR(MATCH(AG72,Tables!$A$43:$A$76,1),1),ROWS(Tables!$A$43:$A$76)-1))))),(INDEX(Tables!$D$43:$D$76,MAX(1,MIN(IFERROR(MATCH(AG72,Tables!$C$43:$C$76,1),1),ROWS(Tables!$C$43:$C$76)-1)))+(AG72-INDEX(Tables!$C$43:$C$76,MAX(1,MIN(IFERROR(MATCH(AG72,Tables!$C$43:$C$76,1),1),ROWS(Tables!$C$43:$C$76)-1))))*(INDEX(Tables!$D$43:$D$76,MAX(1,MIN(IFERROR(MATCH(AG72,Tables!$C$43:$C$76,1),1),ROWS(Tables!$C$43:$C$76)-1))+1)-INDEX(Tables!$D$43:$D$76,MAX(1,MIN(IFERROR(MATCH(AG72,Tables!$C$43:$C$76,1),1),ROWS(Tables!$C$43:$C$76)-1))))/(INDEX(Tables!$C$43:$C$76,MAX(1,MIN(IFERROR(MATCH(AG72,Tables!$C$43:$C$76,1),1),ROWS(Tables!$C$43:$C$76)-1))+1)-INDEX(Tables!$C$43:$C$76,MAX(1,MIN(IFERROR(MATCH(AG72,Tables!$C$43:$C$76,1),1),ROWS(Tables!$C$43:$C$76)-1))))))</f>
        <v>0.44739130434782609</v>
      </c>
      <c r="AM72" s="181">
        <f>(INDEX(Tables!$B$80:$B$87,MAX(1,MIN(IFERROR(MATCH(AH72,Tables!$A$80:$A$87,1),1),ROWS(Tables!$A$80:$A$87)-1)))+(AH72-INDEX(Tables!$A$80:$A$87,MAX(1,MIN(IFERROR(MATCH(AH72,Tables!$A$80:$A$87,1),1),ROWS(Tables!$A$80:$A$87)-1))))*(INDEX(Tables!$B$80:$B$87,MAX(1,MIN(IFERROR(MATCH(AH72,Tables!$A$80:$A$87,1),1),ROWS(Tables!$A$80:$A$87)-1))+1)-INDEX(Tables!$B$80:$B$87,MAX(1,MIN(IFERROR(MATCH(AH72,Tables!$A$80:$A$87,1),1),ROWS(Tables!$A$80:$A$87)-1))))/(INDEX(Tables!$A$80:$A$87,MAX(1,MIN(IFERROR(MATCH(AH72,Tables!$A$80:$A$87,1),1),ROWS(Tables!$A$80:$A$87)-1))+1)-INDEX(Tables!$A$80:$A$87,MAX(1,MIN(IFERROR(MATCH(AH72,Tables!$A$80:$A$87,1),1),ROWS(Tables!$A$80:$A$87)-1)))))</f>
        <v>1.403996226415094</v>
      </c>
      <c r="AN72" s="181">
        <f t="shared" si="71"/>
        <v>25.430771865942024</v>
      </c>
      <c r="AO72" s="181">
        <f>(INDEX(Tables!$B$91:$B$94,MAX(1,MIN(IFERROR(MATCH(P72,Tables!$A$91:$A$94,1),1),ROWS(Tables!$A$91:$A$94)-1)))+(P72-INDEX(Tables!$A$91:$A$94,MAX(1,MIN(IFERROR(MATCH(P72,Tables!$A$91:$A$94,1),1),ROWS(Tables!$A$91:$A$94)-1))))*(INDEX(Tables!$B$91:$B$94,MAX(1,MIN(IFERROR(MATCH(P72,Tables!$A$91:$A$94,1),1),ROWS(Tables!$A$91:$A$94)-1))+1)-INDEX(Tables!$B$91:$B$94,MAX(1,MIN(IFERROR(MATCH(P72,Tables!$A$91:$A$94,1),1),ROWS(Tables!$A$91:$A$94)-1))))/(INDEX(Tables!$A$91:$A$94,MAX(1,MIN(IFERROR(MATCH(P72,Tables!$A$91:$A$94,1),1),ROWS(Tables!$A$91:$A$94)-1))+1)-INDEX(Tables!$A$91:$A$94,MAX(1,MIN(IFERROR(MATCH(P72,Tables!$A$91:$A$94,1),1),ROWS(Tables!$A$91:$A$94)-1)))))</f>
        <v>1.5</v>
      </c>
      <c r="AP72" s="181">
        <f>IF(AD72=5000,(INDEX(Tables!$B$99:$B$118,MAX(1,MIN(IFERROR(MATCH(AF72,Tables!$A$99:$A$118,1),1),ROWS(Tables!$A$99:$A$118)-1)))+(AF72-INDEX(Tables!$A$99:$A$118,MAX(1,MIN(IFERROR(MATCH(AF72,Tables!$A$99:$A$118,1),1),ROWS(Tables!$A$99:$A$118)-1))))*(INDEX(Tables!$B$99:$B$118,MAX(1,MIN(IFERROR(MATCH(AF72,Tables!$A$99:$A$118,1),1),ROWS(Tables!$A$99:$A$118)-1))+1)-INDEX(Tables!$B$99:$B$118,MAX(1,MIN(IFERROR(MATCH(AF72,Tables!$A$99:$A$118,1),1),ROWS(Tables!$A$99:$A$118)-1))))/(INDEX(Tables!$A$99:$A$118,MAX(1,MIN(IFERROR(MATCH(AF72,Tables!$A$99:$A$118,1),1),ROWS(Tables!$A$99:$A$118)-1))+1)-INDEX(Tables!$A$99:$A$118,MAX(1,MIN(IFERROR(MATCH(AF72,Tables!$A$99:$A$118,1),1),ROWS(Tables!$A$99:$A$118)-1))))),IF(AD72=10000,(INDEX(Tables!$D$99:$D$118,MAX(1,MIN(IFERROR(MATCH(AF72,Tables!$C$99:$C$118,1),1),ROWS(Tables!$C$99:$C$118)-1)))+(AF72-INDEX(Tables!$C$99:$C$118,MAX(1,MIN(IFERROR(MATCH(AF72,Tables!$C$99:$C$118,1),1),ROWS(Tables!$C$99:$C$118)-1))))*(INDEX(Tables!$D$99:$D$118,MAX(1,MIN(IFERROR(MATCH(AF72,Tables!$C$99:$C$118,1),1),ROWS(Tables!$C$99:$C$118)-1))+1)-INDEX(Tables!$D$99:$D$118,MAX(1,MIN(IFERROR(MATCH(AF72,Tables!$C$99:$C$118,1),1),ROWS(Tables!$C$99:$C$118)-1))))/(INDEX(Tables!$C$99:$C$118,MAX(1,MIN(IFERROR(MATCH(AF72,Tables!$C$99:$C$118,1),1),ROWS(Tables!$C$99:$C$118)-1))+1)-INDEX(Tables!$C$99:$C$118,MAX(1,MIN(IFERROR(MATCH(AF72,Tables!$C$99:$C$118,1),1),ROWS(Tables!$C$99:$C$118)-1))))),(INDEX(Tables!$F$99:$F$118,MAX(1,MIN(IFERROR(MATCH(AF72,Tables!$E$99:$E$118,1),1),ROWS(Tables!$E$99:$E$118)-1)))+(AF72-INDEX(Tables!$E$99:$E$118,MAX(1,MIN(IFERROR(MATCH(AF72,Tables!$E$99:$E$118,1),1),ROWS(Tables!$E$99:$E$118)-1))))*(INDEX(Tables!$F$99:$F$118,MAX(1,MIN(IFERROR(MATCH(AF72,Tables!$E$99:$E$118,1),1),ROWS(Tables!$E$99:$E$118)-1))+1)-INDEX(Tables!$F$99:$F$118,MAX(1,MIN(IFERROR(MATCH(AF72,Tables!$E$99:$E$118,1),1),ROWS(Tables!$E$99:$E$118)-1))))/(INDEX(Tables!$E$99:$E$118,MAX(1,MIN(IFERROR(MATCH(AF72,Tables!$E$99:$E$118,1),1),ROWS(Tables!$E$99:$E$118)-1))+1)-INDEX(Tables!$E$99:$E$118,MAX(1,MIN(IFERROR(MATCH(AF72,Tables!$E$99:$E$118,1),1),ROWS(Tables!$E$99:$E$118)-1)))))))</f>
        <v>1.605</v>
      </c>
      <c r="AQ72" s="181">
        <f>IF(P72&lt;6,(INDEX(Tables!$B$123:$B$138,MAX(1,MIN(IFERROR(MATCH(U72,Tables!$A$123:$A$138,1),1),ROWS(Tables!$A$123:$A$138)-1)))+(U72-INDEX(Tables!$A$123:$A$138,MAX(1,MIN(IFERROR(MATCH(U72,Tables!$A$123:$A$138,1),1),ROWS(Tables!$A$123:$A$138)-1))))*(INDEX(Tables!$B$123:$B$138,MAX(1,MIN(IFERROR(MATCH(U72,Tables!$A$123:$A$138,1),1),ROWS(Tables!$A$123:$A$138)-1))+1)-INDEX(Tables!$B$123:$B$138,MAX(1,MIN(IFERROR(MATCH(U72,Tables!$A$123:$A$138,1),1),ROWS(Tables!$A$123:$A$138)-1))))/(INDEX(Tables!$A$123:$A$138,MAX(1,MIN(IFERROR(MATCH(U72,Tables!$A$123:$A$138,1),1),ROWS(Tables!$A$123:$A$138)-1))+1)-INDEX(Tables!$A$123:$A$138,MAX(1,MIN(IFERROR(MATCH(U72,Tables!$A$123:$A$138,1),1),ROWS(Tables!$A$123:$A$138)-1))))),IF(P72&lt;8,(INDEX(Tables!$D$123:$D$138,MAX(1,MIN(IFERROR(MATCH(U72,Tables!$C$123:$C$138,1),1),ROWS(Tables!$C$123:$C$138)-1)))+(U72-INDEX(Tables!$C$123:$C$138,MAX(1,MIN(IFERROR(MATCH(U72,Tables!$C$123:$C$138,1),1),ROWS(Tables!$C$123:$C$138)-1))))*(INDEX(Tables!$D$123:$D$138,MAX(1,MIN(IFERROR(MATCH(U72,Tables!$C$123:$C$138,1),1),ROWS(Tables!$C$123:$C$138)-1))+1)-INDEX(Tables!$D$123:$D$138,MAX(1,MIN(IFERROR(MATCH(U72,Tables!$C$123:$C$138,1),1),ROWS(Tables!$C$123:$C$138)-1))))/(INDEX(Tables!$C$123:$C$138,MAX(1,MIN(IFERROR(MATCH(U72,Tables!$C$123:$C$138,1),1),ROWS(Tables!$C$123:$C$138)-1))+1)-INDEX(Tables!$C$123:$C$138,MAX(1,MIN(IFERROR(MATCH(U72,Tables!$C$123:$C$138,1),1),ROWS(Tables!$C$123:$C$138)-1))))),IF(P72&lt;10,(INDEX(Tables!$F$123:$F$138,MAX(1,MIN(IFERROR(MATCH(U72,Tables!$E$123:$E$138,1),1),ROWS(Tables!$E$123:$E$138)-1)))+(U72-INDEX(Tables!$E$123:$E$138,MAX(1,MIN(IFERROR(MATCH(U72,Tables!$E$123:$E$138,1),1),ROWS(Tables!$E$123:$E$138)-1))))*(INDEX(Tables!$F$123:$F$138,MAX(1,MIN(IFERROR(MATCH(U72,Tables!$E$123:$E$138,1),1),ROWS(Tables!$E$123:$E$138)-1))+1)-INDEX(Tables!$F$123:$F$138,MAX(1,MIN(IFERROR(MATCH(U72,Tables!$E$123:$E$138,1),1),ROWS(Tables!$E$123:$E$138)-1))))/(INDEX(Tables!$E$123:$E$138,MAX(1,MIN(IFERROR(MATCH(U72,Tables!$E$123:$E$138,1),1),ROWS(Tables!$E$123:$E$138)-1))+1)-INDEX(Tables!$E$123:$E$138,MAX(1,MIN(IFERROR(MATCH(U72,Tables!$E$123:$E$138,1),1),ROWS(Tables!$E$123:$E$138)-1))))),(INDEX(Tables!$H$123:$H$138,MAX(1,MIN(IFERROR(MATCH(U72,Tables!$G$123:$G$138,1),1),ROWS(Tables!$G$123:$G$138)-1)))+(U72-INDEX(Tables!$G$123:$G$138,MAX(1,MIN(IFERROR(MATCH(U72,Tables!$G$123:$G$138,1),1),ROWS(Tables!$G$123:$G$138)-1))))*(INDEX(Tables!$H$123:$H$138,MAX(1,MIN(IFERROR(MATCH(U72,Tables!$G$123:$G$138,1),1),ROWS(Tables!$G$123:$G$138)-1))+1)-INDEX(Tables!$H$123:$H$138,MAX(1,MIN(IFERROR(MATCH(U72,Tables!$G$123:$G$138,1),1),ROWS(Tables!$G$123:$G$138)-1))))/(INDEX(Tables!$G$123:$G$138,MAX(1,MIN(IFERROR(MATCH(U72,Tables!$G$123:$G$138,1),1),ROWS(Tables!$G$123:$G$138)-1))+1)-INDEX(Tables!$G$123:$G$138,MAX(1,MIN(IFERROR(MATCH(U72,Tables!$G$123:$G$138,1),1),ROWS(Tables!$G$123:$G$138)-1))))))))</f>
        <v>1.4501250000000001</v>
      </c>
      <c r="AR72" s="181">
        <f>IF(OR(P72&gt;=4,U72&gt;12),VLOOKUP(R72&amp;" "&amp;S72,Tables!$D$143:$F$148,2,FALSE),VLOOKUP(R72&amp;" "&amp;S72,Tables!$A$143:$C$148,2,FALSE))</f>
        <v>0.9</v>
      </c>
      <c r="AS72" s="181">
        <f>IF(OR(P72&gt;=4,U72&gt;12),VLOOKUP(R72&amp;" "&amp;S72,Tables!$D$143:$F$148,3,FALSE),VLOOKUP(R72&amp;" "&amp;S72,Tables!$A$143:$C$148,3,FALSE))</f>
        <v>0.65</v>
      </c>
      <c r="AT72" s="181">
        <f t="shared" si="72"/>
        <v>170.19482695312502</v>
      </c>
      <c r="AU72" s="181">
        <f>IF(AD72=5000,(INDEX(Tables!$B$244:$B$263,MAX(1,MIN(IFERROR(MATCH(AF72,Tables!$A$244:$A$263,1),1),ROWS(Tables!$A$244:$A$263)-1)))+(AF72-INDEX(Tables!$A$244:$A$263,MAX(1,MIN(IFERROR(MATCH(AF72,Tables!$A$244:$A$263,1),1),ROWS(Tables!$A$244:$A$263)-1))))*(INDEX(Tables!$B$244:$B$263,MAX(1,MIN(IFERROR(MATCH(AF72,Tables!$A$244:$A$263,1),1),ROWS(Tables!$A$244:$A$263)-1))+1)-INDEX(Tables!$B$244:$B$263,MAX(1,MIN(IFERROR(MATCH(AF72,Tables!$A$244:$A$263,1),1),ROWS(Tables!$A$244:$A$263)-1))))/(INDEX(Tables!$A$244:$A$263,MAX(1,MIN(IFERROR(MATCH(AF72,Tables!$A$244:$A$263,1),1),ROWS(Tables!$A$244:$A$263)-1))+1)-INDEX(Tables!$A$244:$A$263,MAX(1,MIN(IFERROR(MATCH(AF72,Tables!$A$244:$A$263,1),1),ROWS(Tables!$A$244:$A$263)-1))))),IF(AD72=10000,(INDEX(Tables!$D$244:$D$263,MAX(1,MIN(IFERROR(MATCH(AF72,Tables!$C$244:$C$263,1),1),ROWS(Tables!$C$244:$C$263)-1)))+(AF72-INDEX(Tables!$C$244:$C$263,MAX(1,MIN(IFERROR(MATCH(AF72,Tables!$C$244:$C$263,1),1),ROWS(Tables!$C$244:$C$263)-1))))*(INDEX(Tables!$D$244:$D$263,MAX(1,MIN(IFERROR(MATCH(AF72,Tables!$C$244:$C$263,1),1),ROWS(Tables!$C$244:$C$263)-1))+1)-INDEX(Tables!$D$244:$D$263,MAX(1,MIN(IFERROR(MATCH(AF72,Tables!$C$244:$C$263,1),1),ROWS(Tables!$C$244:$C$263)-1))))/(INDEX(Tables!$C$244:$C$263,MAX(1,MIN(IFERROR(MATCH(AF72,Tables!$C$244:$C$263,1),1),ROWS(Tables!$C$244:$C$263)-1))+1)-INDEX(Tables!$C$244:$C$263,MAX(1,MIN(IFERROR(MATCH(AF72,Tables!$C$244:$C$263,1),1),ROWS(Tables!$C$244:$C$263)-1))))),(INDEX(Tables!$F$244:$F$263,MAX(1,MIN(IFERROR(MATCH(AF72,Tables!$E$244:$E$263,1),1),ROWS(Tables!$E$244:$E$263)-1)))+(AF72-INDEX(Tables!$E$244:$E$263,MAX(1,MIN(IFERROR(MATCH(AF72,Tables!$E$244:$E$263,1),1),ROWS(Tables!$E$244:$E$263)-1))))*(INDEX(Tables!$F$244:$F$263,MAX(1,MIN(IFERROR(MATCH(AF72,Tables!$E$244:$E$263,1),1),ROWS(Tables!$E$244:$E$263)-1))+1)-INDEX(Tables!$F$244:$F$263,MAX(1,MIN(IFERROR(MATCH(AF72,Tables!$E$244:$E$263,1),1),ROWS(Tables!$E$244:$E$263)-1))))/(INDEX(Tables!$E$244:$E$263,MAX(1,MIN(IFERROR(MATCH(AF72,Tables!$E$244:$E$263,1),1),ROWS(Tables!$E$244:$E$263)-1))+1)-INDEX(Tables!$E$244:$E$263,MAX(1,MIN(IFERROR(MATCH(AF72,Tables!$E$244:$E$263,1),1),ROWS(Tables!$E$244:$E$263)-1)))))))</f>
        <v>2.5920000000000001</v>
      </c>
      <c r="AV72" s="181">
        <f>IF(P72&lt;6,(INDEX(Tables!$B$260:$B$274,MAX(1,MIN(IFERROR(MATCH(U72,Tables!$A$260:$A$274,1),1),ROWS(Tables!$A$260:$A$274)-1)))+(U72-INDEX(Tables!$A$260:$A$274,MAX(1,MIN(IFERROR(MATCH(U72,Tables!$A$260:$A$274,1),1),ROWS(Tables!$A$260:$A$274)-1))))*(INDEX(Tables!$B$260:$B$274,MAX(1,MIN(IFERROR(MATCH(U72,Tables!$A$260:$A$274,1),1),ROWS(Tables!$A$260:$A$274)-1))+1)-INDEX(Tables!$B$260:$B$274,MAX(1,MIN(IFERROR(MATCH(U72,Tables!$A$260:$A$274,1),1),ROWS(Tables!$A$260:$A$274)-1))))/(INDEX(Tables!$A$260:$A$274,MAX(1,MIN(IFERROR(MATCH(U72,Tables!$A$260:$A$274,1),1),ROWS(Tables!$A$260:$A$274)-1))+1)-INDEX(Tables!$A$260:$A$274,MAX(1,MIN(IFERROR(MATCH(U72,Tables!$A$260:$A$274,1),1),ROWS(Tables!$A$260:$A$274)-1))))),IF(P72&lt;8,(INDEX(Tables!$D$260:$D$274,MAX(1,MIN(IFERROR(MATCH(U72,Tables!$C$260:$C$274,1),1),ROWS(Tables!$C$260:$C$274)-1)))+(U72-INDEX(Tables!$C$260:$C$274,MAX(1,MIN(IFERROR(MATCH(U72,Tables!$C$260:$C$274,1),1),ROWS(Tables!$C$260:$C$274)-1))))*(INDEX(Tables!$D$260:$D$274,MAX(1,MIN(IFERROR(MATCH(U72,Tables!$C$260:$C$274,1),1),ROWS(Tables!$C$260:$C$274)-1))+1)-INDEX(Tables!$D$260:$D$274,MAX(1,MIN(IFERROR(MATCH(U72,Tables!$C$260:$C$274,1),1),ROWS(Tables!$C$260:$C$274)-1))))/(INDEX(Tables!$C$260:$C$274,MAX(1,MIN(IFERROR(MATCH(U72,Tables!$C$260:$C$274,1),1),ROWS(Tables!$C$260:$C$274)-1))+1)-INDEX(Tables!$C$260:$C$274,MAX(1,MIN(IFERROR(MATCH(U72,Tables!$C$260:$C$274,1),1),ROWS(Tables!$C$260:$C$274)-1))))),IF(P72&lt;10,(INDEX(Tables!$F$260:$F$274,MAX(1,MIN(IFERROR(MATCH(U72,Tables!$E$260:$E$274,1),1),ROWS(Tables!$E$260:$E$274)-1)))+(U72-INDEX(Tables!$E$260:$E$274,MAX(1,MIN(IFERROR(MATCH(U72,Tables!$E$260:$E$274,1),1),ROWS(Tables!$E$260:$E$274)-1))))*(INDEX(Tables!$F$260:$F$274,MAX(1,MIN(IFERROR(MATCH(U72,Tables!$E$260:$E$274,1),1),ROWS(Tables!$E$260:$E$274)-1))+1)-INDEX(Tables!$F$260:$F$274,MAX(1,MIN(IFERROR(MATCH(U72,Tables!$E$260:$E$274,1),1),ROWS(Tables!$E$260:$E$274)-1))))/(INDEX(Tables!$E$260:$E$274,MAX(1,MIN(IFERROR(MATCH(U72,Tables!$E$260:$E$274,1),1),ROWS(Tables!$E$260:$E$274)-1))+1)-INDEX(Tables!$E$260:$E$274,MAX(1,MIN(IFERROR(MATCH(U72,Tables!$E$260:$E$274,1),1),ROWS(Tables!$E$260:$E$274)-1))))),(INDEX(Tables!$H$260:$H$274,MAX(1,MIN(IFERROR(MATCH(U72,Tables!$G$260:$G$274,1),1),ROWS(Tables!$G$260:$G$274)-1)))+(U72-INDEX(Tables!$G$260:$G$274,MAX(1,MIN(IFERROR(MATCH(U72,Tables!$G$260:$G$274,1),1),ROWS(Tables!$G$260:$G$274)-1))))*(INDEX(Tables!$H$260:$H$274,MAX(1,MIN(IFERROR(MATCH(U72,Tables!$G$260:$G$274,1),1),ROWS(Tables!$G$260:$G$274)-1))+1)-INDEX(Tables!$H$260:$H$274,MAX(1,MIN(IFERROR(MATCH(U72,Tables!$G$260:$G$274,1),1),ROWS(Tables!$G$260:$G$274)-1))))/(INDEX(Tables!$G$260:$G$274,MAX(1,MIN(IFERROR(MATCH(U72,Tables!$G$260:$G$274,1),1),ROWS(Tables!$G$260:$G$274)-1))+1)-INDEX(Tables!$G$260:$G$274,MAX(1,MIN(IFERROR(MATCH(U72,Tables!$G$260:$G$274,1),1),ROWS(Tables!$G$260:$G$274)-1))))))))</f>
        <v>1.4965000000000002</v>
      </c>
      <c r="AW72" s="181">
        <f t="shared" si="73"/>
        <v>283.64661000000007</v>
      </c>
      <c r="AX72" s="181">
        <f t="shared" si="74"/>
        <v>20003.472222222223</v>
      </c>
      <c r="AY72" s="181">
        <f t="shared" si="75"/>
        <v>20199.09782104129</v>
      </c>
      <c r="AZ72" s="181">
        <f t="shared" si="76"/>
        <v>6292.3175082264497</v>
      </c>
      <c r="BA72" s="181">
        <f t="shared" si="77"/>
        <v>-6000</v>
      </c>
      <c r="BB72" s="181">
        <f t="shared" si="78"/>
        <v>22703.439552504326</v>
      </c>
      <c r="BC72" s="181">
        <f t="shared" si="79"/>
        <v>46800</v>
      </c>
      <c r="BD72" s="181">
        <f>VLOOKUP(V72&amp;" "&amp;J72,Tables!$A$152:$E$239,4,FALSE)</f>
        <v>12000</v>
      </c>
      <c r="BE72" s="181">
        <f>VLOOKUP(V72&amp;" "&amp;J72,Tables!$A$152:$E$239,5,FALSE)</f>
        <v>23000</v>
      </c>
      <c r="BF72" s="181">
        <f t="shared" si="80"/>
        <v>8640</v>
      </c>
      <c r="BG72" s="181">
        <f t="shared" si="81"/>
        <v>16560</v>
      </c>
      <c r="BH72" s="181">
        <f t="shared" si="82"/>
        <v>23003.472222222223</v>
      </c>
      <c r="BI72" s="181">
        <f t="shared" si="83"/>
        <v>46800</v>
      </c>
      <c r="BJ72" s="181">
        <f t="shared" si="84"/>
        <v>22703.439552504326</v>
      </c>
      <c r="BK72" s="181">
        <f t="shared" si="85"/>
        <v>46800</v>
      </c>
      <c r="BL72" s="181">
        <f t="shared" si="86"/>
        <v>283.64661000000007</v>
      </c>
      <c r="BM72" s="181">
        <f t="shared" si="87"/>
        <v>8640</v>
      </c>
      <c r="BN72" s="181">
        <f t="shared" si="88"/>
        <v>170.19482695312502</v>
      </c>
      <c r="BO72" s="181">
        <f t="shared" si="89"/>
        <v>16560</v>
      </c>
      <c r="BP72" t="str">
        <f t="shared" si="90"/>
        <v>Pass</v>
      </c>
      <c r="BQ72" t="str">
        <f t="shared" si="91"/>
        <v>Pass</v>
      </c>
      <c r="BR72" t="str">
        <f t="shared" si="92"/>
        <v>Pass</v>
      </c>
      <c r="BS72" t="str">
        <f t="shared" si="93"/>
        <v>Pass</v>
      </c>
      <c r="BT72" t="str">
        <f t="shared" si="94"/>
        <v>Pass</v>
      </c>
      <c r="BU72" t="str">
        <f t="shared" si="95"/>
        <v>Barlow Stress</v>
      </c>
    </row>
    <row r="73" spans="1:73">
      <c r="A73" t="s">
        <v>665</v>
      </c>
      <c r="B73" s="181">
        <v>71</v>
      </c>
      <c r="C73" t="s">
        <v>594</v>
      </c>
      <c r="D73" s="181">
        <v>8</v>
      </c>
      <c r="E73" s="181">
        <v>0.90600000000000003</v>
      </c>
      <c r="F73" t="s">
        <v>117</v>
      </c>
      <c r="G73" t="s">
        <v>119</v>
      </c>
      <c r="H73" t="s">
        <v>122</v>
      </c>
      <c r="I73" s="181">
        <v>1</v>
      </c>
      <c r="J73" t="s">
        <v>126</v>
      </c>
      <c r="K73" t="s">
        <v>129</v>
      </c>
      <c r="L73" s="181">
        <v>70</v>
      </c>
      <c r="M73" s="181">
        <v>6000</v>
      </c>
      <c r="N73" t="s">
        <v>141</v>
      </c>
      <c r="O73" s="181">
        <v>120</v>
      </c>
      <c r="P73" s="181">
        <v>3</v>
      </c>
      <c r="Q73" s="181">
        <v>10.625</v>
      </c>
      <c r="R73" t="s">
        <v>418</v>
      </c>
      <c r="S73" t="s">
        <v>420</v>
      </c>
      <c r="T73" s="181">
        <v>70</v>
      </c>
      <c r="U73" s="181">
        <f>HLOOKUP(D73,'Highway Loading'!$C$155:$AD$156,2,FALSE)</f>
        <v>8.625</v>
      </c>
      <c r="V73" s="181">
        <f>IF(ISBLANK(G73),"",INDEX('Highway Loading'!$C$216:$AG$216,1,MATCH(G73,'Highway Loading'!$C$215:$AG$215,0)))</f>
        <v>65000</v>
      </c>
      <c r="W73" s="181">
        <f>INDEX('Highway Loading'!$I$245:$L$253,MATCH(H73,'Highway Loading'!$H$245:$H$253,0),MATCH(I73,'Highway Loading'!$I$244:$L$244,0))</f>
        <v>0.72</v>
      </c>
      <c r="X73" s="181">
        <f t="shared" si="64"/>
        <v>1</v>
      </c>
      <c r="Y73" s="181">
        <f>VLOOKUP(K73,'Highway Loading'!$B$283:$E$292,2,FALSE)</f>
        <v>29000000</v>
      </c>
      <c r="Z73" s="181">
        <f>VLOOKUP(K73,'Highway Loading'!$B$283:$E$292,3,FALSE)</f>
        <v>0.3</v>
      </c>
      <c r="AA73" s="181">
        <f>VLOOKUP(K73,'Highway Loading'!$B$283:$E$292,4,FALSE)</f>
        <v>6.4999999999999996E-6</v>
      </c>
      <c r="AB73" s="181">
        <f t="shared" si="65"/>
        <v>1</v>
      </c>
      <c r="AC73" s="181">
        <f>VLOOKUP(N73,'Highway Loading'!$B$256:$D$261,2,FALSE)</f>
        <v>500</v>
      </c>
      <c r="AD73" s="181">
        <f>VLOOKUP(N73,'Highway Loading'!$B$256:$D$261,3,FALSE)</f>
        <v>10000</v>
      </c>
      <c r="AE73" s="181">
        <f>VLOOKUP(S73,'Highway Loading'!$B$340:$C$341,2,FALSE)</f>
        <v>12000</v>
      </c>
      <c r="AF73" s="181">
        <f t="shared" si="66"/>
        <v>0.10504347826086957</v>
      </c>
      <c r="AG73" s="181">
        <f t="shared" si="67"/>
        <v>3.388235294117647</v>
      </c>
      <c r="AH73" s="181">
        <f t="shared" si="68"/>
        <v>1.2318840579710144</v>
      </c>
      <c r="AI73" s="181">
        <f t="shared" si="69"/>
        <v>28559.602649006622</v>
      </c>
      <c r="AJ73" s="181">
        <f t="shared" si="70"/>
        <v>46800</v>
      </c>
      <c r="AK73" s="181">
        <f>IF(AC73=200,(INDEX(Tables!$B$17:$B$38,MAX(1,MIN(IFERROR(MATCH(AF73,Tables!$A$17:$A$38,1),1),ROWS(Tables!$A$17:$A$38)-1)))+(AF73-INDEX(Tables!$A$17:$A$38,MAX(1,MIN(IFERROR(MATCH(AF73,Tables!$A$17:$A$38,1),1),ROWS(Tables!$A$17:$A$38)-1))))*(INDEX(Tables!$B$17:$B$38,MAX(1,MIN(IFERROR(MATCH(AF73,Tables!$A$17:$A$38,1),1),ROWS(Tables!$A$17:$A$38)-1))+1)-INDEX(Tables!$B$17:$B$38,MAX(1,MIN(IFERROR(MATCH(AF73,Tables!$A$17:$A$38,1),1),ROWS(Tables!$A$17:$A$38)-1))))/(INDEX(Tables!$A$17:$A$38,MAX(1,MIN(IFERROR(MATCH(AF73,Tables!$A$17:$A$38,1),1),ROWS(Tables!$A$17:$A$38)-1))+1)-INDEX(Tables!$A$17:$A$38,MAX(1,MIN(IFERROR(MATCH(AF73,Tables!$A$17:$A$38,1),1),ROWS(Tables!$A$17:$A$38)-1))))),IF(AC73=500,(INDEX(Tables!$D$17:$D$38,MAX(1,MIN(IFERROR(MATCH(AF73,Tables!$C$17:$C$38,1),1),ROWS(Tables!$C$17:$C$38)-1)))+(AF73-INDEX(Tables!$C$17:$C$38,MAX(1,MIN(IFERROR(MATCH(AF73,Tables!$C$17:$C$38,1),1),ROWS(Tables!$C$17:$C$38)-1))))*(INDEX(Tables!$D$17:$D$38,MAX(1,MIN(IFERROR(MATCH(AF73,Tables!$C$17:$C$38,1),1),ROWS(Tables!$C$17:$C$38)-1))+1)-INDEX(Tables!$D$17:$D$38,MAX(1,MIN(IFERROR(MATCH(AF73,Tables!$C$17:$C$38,1),1),ROWS(Tables!$C$17:$C$38)-1))))/(INDEX(Tables!$C$17:$C$38,MAX(1,MIN(IFERROR(MATCH(AF73,Tables!$C$17:$C$38,1),1),ROWS(Tables!$C$17:$C$38)-1))+1)-INDEX(Tables!$C$17:$C$38,MAX(1,MIN(IFERROR(MATCH(AF73,Tables!$C$17:$C$38,1),1),ROWS(Tables!$C$17:$C$38)-1))))),IF(AC73=1000,(INDEX(Tables!$F$17:$F$38,MAX(1,MIN(IFERROR(MATCH(AF73,Tables!$E$17:$E$38,1),1),ROWS(Tables!$E$17:$E$38)-1)))+(AF73-INDEX(Tables!$E$17:$E$38,MAX(1,MIN(IFERROR(MATCH(AF73,Tables!$E$17:$E$38,1),1),ROWS(Tables!$E$17:$E$38)-1))))*(INDEX(Tables!$F$17:$F$38,MAX(1,MIN(IFERROR(MATCH(AF73,Tables!$E$17:$E$38,1),1),ROWS(Tables!$E$17:$E$38)-1))+1)-INDEX(Tables!$F$17:$F$38,MAX(1,MIN(IFERROR(MATCH(AF73,Tables!$E$17:$E$38,1),1),ROWS(Tables!$E$17:$E$38)-1))))/(INDEX(Tables!$E$17:$E$38,MAX(1,MIN(IFERROR(MATCH(AF73,Tables!$E$17:$E$38,1),1),ROWS(Tables!$E$17:$E$38)-1))+1)-INDEX(Tables!$E$17:$E$38,MAX(1,MIN(IFERROR(MATCH(AF73,Tables!$E$17:$E$38,1),1),ROWS(Tables!$E$17:$E$38)-1))))),(INDEX(Tables!$H$17:$H$38,MAX(1,MIN(IFERROR(MATCH(AF73,Tables!$G$17:$G$38,1),1),ROWS(Tables!$G$17:$G$38)-1)))+(AF73-INDEX(Tables!$G$17:$G$38,MAX(1,MIN(IFERROR(MATCH(AF73,Tables!$G$17:$G$38,1),1),ROWS(Tables!$G$17:$G$38)-1))))*(INDEX(Tables!$H$17:$H$38,MAX(1,MIN(IFERROR(MATCH(AF73,Tables!$G$17:$G$38,1),1),ROWS(Tables!$G$17:$G$38)-1))+1)-INDEX(Tables!$H$17:$H$38,MAX(1,MIN(IFERROR(MATCH(AF73,Tables!$G$17:$G$38,1),1),ROWS(Tables!$G$17:$G$38)-1))))/(INDEX(Tables!$G$17:$G$38,MAX(1,MIN(IFERROR(MATCH(AF73,Tables!$G$17:$G$38,1),1),ROWS(Tables!$G$17:$G$38)-1))+1)-INDEX(Tables!$G$17:$G$38,MAX(1,MIN(IFERROR(MATCH(AF73,Tables!$G$17:$G$38,1),1),ROWS(Tables!$G$17:$G$38)-1))))))))</f>
        <v>88</v>
      </c>
      <c r="AL73" s="181">
        <f>IF(AC73&lt;1000,(INDEX(Tables!$B$43:$B$76,MAX(1,MIN(IFERROR(MATCH(AG73,Tables!$A$43:$A$76,1),1),ROWS(Tables!$A$43:$A$76)-1)))+(AG73-INDEX(Tables!$A$43:$A$76,MAX(1,MIN(IFERROR(MATCH(AG73,Tables!$A$43:$A$76,1),1),ROWS(Tables!$A$43:$A$76)-1))))*(INDEX(Tables!$B$43:$B$76,MAX(1,MIN(IFERROR(MATCH(AG73,Tables!$A$43:$A$76,1),1),ROWS(Tables!$A$43:$A$76)-1))+1)-INDEX(Tables!$B$43:$B$76,MAX(1,MIN(IFERROR(MATCH(AG73,Tables!$A$43:$A$76,1),1),ROWS(Tables!$A$43:$A$76)-1))))/(INDEX(Tables!$A$43:$A$76,MAX(1,MIN(IFERROR(MATCH(AG73,Tables!$A$43:$A$76,1),1),ROWS(Tables!$A$43:$A$76)-1))+1)-INDEX(Tables!$A$43:$A$76,MAX(1,MIN(IFERROR(MATCH(AG73,Tables!$A$43:$A$76,1),1),ROWS(Tables!$A$43:$A$76)-1))))),(INDEX(Tables!$D$43:$D$76,MAX(1,MIN(IFERROR(MATCH(AG73,Tables!$C$43:$C$76,1),1),ROWS(Tables!$C$43:$C$76)-1)))+(AG73-INDEX(Tables!$C$43:$C$76,MAX(1,MIN(IFERROR(MATCH(AG73,Tables!$C$43:$C$76,1),1),ROWS(Tables!$C$43:$C$76)-1))))*(INDEX(Tables!$D$43:$D$76,MAX(1,MIN(IFERROR(MATCH(AG73,Tables!$C$43:$C$76,1),1),ROWS(Tables!$C$43:$C$76)-1))+1)-INDEX(Tables!$D$43:$D$76,MAX(1,MIN(IFERROR(MATCH(AG73,Tables!$C$43:$C$76,1),1),ROWS(Tables!$C$43:$C$76)-1))))/(INDEX(Tables!$C$43:$C$76,MAX(1,MIN(IFERROR(MATCH(AG73,Tables!$C$43:$C$76,1),1),ROWS(Tables!$C$43:$C$76)-1))+1)-INDEX(Tables!$C$43:$C$76,MAX(1,MIN(IFERROR(MATCH(AG73,Tables!$C$43:$C$76,1),1),ROWS(Tables!$C$43:$C$76)-1))))))</f>
        <v>0.89796470588235289</v>
      </c>
      <c r="AM73" s="181">
        <f>(INDEX(Tables!$B$80:$B$87,MAX(1,MIN(IFERROR(MATCH(AH73,Tables!$A$80:$A$87,1),1),ROWS(Tables!$A$80:$A$87)-1)))+(AH73-INDEX(Tables!$A$80:$A$87,MAX(1,MIN(IFERROR(MATCH(AH73,Tables!$A$80:$A$87,1),1),ROWS(Tables!$A$80:$A$87)-1))))*(INDEX(Tables!$B$80:$B$87,MAX(1,MIN(IFERROR(MATCH(AH73,Tables!$A$80:$A$87,1),1),ROWS(Tables!$A$80:$A$87)-1))+1)-INDEX(Tables!$B$80:$B$87,MAX(1,MIN(IFERROR(MATCH(AH73,Tables!$A$80:$A$87,1),1),ROWS(Tables!$A$80:$A$87)-1))))/(INDEX(Tables!$A$80:$A$87,MAX(1,MIN(IFERROR(MATCH(AH73,Tables!$A$80:$A$87,1),1),ROWS(Tables!$A$80:$A$87)-1))+1)-INDEX(Tables!$A$80:$A$87,MAX(1,MIN(IFERROR(MATCH(AH73,Tables!$A$80:$A$87,1),1),ROWS(Tables!$A$80:$A$87)-1)))))</f>
        <v>1.2567086956521738</v>
      </c>
      <c r="AN73" s="181">
        <f t="shared" si="71"/>
        <v>59.480302860539219</v>
      </c>
      <c r="AO73" s="181">
        <f>(INDEX(Tables!$B$91:$B$94,MAX(1,MIN(IFERROR(MATCH(P73,Tables!$A$91:$A$94,1),1),ROWS(Tables!$A$91:$A$94)-1)))+(P73-INDEX(Tables!$A$91:$A$94,MAX(1,MIN(IFERROR(MATCH(P73,Tables!$A$91:$A$94,1),1),ROWS(Tables!$A$91:$A$94)-1))))*(INDEX(Tables!$B$91:$B$94,MAX(1,MIN(IFERROR(MATCH(P73,Tables!$A$91:$A$94,1),1),ROWS(Tables!$A$91:$A$94)-1))+1)-INDEX(Tables!$B$91:$B$94,MAX(1,MIN(IFERROR(MATCH(P73,Tables!$A$91:$A$94,1),1),ROWS(Tables!$A$91:$A$94)-1))))/(INDEX(Tables!$A$91:$A$94,MAX(1,MIN(IFERROR(MATCH(P73,Tables!$A$91:$A$94,1),1),ROWS(Tables!$A$91:$A$94)-1))+1)-INDEX(Tables!$A$91:$A$94,MAX(1,MIN(IFERROR(MATCH(P73,Tables!$A$91:$A$94,1),1),ROWS(Tables!$A$91:$A$94)-1)))))</f>
        <v>1.5</v>
      </c>
      <c r="AP73" s="181">
        <f>IF(AD73=5000,(INDEX(Tables!$B$99:$B$118,MAX(1,MIN(IFERROR(MATCH(AF73,Tables!$A$99:$A$118,1),1),ROWS(Tables!$A$99:$A$118)-1)))+(AF73-INDEX(Tables!$A$99:$A$118,MAX(1,MIN(IFERROR(MATCH(AF73,Tables!$A$99:$A$118,1),1),ROWS(Tables!$A$99:$A$118)-1))))*(INDEX(Tables!$B$99:$B$118,MAX(1,MIN(IFERROR(MATCH(AF73,Tables!$A$99:$A$118,1),1),ROWS(Tables!$A$99:$A$118)-1))+1)-INDEX(Tables!$B$99:$B$118,MAX(1,MIN(IFERROR(MATCH(AF73,Tables!$A$99:$A$118,1),1),ROWS(Tables!$A$99:$A$118)-1))))/(INDEX(Tables!$A$99:$A$118,MAX(1,MIN(IFERROR(MATCH(AF73,Tables!$A$99:$A$118,1),1),ROWS(Tables!$A$99:$A$118)-1))+1)-INDEX(Tables!$A$99:$A$118,MAX(1,MIN(IFERROR(MATCH(AF73,Tables!$A$99:$A$118,1),1),ROWS(Tables!$A$99:$A$118)-1))))),IF(AD73=10000,(INDEX(Tables!$D$99:$D$118,MAX(1,MIN(IFERROR(MATCH(AF73,Tables!$C$99:$C$118,1),1),ROWS(Tables!$C$99:$C$118)-1)))+(AF73-INDEX(Tables!$C$99:$C$118,MAX(1,MIN(IFERROR(MATCH(AF73,Tables!$C$99:$C$118,1),1),ROWS(Tables!$C$99:$C$118)-1))))*(INDEX(Tables!$D$99:$D$118,MAX(1,MIN(IFERROR(MATCH(AF73,Tables!$C$99:$C$118,1),1),ROWS(Tables!$C$99:$C$118)-1))+1)-INDEX(Tables!$D$99:$D$118,MAX(1,MIN(IFERROR(MATCH(AF73,Tables!$C$99:$C$118,1),1),ROWS(Tables!$C$99:$C$118)-1))))/(INDEX(Tables!$C$99:$C$118,MAX(1,MIN(IFERROR(MATCH(AF73,Tables!$C$99:$C$118,1),1),ROWS(Tables!$C$99:$C$118)-1))+1)-INDEX(Tables!$C$99:$C$118,MAX(1,MIN(IFERROR(MATCH(AF73,Tables!$C$99:$C$118,1),1),ROWS(Tables!$C$99:$C$118)-1))))),(INDEX(Tables!$F$99:$F$118,MAX(1,MIN(IFERROR(MATCH(AF73,Tables!$E$99:$E$118,1),1),ROWS(Tables!$E$99:$E$118)-1)))+(AF73-INDEX(Tables!$E$99:$E$118,MAX(1,MIN(IFERROR(MATCH(AF73,Tables!$E$99:$E$118,1),1),ROWS(Tables!$E$99:$E$118)-1))))*(INDEX(Tables!$F$99:$F$118,MAX(1,MIN(IFERROR(MATCH(AF73,Tables!$E$99:$E$118,1),1),ROWS(Tables!$E$99:$E$118)-1))+1)-INDEX(Tables!$F$99:$F$118,MAX(1,MIN(IFERROR(MATCH(AF73,Tables!$E$99:$E$118,1),1),ROWS(Tables!$E$99:$E$118)-1))))/(INDEX(Tables!$E$99:$E$118,MAX(1,MIN(IFERROR(MATCH(AF73,Tables!$E$99:$E$118,1),1),ROWS(Tables!$E$99:$E$118)-1))+1)-INDEX(Tables!$E$99:$E$118,MAX(1,MIN(IFERROR(MATCH(AF73,Tables!$E$99:$E$118,1),1),ROWS(Tables!$E$99:$E$118)-1)))))))</f>
        <v>1.605</v>
      </c>
      <c r="AQ73" s="181">
        <f>IF(P73&lt;6,(INDEX(Tables!$B$123:$B$138,MAX(1,MIN(IFERROR(MATCH(U73,Tables!$A$123:$A$138,1),1),ROWS(Tables!$A$123:$A$138)-1)))+(U73-INDEX(Tables!$A$123:$A$138,MAX(1,MIN(IFERROR(MATCH(U73,Tables!$A$123:$A$138,1),1),ROWS(Tables!$A$123:$A$138)-1))))*(INDEX(Tables!$B$123:$B$138,MAX(1,MIN(IFERROR(MATCH(U73,Tables!$A$123:$A$138,1),1),ROWS(Tables!$A$123:$A$138)-1))+1)-INDEX(Tables!$B$123:$B$138,MAX(1,MIN(IFERROR(MATCH(U73,Tables!$A$123:$A$138,1),1),ROWS(Tables!$A$123:$A$138)-1))))/(INDEX(Tables!$A$123:$A$138,MAX(1,MIN(IFERROR(MATCH(U73,Tables!$A$123:$A$138,1),1),ROWS(Tables!$A$123:$A$138)-1))+1)-INDEX(Tables!$A$123:$A$138,MAX(1,MIN(IFERROR(MATCH(U73,Tables!$A$123:$A$138,1),1),ROWS(Tables!$A$123:$A$138)-1))))),IF(P73&lt;8,(INDEX(Tables!$D$123:$D$138,MAX(1,MIN(IFERROR(MATCH(U73,Tables!$C$123:$C$138,1),1),ROWS(Tables!$C$123:$C$138)-1)))+(U73-INDEX(Tables!$C$123:$C$138,MAX(1,MIN(IFERROR(MATCH(U73,Tables!$C$123:$C$138,1),1),ROWS(Tables!$C$123:$C$138)-1))))*(INDEX(Tables!$D$123:$D$138,MAX(1,MIN(IFERROR(MATCH(U73,Tables!$C$123:$C$138,1),1),ROWS(Tables!$C$123:$C$138)-1))+1)-INDEX(Tables!$D$123:$D$138,MAX(1,MIN(IFERROR(MATCH(U73,Tables!$C$123:$C$138,1),1),ROWS(Tables!$C$123:$C$138)-1))))/(INDEX(Tables!$C$123:$C$138,MAX(1,MIN(IFERROR(MATCH(U73,Tables!$C$123:$C$138,1),1),ROWS(Tables!$C$123:$C$138)-1))+1)-INDEX(Tables!$C$123:$C$138,MAX(1,MIN(IFERROR(MATCH(U73,Tables!$C$123:$C$138,1),1),ROWS(Tables!$C$123:$C$138)-1))))),IF(P73&lt;10,(INDEX(Tables!$F$123:$F$138,MAX(1,MIN(IFERROR(MATCH(U73,Tables!$E$123:$E$138,1),1),ROWS(Tables!$E$123:$E$138)-1)))+(U73-INDEX(Tables!$E$123:$E$138,MAX(1,MIN(IFERROR(MATCH(U73,Tables!$E$123:$E$138,1),1),ROWS(Tables!$E$123:$E$138)-1))))*(INDEX(Tables!$F$123:$F$138,MAX(1,MIN(IFERROR(MATCH(U73,Tables!$E$123:$E$138,1),1),ROWS(Tables!$E$123:$E$138)-1))+1)-INDEX(Tables!$F$123:$F$138,MAX(1,MIN(IFERROR(MATCH(U73,Tables!$E$123:$E$138,1),1),ROWS(Tables!$E$123:$E$138)-1))))/(INDEX(Tables!$E$123:$E$138,MAX(1,MIN(IFERROR(MATCH(U73,Tables!$E$123:$E$138,1),1),ROWS(Tables!$E$123:$E$138)-1))+1)-INDEX(Tables!$E$123:$E$138,MAX(1,MIN(IFERROR(MATCH(U73,Tables!$E$123:$E$138,1),1),ROWS(Tables!$E$123:$E$138)-1))))),(INDEX(Tables!$H$123:$H$138,MAX(1,MIN(IFERROR(MATCH(U73,Tables!$G$123:$G$138,1),1),ROWS(Tables!$G$123:$G$138)-1)))+(U73-INDEX(Tables!$G$123:$G$138,MAX(1,MIN(IFERROR(MATCH(U73,Tables!$G$123:$G$138,1),1),ROWS(Tables!$G$123:$G$138)-1))))*(INDEX(Tables!$H$123:$H$138,MAX(1,MIN(IFERROR(MATCH(U73,Tables!$G$123:$G$138,1),1),ROWS(Tables!$G$123:$G$138)-1))+1)-INDEX(Tables!$H$123:$H$138,MAX(1,MIN(IFERROR(MATCH(U73,Tables!$G$123:$G$138,1),1),ROWS(Tables!$G$123:$G$138)-1))))/(INDEX(Tables!$G$123:$G$138,MAX(1,MIN(IFERROR(MATCH(U73,Tables!$G$123:$G$138,1),1),ROWS(Tables!$G$123:$G$138)-1))+1)-INDEX(Tables!$G$123:$G$138,MAX(1,MIN(IFERROR(MATCH(U73,Tables!$G$123:$G$138,1),1),ROWS(Tables!$G$123:$G$138)-1))))))))</f>
        <v>1.389875</v>
      </c>
      <c r="AR73" s="181">
        <f>IF(OR(P73&gt;=4,U73&gt;12),VLOOKUP(R73&amp;" "&amp;S73,Tables!$D$143:$F$148,2,FALSE),VLOOKUP(R73&amp;" "&amp;S73,Tables!$A$143:$C$148,2,FALSE))</f>
        <v>0.9</v>
      </c>
      <c r="AS73" s="181">
        <f>IF(OR(P73&gt;=4,U73&gt;12),VLOOKUP(R73&amp;" "&amp;S73,Tables!$D$143:$F$148,3,FALSE),VLOOKUP(R73&amp;" "&amp;S73,Tables!$A$143:$C$148,3,FALSE))</f>
        <v>0.65</v>
      </c>
      <c r="AT73" s="181">
        <f t="shared" si="72"/>
        <v>163.12354804687502</v>
      </c>
      <c r="AU73" s="181">
        <f>IF(AD73=5000,(INDEX(Tables!$B$244:$B$263,MAX(1,MIN(IFERROR(MATCH(AF73,Tables!$A$244:$A$263,1),1),ROWS(Tables!$A$244:$A$263)-1)))+(AF73-INDEX(Tables!$A$244:$A$263,MAX(1,MIN(IFERROR(MATCH(AF73,Tables!$A$244:$A$263,1),1),ROWS(Tables!$A$244:$A$263)-1))))*(INDEX(Tables!$B$244:$B$263,MAX(1,MIN(IFERROR(MATCH(AF73,Tables!$A$244:$A$263,1),1),ROWS(Tables!$A$244:$A$263)-1))+1)-INDEX(Tables!$B$244:$B$263,MAX(1,MIN(IFERROR(MATCH(AF73,Tables!$A$244:$A$263,1),1),ROWS(Tables!$A$244:$A$263)-1))))/(INDEX(Tables!$A$244:$A$263,MAX(1,MIN(IFERROR(MATCH(AF73,Tables!$A$244:$A$263,1),1),ROWS(Tables!$A$244:$A$263)-1))+1)-INDEX(Tables!$A$244:$A$263,MAX(1,MIN(IFERROR(MATCH(AF73,Tables!$A$244:$A$263,1),1),ROWS(Tables!$A$244:$A$263)-1))))),IF(AD73=10000,(INDEX(Tables!$D$244:$D$263,MAX(1,MIN(IFERROR(MATCH(AF73,Tables!$C$244:$C$263,1),1),ROWS(Tables!$C$244:$C$263)-1)))+(AF73-INDEX(Tables!$C$244:$C$263,MAX(1,MIN(IFERROR(MATCH(AF73,Tables!$C$244:$C$263,1),1),ROWS(Tables!$C$244:$C$263)-1))))*(INDEX(Tables!$D$244:$D$263,MAX(1,MIN(IFERROR(MATCH(AF73,Tables!$C$244:$C$263,1),1),ROWS(Tables!$C$244:$C$263)-1))+1)-INDEX(Tables!$D$244:$D$263,MAX(1,MIN(IFERROR(MATCH(AF73,Tables!$C$244:$C$263,1),1),ROWS(Tables!$C$244:$C$263)-1))))/(INDEX(Tables!$C$244:$C$263,MAX(1,MIN(IFERROR(MATCH(AF73,Tables!$C$244:$C$263,1),1),ROWS(Tables!$C$244:$C$263)-1))+1)-INDEX(Tables!$C$244:$C$263,MAX(1,MIN(IFERROR(MATCH(AF73,Tables!$C$244:$C$263,1),1),ROWS(Tables!$C$244:$C$263)-1))))),(INDEX(Tables!$F$244:$F$263,MAX(1,MIN(IFERROR(MATCH(AF73,Tables!$E$244:$E$263,1),1),ROWS(Tables!$E$244:$E$263)-1)))+(AF73-INDEX(Tables!$E$244:$E$263,MAX(1,MIN(IFERROR(MATCH(AF73,Tables!$E$244:$E$263,1),1),ROWS(Tables!$E$244:$E$263)-1))))*(INDEX(Tables!$F$244:$F$263,MAX(1,MIN(IFERROR(MATCH(AF73,Tables!$E$244:$E$263,1),1),ROWS(Tables!$E$244:$E$263)-1))+1)-INDEX(Tables!$F$244:$F$263,MAX(1,MIN(IFERROR(MATCH(AF73,Tables!$E$244:$E$263,1),1),ROWS(Tables!$E$244:$E$263)-1))))/(INDEX(Tables!$E$244:$E$263,MAX(1,MIN(IFERROR(MATCH(AF73,Tables!$E$244:$E$263,1),1),ROWS(Tables!$E$244:$E$263)-1))+1)-INDEX(Tables!$E$244:$E$263,MAX(1,MIN(IFERROR(MATCH(AF73,Tables!$E$244:$E$263,1),1),ROWS(Tables!$E$244:$E$263)-1)))))))</f>
        <v>2.5920000000000001</v>
      </c>
      <c r="AV73" s="181">
        <f>IF(P73&lt;6,(INDEX(Tables!$B$260:$B$274,MAX(1,MIN(IFERROR(MATCH(U73,Tables!$A$260:$A$274,1),1),ROWS(Tables!$A$260:$A$274)-1)))+(U73-INDEX(Tables!$A$260:$A$274,MAX(1,MIN(IFERROR(MATCH(U73,Tables!$A$260:$A$274,1),1),ROWS(Tables!$A$260:$A$274)-1))))*(INDEX(Tables!$B$260:$B$274,MAX(1,MIN(IFERROR(MATCH(U73,Tables!$A$260:$A$274,1),1),ROWS(Tables!$A$260:$A$274)-1))+1)-INDEX(Tables!$B$260:$B$274,MAX(1,MIN(IFERROR(MATCH(U73,Tables!$A$260:$A$274,1),1),ROWS(Tables!$A$260:$A$274)-1))))/(INDEX(Tables!$A$260:$A$274,MAX(1,MIN(IFERROR(MATCH(U73,Tables!$A$260:$A$274,1),1),ROWS(Tables!$A$260:$A$274)-1))+1)-INDEX(Tables!$A$260:$A$274,MAX(1,MIN(IFERROR(MATCH(U73,Tables!$A$260:$A$274,1),1),ROWS(Tables!$A$260:$A$274)-1))))),IF(P73&lt;8,(INDEX(Tables!$D$260:$D$274,MAX(1,MIN(IFERROR(MATCH(U73,Tables!$C$260:$C$274,1),1),ROWS(Tables!$C$260:$C$274)-1)))+(U73-INDEX(Tables!$C$260:$C$274,MAX(1,MIN(IFERROR(MATCH(U73,Tables!$C$260:$C$274,1),1),ROWS(Tables!$C$260:$C$274)-1))))*(INDEX(Tables!$D$260:$D$274,MAX(1,MIN(IFERROR(MATCH(U73,Tables!$C$260:$C$274,1),1),ROWS(Tables!$C$260:$C$274)-1))+1)-INDEX(Tables!$D$260:$D$274,MAX(1,MIN(IFERROR(MATCH(U73,Tables!$C$260:$C$274,1),1),ROWS(Tables!$C$260:$C$274)-1))))/(INDEX(Tables!$C$260:$C$274,MAX(1,MIN(IFERROR(MATCH(U73,Tables!$C$260:$C$274,1),1),ROWS(Tables!$C$260:$C$274)-1))+1)-INDEX(Tables!$C$260:$C$274,MAX(1,MIN(IFERROR(MATCH(U73,Tables!$C$260:$C$274,1),1),ROWS(Tables!$C$260:$C$274)-1))))),IF(P73&lt;10,(INDEX(Tables!$F$260:$F$274,MAX(1,MIN(IFERROR(MATCH(U73,Tables!$E$260:$E$274,1),1),ROWS(Tables!$E$260:$E$274)-1)))+(U73-INDEX(Tables!$E$260:$E$274,MAX(1,MIN(IFERROR(MATCH(U73,Tables!$E$260:$E$274,1),1),ROWS(Tables!$E$260:$E$274)-1))))*(INDEX(Tables!$F$260:$F$274,MAX(1,MIN(IFERROR(MATCH(U73,Tables!$E$260:$E$274,1),1),ROWS(Tables!$E$260:$E$274)-1))+1)-INDEX(Tables!$F$260:$F$274,MAX(1,MIN(IFERROR(MATCH(U73,Tables!$E$260:$E$274,1),1),ROWS(Tables!$E$260:$E$274)-1))))/(INDEX(Tables!$E$260:$E$274,MAX(1,MIN(IFERROR(MATCH(U73,Tables!$E$260:$E$274,1),1),ROWS(Tables!$E$260:$E$274)-1))+1)-INDEX(Tables!$E$260:$E$274,MAX(1,MIN(IFERROR(MATCH(U73,Tables!$E$260:$E$274,1),1),ROWS(Tables!$E$260:$E$274)-1))))),(INDEX(Tables!$H$260:$H$274,MAX(1,MIN(IFERROR(MATCH(U73,Tables!$G$260:$G$274,1),1),ROWS(Tables!$G$260:$G$274)-1)))+(U73-INDEX(Tables!$G$260:$G$274,MAX(1,MIN(IFERROR(MATCH(U73,Tables!$G$260:$G$274,1),1),ROWS(Tables!$G$260:$G$274)-1))))*(INDEX(Tables!$H$260:$H$274,MAX(1,MIN(IFERROR(MATCH(U73,Tables!$G$260:$G$274,1),1),ROWS(Tables!$G$260:$G$274)-1))+1)-INDEX(Tables!$H$260:$H$274,MAX(1,MIN(IFERROR(MATCH(U73,Tables!$G$260:$G$274,1),1),ROWS(Tables!$G$260:$G$274)-1))))/(INDEX(Tables!$G$260:$G$274,MAX(1,MIN(IFERROR(MATCH(U73,Tables!$G$260:$G$274,1),1),ROWS(Tables!$G$260:$G$274)-1))+1)-INDEX(Tables!$G$260:$G$274,MAX(1,MIN(IFERROR(MATCH(U73,Tables!$G$260:$G$274,1),1),ROWS(Tables!$G$260:$G$274)-1))))))))</f>
        <v>1.3123750000000001</v>
      </c>
      <c r="AW73" s="181">
        <f t="shared" si="73"/>
        <v>248.74755750000003</v>
      </c>
      <c r="AX73" s="181">
        <f t="shared" si="74"/>
        <v>25559.602649006622</v>
      </c>
      <c r="AY73" s="181">
        <f t="shared" si="75"/>
        <v>25782.206499914035</v>
      </c>
      <c r="AZ73" s="181">
        <f t="shared" si="76"/>
        <v>7934.4724430601473</v>
      </c>
      <c r="BA73" s="181">
        <f t="shared" si="77"/>
        <v>-6000</v>
      </c>
      <c r="BB73" s="181">
        <f t="shared" si="78"/>
        <v>27593.656727894573</v>
      </c>
      <c r="BC73" s="181">
        <f t="shared" si="79"/>
        <v>46800</v>
      </c>
      <c r="BD73" s="181">
        <f>VLOOKUP(V73&amp;" "&amp;J73,Tables!$A$152:$E$239,4,FALSE)</f>
        <v>12000</v>
      </c>
      <c r="BE73" s="181">
        <f>VLOOKUP(V73&amp;" "&amp;J73,Tables!$A$152:$E$239,5,FALSE)</f>
        <v>23000</v>
      </c>
      <c r="BF73" s="181">
        <f t="shared" si="80"/>
        <v>8640</v>
      </c>
      <c r="BG73" s="181">
        <f t="shared" si="81"/>
        <v>16560</v>
      </c>
      <c r="BH73" s="181">
        <f t="shared" si="82"/>
        <v>28559.602649006622</v>
      </c>
      <c r="BI73" s="181">
        <f t="shared" si="83"/>
        <v>46800</v>
      </c>
      <c r="BJ73" s="181">
        <f t="shared" si="84"/>
        <v>27593.656727894573</v>
      </c>
      <c r="BK73" s="181">
        <f t="shared" si="85"/>
        <v>46800</v>
      </c>
      <c r="BL73" s="181">
        <f t="shared" si="86"/>
        <v>248.74755750000003</v>
      </c>
      <c r="BM73" s="181">
        <f t="shared" si="87"/>
        <v>8640</v>
      </c>
      <c r="BN73" s="181">
        <f t="shared" si="88"/>
        <v>163.12354804687502</v>
      </c>
      <c r="BO73" s="181">
        <f t="shared" si="89"/>
        <v>16560</v>
      </c>
      <c r="BP73" t="str">
        <f t="shared" si="90"/>
        <v>Pass</v>
      </c>
      <c r="BQ73" t="str">
        <f t="shared" si="91"/>
        <v>Pass</v>
      </c>
      <c r="BR73" t="str">
        <f t="shared" si="92"/>
        <v>Pass</v>
      </c>
      <c r="BS73" t="str">
        <f t="shared" si="93"/>
        <v>Pass</v>
      </c>
      <c r="BT73" t="str">
        <f t="shared" si="94"/>
        <v>Pass</v>
      </c>
      <c r="BU73" t="str">
        <f t="shared" si="95"/>
        <v>Barlow Stress</v>
      </c>
    </row>
    <row r="74" spans="1:73">
      <c r="A74" t="s">
        <v>666</v>
      </c>
      <c r="B74" s="181">
        <v>72</v>
      </c>
      <c r="C74" t="s">
        <v>594</v>
      </c>
      <c r="D74" s="181">
        <v>12</v>
      </c>
      <c r="E74" s="181">
        <v>1.3120000000000001</v>
      </c>
      <c r="F74" t="s">
        <v>117</v>
      </c>
      <c r="G74" t="s">
        <v>119</v>
      </c>
      <c r="H74" t="s">
        <v>122</v>
      </c>
      <c r="I74" s="181">
        <v>1</v>
      </c>
      <c r="J74" t="s">
        <v>126</v>
      </c>
      <c r="K74" t="s">
        <v>129</v>
      </c>
      <c r="L74" s="181">
        <v>70</v>
      </c>
      <c r="M74" s="181">
        <v>-14.73</v>
      </c>
      <c r="N74" t="s">
        <v>141</v>
      </c>
      <c r="O74" s="181">
        <v>120</v>
      </c>
      <c r="P74" s="181">
        <v>6</v>
      </c>
      <c r="Q74" s="181">
        <v>14.75</v>
      </c>
      <c r="R74" t="s">
        <v>418</v>
      </c>
      <c r="S74" t="s">
        <v>420</v>
      </c>
      <c r="T74" s="181">
        <v>70</v>
      </c>
      <c r="U74" s="181">
        <f>HLOOKUP(D74,'Highway Loading'!$C$155:$AD$156,2,FALSE)</f>
        <v>12.75</v>
      </c>
      <c r="V74" s="181">
        <f>IF(ISBLANK(G74),"",INDEX('Highway Loading'!$C$216:$AG$216,1,MATCH(G74,'Highway Loading'!$C$215:$AG$215,0)))</f>
        <v>65000</v>
      </c>
      <c r="W74" s="181">
        <f>INDEX('Highway Loading'!$I$245:$L$253,MATCH(H74,'Highway Loading'!$H$245:$H$253,0),MATCH(I74,'Highway Loading'!$I$244:$L$244,0))</f>
        <v>0.72</v>
      </c>
      <c r="X74" s="181">
        <f t="shared" si="64"/>
        <v>1</v>
      </c>
      <c r="Y74" s="181">
        <f>VLOOKUP(K74,'Highway Loading'!$B$283:$E$292,2,FALSE)</f>
        <v>29000000</v>
      </c>
      <c r="Z74" s="181">
        <f>VLOOKUP(K74,'Highway Loading'!$B$283:$E$292,3,FALSE)</f>
        <v>0.3</v>
      </c>
      <c r="AA74" s="181">
        <f>VLOOKUP(K74,'Highway Loading'!$B$283:$E$292,4,FALSE)</f>
        <v>6.4999999999999996E-6</v>
      </c>
      <c r="AB74" s="181">
        <f t="shared" si="65"/>
        <v>1</v>
      </c>
      <c r="AC74" s="181">
        <f>VLOOKUP(N74,'Highway Loading'!$B$256:$D$261,2,FALSE)</f>
        <v>500</v>
      </c>
      <c r="AD74" s="181">
        <f>VLOOKUP(N74,'Highway Loading'!$B$256:$D$261,3,FALSE)</f>
        <v>10000</v>
      </c>
      <c r="AE74" s="181">
        <f>VLOOKUP(S74,'Highway Loading'!$B$340:$C$341,2,FALSE)</f>
        <v>12000</v>
      </c>
      <c r="AF74" s="181">
        <f t="shared" si="66"/>
        <v>0.10290196078431373</v>
      </c>
      <c r="AG74" s="181">
        <f t="shared" si="67"/>
        <v>4.8813559322033901</v>
      </c>
      <c r="AH74" s="181">
        <f t="shared" si="68"/>
        <v>1.1568627450980393</v>
      </c>
      <c r="AI74" s="181">
        <f t="shared" si="69"/>
        <v>-71.572980182926827</v>
      </c>
      <c r="AJ74" s="181">
        <f t="shared" si="70"/>
        <v>46800</v>
      </c>
      <c r="AK74" s="181">
        <f>IF(AC74=200,(INDEX(Tables!$B$17:$B$38,MAX(1,MIN(IFERROR(MATCH(AF74,Tables!$A$17:$A$38,1),1),ROWS(Tables!$A$17:$A$38)-1)))+(AF74-INDEX(Tables!$A$17:$A$38,MAX(1,MIN(IFERROR(MATCH(AF74,Tables!$A$17:$A$38,1),1),ROWS(Tables!$A$17:$A$38)-1))))*(INDEX(Tables!$B$17:$B$38,MAX(1,MIN(IFERROR(MATCH(AF74,Tables!$A$17:$A$38,1),1),ROWS(Tables!$A$17:$A$38)-1))+1)-INDEX(Tables!$B$17:$B$38,MAX(1,MIN(IFERROR(MATCH(AF74,Tables!$A$17:$A$38,1),1),ROWS(Tables!$A$17:$A$38)-1))))/(INDEX(Tables!$A$17:$A$38,MAX(1,MIN(IFERROR(MATCH(AF74,Tables!$A$17:$A$38,1),1),ROWS(Tables!$A$17:$A$38)-1))+1)-INDEX(Tables!$A$17:$A$38,MAX(1,MIN(IFERROR(MATCH(AF74,Tables!$A$17:$A$38,1),1),ROWS(Tables!$A$17:$A$38)-1))))),IF(AC74=500,(INDEX(Tables!$D$17:$D$38,MAX(1,MIN(IFERROR(MATCH(AF74,Tables!$C$17:$C$38,1),1),ROWS(Tables!$C$17:$C$38)-1)))+(AF74-INDEX(Tables!$C$17:$C$38,MAX(1,MIN(IFERROR(MATCH(AF74,Tables!$C$17:$C$38,1),1),ROWS(Tables!$C$17:$C$38)-1))))*(INDEX(Tables!$D$17:$D$38,MAX(1,MIN(IFERROR(MATCH(AF74,Tables!$C$17:$C$38,1),1),ROWS(Tables!$C$17:$C$38)-1))+1)-INDEX(Tables!$D$17:$D$38,MAX(1,MIN(IFERROR(MATCH(AF74,Tables!$C$17:$C$38,1),1),ROWS(Tables!$C$17:$C$38)-1))))/(INDEX(Tables!$C$17:$C$38,MAX(1,MIN(IFERROR(MATCH(AF74,Tables!$C$17:$C$38,1),1),ROWS(Tables!$C$17:$C$38)-1))+1)-INDEX(Tables!$C$17:$C$38,MAX(1,MIN(IFERROR(MATCH(AF74,Tables!$C$17:$C$38,1),1),ROWS(Tables!$C$17:$C$38)-1))))),IF(AC74=1000,(INDEX(Tables!$F$17:$F$38,MAX(1,MIN(IFERROR(MATCH(AF74,Tables!$E$17:$E$38,1),1),ROWS(Tables!$E$17:$E$38)-1)))+(AF74-INDEX(Tables!$E$17:$E$38,MAX(1,MIN(IFERROR(MATCH(AF74,Tables!$E$17:$E$38,1),1),ROWS(Tables!$E$17:$E$38)-1))))*(INDEX(Tables!$F$17:$F$38,MAX(1,MIN(IFERROR(MATCH(AF74,Tables!$E$17:$E$38,1),1),ROWS(Tables!$E$17:$E$38)-1))+1)-INDEX(Tables!$F$17:$F$38,MAX(1,MIN(IFERROR(MATCH(AF74,Tables!$E$17:$E$38,1),1),ROWS(Tables!$E$17:$E$38)-1))))/(INDEX(Tables!$E$17:$E$38,MAX(1,MIN(IFERROR(MATCH(AF74,Tables!$E$17:$E$38,1),1),ROWS(Tables!$E$17:$E$38)-1))+1)-INDEX(Tables!$E$17:$E$38,MAX(1,MIN(IFERROR(MATCH(AF74,Tables!$E$17:$E$38,1),1),ROWS(Tables!$E$17:$E$38)-1))))),(INDEX(Tables!$H$17:$H$38,MAX(1,MIN(IFERROR(MATCH(AF74,Tables!$G$17:$G$38,1),1),ROWS(Tables!$G$17:$G$38)-1)))+(AF74-INDEX(Tables!$G$17:$G$38,MAX(1,MIN(IFERROR(MATCH(AF74,Tables!$G$17:$G$38,1),1),ROWS(Tables!$G$17:$G$38)-1))))*(INDEX(Tables!$H$17:$H$38,MAX(1,MIN(IFERROR(MATCH(AF74,Tables!$G$17:$G$38,1),1),ROWS(Tables!$G$17:$G$38)-1))+1)-INDEX(Tables!$H$17:$H$38,MAX(1,MIN(IFERROR(MATCH(AF74,Tables!$G$17:$G$38,1),1),ROWS(Tables!$G$17:$G$38)-1))))/(INDEX(Tables!$G$17:$G$38,MAX(1,MIN(IFERROR(MATCH(AF74,Tables!$G$17:$G$38,1),1),ROWS(Tables!$G$17:$G$38)-1))+1)-INDEX(Tables!$G$17:$G$38,MAX(1,MIN(IFERROR(MATCH(AF74,Tables!$G$17:$G$38,1),1),ROWS(Tables!$G$17:$G$38)-1))))))))</f>
        <v>88</v>
      </c>
      <c r="AL74" s="181">
        <f>IF(AC74&lt;1000,(INDEX(Tables!$B$43:$B$76,MAX(1,MIN(IFERROR(MATCH(AG74,Tables!$A$43:$A$76,1),1),ROWS(Tables!$A$43:$A$76)-1)))+(AG74-INDEX(Tables!$A$43:$A$76,MAX(1,MIN(IFERROR(MATCH(AG74,Tables!$A$43:$A$76,1),1),ROWS(Tables!$A$43:$A$76)-1))))*(INDEX(Tables!$B$43:$B$76,MAX(1,MIN(IFERROR(MATCH(AG74,Tables!$A$43:$A$76,1),1),ROWS(Tables!$A$43:$A$76)-1))+1)-INDEX(Tables!$B$43:$B$76,MAX(1,MIN(IFERROR(MATCH(AG74,Tables!$A$43:$A$76,1),1),ROWS(Tables!$A$43:$A$76)-1))))/(INDEX(Tables!$A$43:$A$76,MAX(1,MIN(IFERROR(MATCH(AG74,Tables!$A$43:$A$76,1),1),ROWS(Tables!$A$43:$A$76)-1))+1)-INDEX(Tables!$A$43:$A$76,MAX(1,MIN(IFERROR(MATCH(AG74,Tables!$A$43:$A$76,1),1),ROWS(Tables!$A$43:$A$76)-1))))),(INDEX(Tables!$D$43:$D$76,MAX(1,MIN(IFERROR(MATCH(AG74,Tables!$C$43:$C$76,1),1),ROWS(Tables!$C$43:$C$76)-1)))+(AG74-INDEX(Tables!$C$43:$C$76,MAX(1,MIN(IFERROR(MATCH(AG74,Tables!$C$43:$C$76,1),1),ROWS(Tables!$C$43:$C$76)-1))))*(INDEX(Tables!$D$43:$D$76,MAX(1,MIN(IFERROR(MATCH(AG74,Tables!$C$43:$C$76,1),1),ROWS(Tables!$C$43:$C$76)-1))+1)-INDEX(Tables!$D$43:$D$76,MAX(1,MIN(IFERROR(MATCH(AG74,Tables!$C$43:$C$76,1),1),ROWS(Tables!$C$43:$C$76)-1))))/(INDEX(Tables!$C$43:$C$76,MAX(1,MIN(IFERROR(MATCH(AG74,Tables!$C$43:$C$76,1),1),ROWS(Tables!$C$43:$C$76)-1))+1)-INDEX(Tables!$C$43:$C$76,MAX(1,MIN(IFERROR(MATCH(AG74,Tables!$C$43:$C$76,1),1),ROWS(Tables!$C$43:$C$76)-1))))))</f>
        <v>1.0658474576271186</v>
      </c>
      <c r="AM74" s="181">
        <f>(INDEX(Tables!$B$80:$B$87,MAX(1,MIN(IFERROR(MATCH(AH74,Tables!$A$80:$A$87,1),1),ROWS(Tables!$A$80:$A$87)-1)))+(AH74-INDEX(Tables!$A$80:$A$87,MAX(1,MIN(IFERROR(MATCH(AH74,Tables!$A$80:$A$87,1),1),ROWS(Tables!$A$80:$A$87)-1))))*(INDEX(Tables!$B$80:$B$87,MAX(1,MIN(IFERROR(MATCH(AH74,Tables!$A$80:$A$87,1),1),ROWS(Tables!$A$80:$A$87)-1))+1)-INDEX(Tables!$B$80:$B$87,MAX(1,MIN(IFERROR(MATCH(AH74,Tables!$A$80:$A$87,1),1),ROWS(Tables!$A$80:$A$87)-1))))/(INDEX(Tables!$A$80:$A$87,MAX(1,MIN(IFERROR(MATCH(AH74,Tables!$A$80:$A$87,1),1),ROWS(Tables!$A$80:$A$87)-1))+1)-INDEX(Tables!$A$80:$A$87,MAX(1,MIN(IFERROR(MATCH(AH74,Tables!$A$80:$A$87,1),1),ROWS(Tables!$A$80:$A$87)-1)))))</f>
        <v>1.1041078431372553</v>
      </c>
      <c r="AN74" s="181">
        <f t="shared" si="71"/>
        <v>91.693154384416232</v>
      </c>
      <c r="AO74" s="181">
        <f>(INDEX(Tables!$B$91:$B$94,MAX(1,MIN(IFERROR(MATCH(P74,Tables!$A$91:$A$94,1),1),ROWS(Tables!$A$91:$A$94)-1)))+(P74-INDEX(Tables!$A$91:$A$94,MAX(1,MIN(IFERROR(MATCH(P74,Tables!$A$91:$A$94,1),1),ROWS(Tables!$A$91:$A$94)-1))))*(INDEX(Tables!$B$91:$B$94,MAX(1,MIN(IFERROR(MATCH(P74,Tables!$A$91:$A$94,1),1),ROWS(Tables!$A$91:$A$94)-1))+1)-INDEX(Tables!$B$91:$B$94,MAX(1,MIN(IFERROR(MATCH(P74,Tables!$A$91:$A$94,1),1),ROWS(Tables!$A$91:$A$94)-1))))/(INDEX(Tables!$A$91:$A$94,MAX(1,MIN(IFERROR(MATCH(P74,Tables!$A$91:$A$94,1),1),ROWS(Tables!$A$91:$A$94)-1))+1)-INDEX(Tables!$A$91:$A$94,MAX(1,MIN(IFERROR(MATCH(P74,Tables!$A$91:$A$94,1),1),ROWS(Tables!$A$91:$A$94)-1)))))</f>
        <v>1.476219512195122</v>
      </c>
      <c r="AP74" s="181">
        <f>IF(AD74=5000,(INDEX(Tables!$B$99:$B$118,MAX(1,MIN(IFERROR(MATCH(AF74,Tables!$A$99:$A$118,1),1),ROWS(Tables!$A$99:$A$118)-1)))+(AF74-INDEX(Tables!$A$99:$A$118,MAX(1,MIN(IFERROR(MATCH(AF74,Tables!$A$99:$A$118,1),1),ROWS(Tables!$A$99:$A$118)-1))))*(INDEX(Tables!$B$99:$B$118,MAX(1,MIN(IFERROR(MATCH(AF74,Tables!$A$99:$A$118,1),1),ROWS(Tables!$A$99:$A$118)-1))+1)-INDEX(Tables!$B$99:$B$118,MAX(1,MIN(IFERROR(MATCH(AF74,Tables!$A$99:$A$118,1),1),ROWS(Tables!$A$99:$A$118)-1))))/(INDEX(Tables!$A$99:$A$118,MAX(1,MIN(IFERROR(MATCH(AF74,Tables!$A$99:$A$118,1),1),ROWS(Tables!$A$99:$A$118)-1))+1)-INDEX(Tables!$A$99:$A$118,MAX(1,MIN(IFERROR(MATCH(AF74,Tables!$A$99:$A$118,1),1),ROWS(Tables!$A$99:$A$118)-1))))),IF(AD74=10000,(INDEX(Tables!$D$99:$D$118,MAX(1,MIN(IFERROR(MATCH(AF74,Tables!$C$99:$C$118,1),1),ROWS(Tables!$C$99:$C$118)-1)))+(AF74-INDEX(Tables!$C$99:$C$118,MAX(1,MIN(IFERROR(MATCH(AF74,Tables!$C$99:$C$118,1),1),ROWS(Tables!$C$99:$C$118)-1))))*(INDEX(Tables!$D$99:$D$118,MAX(1,MIN(IFERROR(MATCH(AF74,Tables!$C$99:$C$118,1),1),ROWS(Tables!$C$99:$C$118)-1))+1)-INDEX(Tables!$D$99:$D$118,MAX(1,MIN(IFERROR(MATCH(AF74,Tables!$C$99:$C$118,1),1),ROWS(Tables!$C$99:$C$118)-1))))/(INDEX(Tables!$C$99:$C$118,MAX(1,MIN(IFERROR(MATCH(AF74,Tables!$C$99:$C$118,1),1),ROWS(Tables!$C$99:$C$118)-1))+1)-INDEX(Tables!$C$99:$C$118,MAX(1,MIN(IFERROR(MATCH(AF74,Tables!$C$99:$C$118,1),1),ROWS(Tables!$C$99:$C$118)-1))))),(INDEX(Tables!$F$99:$F$118,MAX(1,MIN(IFERROR(MATCH(AF74,Tables!$E$99:$E$118,1),1),ROWS(Tables!$E$99:$E$118)-1)))+(AF74-INDEX(Tables!$E$99:$E$118,MAX(1,MIN(IFERROR(MATCH(AF74,Tables!$E$99:$E$118,1),1),ROWS(Tables!$E$99:$E$118)-1))))*(INDEX(Tables!$F$99:$F$118,MAX(1,MIN(IFERROR(MATCH(AF74,Tables!$E$99:$E$118,1),1),ROWS(Tables!$E$99:$E$118)-1))+1)-INDEX(Tables!$F$99:$F$118,MAX(1,MIN(IFERROR(MATCH(AF74,Tables!$E$99:$E$118,1),1),ROWS(Tables!$E$99:$E$118)-1))))/(INDEX(Tables!$E$99:$E$118,MAX(1,MIN(IFERROR(MATCH(AF74,Tables!$E$99:$E$118,1),1),ROWS(Tables!$E$99:$E$118)-1))+1)-INDEX(Tables!$E$99:$E$118,MAX(1,MIN(IFERROR(MATCH(AF74,Tables!$E$99:$E$118,1),1),ROWS(Tables!$E$99:$E$118)-1)))))))</f>
        <v>1.605</v>
      </c>
      <c r="AQ74" s="181">
        <f>IF(P74&lt;6,(INDEX(Tables!$B$123:$B$138,MAX(1,MIN(IFERROR(MATCH(U74,Tables!$A$123:$A$138,1),1),ROWS(Tables!$A$123:$A$138)-1)))+(U74-INDEX(Tables!$A$123:$A$138,MAX(1,MIN(IFERROR(MATCH(U74,Tables!$A$123:$A$138,1),1),ROWS(Tables!$A$123:$A$138)-1))))*(INDEX(Tables!$B$123:$B$138,MAX(1,MIN(IFERROR(MATCH(U74,Tables!$A$123:$A$138,1),1),ROWS(Tables!$A$123:$A$138)-1))+1)-INDEX(Tables!$B$123:$B$138,MAX(1,MIN(IFERROR(MATCH(U74,Tables!$A$123:$A$138,1),1),ROWS(Tables!$A$123:$A$138)-1))))/(INDEX(Tables!$A$123:$A$138,MAX(1,MIN(IFERROR(MATCH(U74,Tables!$A$123:$A$138,1),1),ROWS(Tables!$A$123:$A$138)-1))+1)-INDEX(Tables!$A$123:$A$138,MAX(1,MIN(IFERROR(MATCH(U74,Tables!$A$123:$A$138,1),1),ROWS(Tables!$A$123:$A$138)-1))))),IF(P74&lt;8,(INDEX(Tables!$D$123:$D$138,MAX(1,MIN(IFERROR(MATCH(U74,Tables!$C$123:$C$138,1),1),ROWS(Tables!$C$123:$C$138)-1)))+(U74-INDEX(Tables!$C$123:$C$138,MAX(1,MIN(IFERROR(MATCH(U74,Tables!$C$123:$C$138,1),1),ROWS(Tables!$C$123:$C$138)-1))))*(INDEX(Tables!$D$123:$D$138,MAX(1,MIN(IFERROR(MATCH(U74,Tables!$C$123:$C$138,1),1),ROWS(Tables!$C$123:$C$138)-1))+1)-INDEX(Tables!$D$123:$D$138,MAX(1,MIN(IFERROR(MATCH(U74,Tables!$C$123:$C$138,1),1),ROWS(Tables!$C$123:$C$138)-1))))/(INDEX(Tables!$C$123:$C$138,MAX(1,MIN(IFERROR(MATCH(U74,Tables!$C$123:$C$138,1),1),ROWS(Tables!$C$123:$C$138)-1))+1)-INDEX(Tables!$C$123:$C$138,MAX(1,MIN(IFERROR(MATCH(U74,Tables!$C$123:$C$138,1),1),ROWS(Tables!$C$123:$C$138)-1))))),IF(P74&lt;10,(INDEX(Tables!$F$123:$F$138,MAX(1,MIN(IFERROR(MATCH(U74,Tables!$E$123:$E$138,1),1),ROWS(Tables!$E$123:$E$138)-1)))+(U74-INDEX(Tables!$E$123:$E$138,MAX(1,MIN(IFERROR(MATCH(U74,Tables!$E$123:$E$138,1),1),ROWS(Tables!$E$123:$E$138)-1))))*(INDEX(Tables!$F$123:$F$138,MAX(1,MIN(IFERROR(MATCH(U74,Tables!$E$123:$E$138,1),1),ROWS(Tables!$E$123:$E$138)-1))+1)-INDEX(Tables!$F$123:$F$138,MAX(1,MIN(IFERROR(MATCH(U74,Tables!$E$123:$E$138,1),1),ROWS(Tables!$E$123:$E$138)-1))))/(INDEX(Tables!$E$123:$E$138,MAX(1,MIN(IFERROR(MATCH(U74,Tables!$E$123:$E$138,1),1),ROWS(Tables!$E$123:$E$138)-1))+1)-INDEX(Tables!$E$123:$E$138,MAX(1,MIN(IFERROR(MATCH(U74,Tables!$E$123:$E$138,1),1),ROWS(Tables!$E$123:$E$138)-1))))),(INDEX(Tables!$H$123:$H$138,MAX(1,MIN(IFERROR(MATCH(U74,Tables!$G$123:$G$138,1),1),ROWS(Tables!$G$123:$G$138)-1)))+(U74-INDEX(Tables!$G$123:$G$138,MAX(1,MIN(IFERROR(MATCH(U74,Tables!$G$123:$G$138,1),1),ROWS(Tables!$G$123:$G$138)-1))))*(INDEX(Tables!$H$123:$H$138,MAX(1,MIN(IFERROR(MATCH(U74,Tables!$G$123:$G$138,1),1),ROWS(Tables!$G$123:$G$138)-1))+1)-INDEX(Tables!$H$123:$H$138,MAX(1,MIN(IFERROR(MATCH(U74,Tables!$G$123:$G$138,1),1),ROWS(Tables!$G$123:$G$138)-1))))/(INDEX(Tables!$G$123:$G$138,MAX(1,MIN(IFERROR(MATCH(U74,Tables!$G$123:$G$138,1),1),ROWS(Tables!$G$123:$G$138)-1))+1)-INDEX(Tables!$G$123:$G$138,MAX(1,MIN(IFERROR(MATCH(U74,Tables!$G$123:$G$138,1),1),ROWS(Tables!$G$123:$G$138)-1))))))))</f>
        <v>1.01675</v>
      </c>
      <c r="AR74" s="181">
        <f>IF(OR(P74&gt;=4,U74&gt;12),VLOOKUP(R74&amp;" "&amp;S74,Tables!$D$143:$F$148,2,FALSE),VLOOKUP(R74&amp;" "&amp;S74,Tables!$A$143:$C$148,2,FALSE))</f>
        <v>0.9</v>
      </c>
      <c r="AS74" s="181">
        <f>IF(OR(P74&gt;=4,U74&gt;12),VLOOKUP(R74&amp;" "&amp;S74,Tables!$D$143:$F$148,3,FALSE),VLOOKUP(R74&amp;" "&amp;S74,Tables!$A$143:$C$148,3,FALSE))</f>
        <v>0.65</v>
      </c>
      <c r="AT74" s="181">
        <f t="shared" si="72"/>
        <v>117.43965837747714</v>
      </c>
      <c r="AU74" s="181">
        <f>IF(AD74=5000,(INDEX(Tables!$B$244:$B$263,MAX(1,MIN(IFERROR(MATCH(AF74,Tables!$A$244:$A$263,1),1),ROWS(Tables!$A$244:$A$263)-1)))+(AF74-INDEX(Tables!$A$244:$A$263,MAX(1,MIN(IFERROR(MATCH(AF74,Tables!$A$244:$A$263,1),1),ROWS(Tables!$A$244:$A$263)-1))))*(INDEX(Tables!$B$244:$B$263,MAX(1,MIN(IFERROR(MATCH(AF74,Tables!$A$244:$A$263,1),1),ROWS(Tables!$A$244:$A$263)-1))+1)-INDEX(Tables!$B$244:$B$263,MAX(1,MIN(IFERROR(MATCH(AF74,Tables!$A$244:$A$263,1),1),ROWS(Tables!$A$244:$A$263)-1))))/(INDEX(Tables!$A$244:$A$263,MAX(1,MIN(IFERROR(MATCH(AF74,Tables!$A$244:$A$263,1),1),ROWS(Tables!$A$244:$A$263)-1))+1)-INDEX(Tables!$A$244:$A$263,MAX(1,MIN(IFERROR(MATCH(AF74,Tables!$A$244:$A$263,1),1),ROWS(Tables!$A$244:$A$263)-1))))),IF(AD74=10000,(INDEX(Tables!$D$244:$D$263,MAX(1,MIN(IFERROR(MATCH(AF74,Tables!$C$244:$C$263,1),1),ROWS(Tables!$C$244:$C$263)-1)))+(AF74-INDEX(Tables!$C$244:$C$263,MAX(1,MIN(IFERROR(MATCH(AF74,Tables!$C$244:$C$263,1),1),ROWS(Tables!$C$244:$C$263)-1))))*(INDEX(Tables!$D$244:$D$263,MAX(1,MIN(IFERROR(MATCH(AF74,Tables!$C$244:$C$263,1),1),ROWS(Tables!$C$244:$C$263)-1))+1)-INDEX(Tables!$D$244:$D$263,MAX(1,MIN(IFERROR(MATCH(AF74,Tables!$C$244:$C$263,1),1),ROWS(Tables!$C$244:$C$263)-1))))/(INDEX(Tables!$C$244:$C$263,MAX(1,MIN(IFERROR(MATCH(AF74,Tables!$C$244:$C$263,1),1),ROWS(Tables!$C$244:$C$263)-1))+1)-INDEX(Tables!$C$244:$C$263,MAX(1,MIN(IFERROR(MATCH(AF74,Tables!$C$244:$C$263,1),1),ROWS(Tables!$C$244:$C$263)-1))))),(INDEX(Tables!$F$244:$F$263,MAX(1,MIN(IFERROR(MATCH(AF74,Tables!$E$244:$E$263,1),1),ROWS(Tables!$E$244:$E$263)-1)))+(AF74-INDEX(Tables!$E$244:$E$263,MAX(1,MIN(IFERROR(MATCH(AF74,Tables!$E$244:$E$263,1),1),ROWS(Tables!$E$244:$E$263)-1))))*(INDEX(Tables!$F$244:$F$263,MAX(1,MIN(IFERROR(MATCH(AF74,Tables!$E$244:$E$263,1),1),ROWS(Tables!$E$244:$E$263)-1))+1)-INDEX(Tables!$F$244:$F$263,MAX(1,MIN(IFERROR(MATCH(AF74,Tables!$E$244:$E$263,1),1),ROWS(Tables!$E$244:$E$263)-1))))/(INDEX(Tables!$E$244:$E$263,MAX(1,MIN(IFERROR(MATCH(AF74,Tables!$E$244:$E$263,1),1),ROWS(Tables!$E$244:$E$263)-1))+1)-INDEX(Tables!$E$244:$E$263,MAX(1,MIN(IFERROR(MATCH(AF74,Tables!$E$244:$E$263,1),1),ROWS(Tables!$E$244:$E$263)-1)))))))</f>
        <v>2.5920000000000001</v>
      </c>
      <c r="AV74" s="181">
        <f>IF(P74&lt;6,(INDEX(Tables!$B$260:$B$274,MAX(1,MIN(IFERROR(MATCH(U74,Tables!$A$260:$A$274,1),1),ROWS(Tables!$A$260:$A$274)-1)))+(U74-INDEX(Tables!$A$260:$A$274,MAX(1,MIN(IFERROR(MATCH(U74,Tables!$A$260:$A$274,1),1),ROWS(Tables!$A$260:$A$274)-1))))*(INDEX(Tables!$B$260:$B$274,MAX(1,MIN(IFERROR(MATCH(U74,Tables!$A$260:$A$274,1),1),ROWS(Tables!$A$260:$A$274)-1))+1)-INDEX(Tables!$B$260:$B$274,MAX(1,MIN(IFERROR(MATCH(U74,Tables!$A$260:$A$274,1),1),ROWS(Tables!$A$260:$A$274)-1))))/(INDEX(Tables!$A$260:$A$274,MAX(1,MIN(IFERROR(MATCH(U74,Tables!$A$260:$A$274,1),1),ROWS(Tables!$A$260:$A$274)-1))+1)-INDEX(Tables!$A$260:$A$274,MAX(1,MIN(IFERROR(MATCH(U74,Tables!$A$260:$A$274,1),1),ROWS(Tables!$A$260:$A$274)-1))))),IF(P74&lt;8,(INDEX(Tables!$D$260:$D$274,MAX(1,MIN(IFERROR(MATCH(U74,Tables!$C$260:$C$274,1),1),ROWS(Tables!$C$260:$C$274)-1)))+(U74-INDEX(Tables!$C$260:$C$274,MAX(1,MIN(IFERROR(MATCH(U74,Tables!$C$260:$C$274,1),1),ROWS(Tables!$C$260:$C$274)-1))))*(INDEX(Tables!$D$260:$D$274,MAX(1,MIN(IFERROR(MATCH(U74,Tables!$C$260:$C$274,1),1),ROWS(Tables!$C$260:$C$274)-1))+1)-INDEX(Tables!$D$260:$D$274,MAX(1,MIN(IFERROR(MATCH(U74,Tables!$C$260:$C$274,1),1),ROWS(Tables!$C$260:$C$274)-1))))/(INDEX(Tables!$C$260:$C$274,MAX(1,MIN(IFERROR(MATCH(U74,Tables!$C$260:$C$274,1),1),ROWS(Tables!$C$260:$C$274)-1))+1)-INDEX(Tables!$C$260:$C$274,MAX(1,MIN(IFERROR(MATCH(U74,Tables!$C$260:$C$274,1),1),ROWS(Tables!$C$260:$C$274)-1))))),IF(P74&lt;10,(INDEX(Tables!$F$260:$F$274,MAX(1,MIN(IFERROR(MATCH(U74,Tables!$E$260:$E$274,1),1),ROWS(Tables!$E$260:$E$274)-1)))+(U74-INDEX(Tables!$E$260:$E$274,MAX(1,MIN(IFERROR(MATCH(U74,Tables!$E$260:$E$274,1),1),ROWS(Tables!$E$260:$E$274)-1))))*(INDEX(Tables!$F$260:$F$274,MAX(1,MIN(IFERROR(MATCH(U74,Tables!$E$260:$E$274,1),1),ROWS(Tables!$E$260:$E$274)-1))+1)-INDEX(Tables!$F$260:$F$274,MAX(1,MIN(IFERROR(MATCH(U74,Tables!$E$260:$E$274,1),1),ROWS(Tables!$E$260:$E$274)-1))))/(INDEX(Tables!$E$260:$E$274,MAX(1,MIN(IFERROR(MATCH(U74,Tables!$E$260:$E$274,1),1),ROWS(Tables!$E$260:$E$274)-1))+1)-INDEX(Tables!$E$260:$E$274,MAX(1,MIN(IFERROR(MATCH(U74,Tables!$E$260:$E$274,1),1),ROWS(Tables!$E$260:$E$274)-1))))),(INDEX(Tables!$H$260:$H$274,MAX(1,MIN(IFERROR(MATCH(U74,Tables!$G$260:$G$274,1),1),ROWS(Tables!$G$260:$G$274)-1)))+(U74-INDEX(Tables!$G$260:$G$274,MAX(1,MIN(IFERROR(MATCH(U74,Tables!$G$260:$G$274,1),1),ROWS(Tables!$G$260:$G$274)-1))))*(INDEX(Tables!$H$260:$H$274,MAX(1,MIN(IFERROR(MATCH(U74,Tables!$G$260:$G$274,1),1),ROWS(Tables!$G$260:$G$274)-1))+1)-INDEX(Tables!$H$260:$H$274,MAX(1,MIN(IFERROR(MATCH(U74,Tables!$G$260:$G$274,1),1),ROWS(Tables!$G$260:$G$274)-1))))/(INDEX(Tables!$G$260:$G$274,MAX(1,MIN(IFERROR(MATCH(U74,Tables!$G$260:$G$274,1),1),ROWS(Tables!$G$260:$G$274)-1))+1)-INDEX(Tables!$G$260:$G$274,MAX(1,MIN(IFERROR(MATCH(U74,Tables!$G$260:$G$274,1),1),ROWS(Tables!$G$260:$G$274)-1))))))))</f>
        <v>1.0024999999999999</v>
      </c>
      <c r="AW74" s="181">
        <f t="shared" si="73"/>
        <v>187.00143530487807</v>
      </c>
      <c r="AX74" s="181">
        <f t="shared" si="74"/>
        <v>-64.207980182926832</v>
      </c>
      <c r="AY74" s="181">
        <f t="shared" si="75"/>
        <v>144.92483257896654</v>
      </c>
      <c r="AZ74" s="181">
        <f t="shared" si="76"/>
        <v>195.2469875653249</v>
      </c>
      <c r="BA74" s="181">
        <f t="shared" si="77"/>
        <v>14.73</v>
      </c>
      <c r="BB74" s="181">
        <f t="shared" si="78"/>
        <v>161.35271381727031</v>
      </c>
      <c r="BC74" s="181">
        <f t="shared" si="79"/>
        <v>46800</v>
      </c>
      <c r="BD74" s="181">
        <f>VLOOKUP(V74&amp;" "&amp;J74,Tables!$A$152:$E$239,4,FALSE)</f>
        <v>12000</v>
      </c>
      <c r="BE74" s="181">
        <f>VLOOKUP(V74&amp;" "&amp;J74,Tables!$A$152:$E$239,5,FALSE)</f>
        <v>23000</v>
      </c>
      <c r="BF74" s="181">
        <f t="shared" si="80"/>
        <v>8640</v>
      </c>
      <c r="BG74" s="181">
        <f t="shared" si="81"/>
        <v>16560</v>
      </c>
      <c r="BH74" s="181">
        <f t="shared" si="82"/>
        <v>-71.572980182926827</v>
      </c>
      <c r="BI74" s="181">
        <f t="shared" si="83"/>
        <v>46800</v>
      </c>
      <c r="BJ74" s="181">
        <f t="shared" si="84"/>
        <v>161.35271381727031</v>
      </c>
      <c r="BK74" s="181">
        <f t="shared" si="85"/>
        <v>46800</v>
      </c>
      <c r="BL74" s="181">
        <f t="shared" si="86"/>
        <v>187.00143530487807</v>
      </c>
      <c r="BM74" s="181">
        <f t="shared" si="87"/>
        <v>8640</v>
      </c>
      <c r="BN74" s="181">
        <f t="shared" si="88"/>
        <v>117.43965837747714</v>
      </c>
      <c r="BO74" s="181">
        <f t="shared" si="89"/>
        <v>16560</v>
      </c>
      <c r="BP74" t="str">
        <f t="shared" si="90"/>
        <v>Pass</v>
      </c>
      <c r="BQ74" t="str">
        <f t="shared" si="91"/>
        <v>Pass</v>
      </c>
      <c r="BR74" t="str">
        <f t="shared" si="92"/>
        <v>Pass</v>
      </c>
      <c r="BS74" t="str">
        <f t="shared" si="93"/>
        <v>Pass</v>
      </c>
      <c r="BT74" t="str">
        <f t="shared" si="94"/>
        <v>Pass</v>
      </c>
      <c r="BU74" t="str">
        <f t="shared" si="95"/>
        <v>Girth Weld Stress</v>
      </c>
    </row>
    <row r="75" spans="1:73">
      <c r="A75" t="s">
        <v>667</v>
      </c>
      <c r="B75" s="181">
        <v>73</v>
      </c>
      <c r="C75" t="s">
        <v>594</v>
      </c>
      <c r="D75" s="181">
        <v>16</v>
      </c>
      <c r="E75" s="181">
        <v>1.9690000000000001</v>
      </c>
      <c r="F75" t="s">
        <v>117</v>
      </c>
      <c r="G75" t="s">
        <v>119</v>
      </c>
      <c r="H75" t="s">
        <v>122</v>
      </c>
      <c r="I75" s="181">
        <v>1</v>
      </c>
      <c r="J75" t="s">
        <v>126</v>
      </c>
      <c r="K75" t="s">
        <v>129</v>
      </c>
      <c r="L75" s="181">
        <v>70</v>
      </c>
      <c r="M75" s="181">
        <v>-14.73</v>
      </c>
      <c r="N75" t="s">
        <v>141</v>
      </c>
      <c r="O75" s="181">
        <v>120</v>
      </c>
      <c r="P75" s="181">
        <v>8</v>
      </c>
      <c r="Q75" s="181">
        <v>18</v>
      </c>
      <c r="R75" t="s">
        <v>418</v>
      </c>
      <c r="S75" t="s">
        <v>420</v>
      </c>
      <c r="T75" s="181">
        <v>70</v>
      </c>
      <c r="U75" s="181">
        <f>HLOOKUP(D75,'Highway Loading'!$C$155:$AD$156,2,FALSE)</f>
        <v>16</v>
      </c>
      <c r="V75" s="181">
        <f>IF(ISBLANK(G75),"",INDEX('Highway Loading'!$C$216:$AG$216,1,MATCH(G75,'Highway Loading'!$C$215:$AG$215,0)))</f>
        <v>65000</v>
      </c>
      <c r="W75" s="181">
        <f>INDEX('Highway Loading'!$I$245:$L$253,MATCH(H75,'Highway Loading'!$H$245:$H$253,0),MATCH(I75,'Highway Loading'!$I$244:$L$244,0))</f>
        <v>0.72</v>
      </c>
      <c r="X75" s="181">
        <f t="shared" si="64"/>
        <v>1</v>
      </c>
      <c r="Y75" s="181">
        <f>VLOOKUP(K75,'Highway Loading'!$B$283:$E$292,2,FALSE)</f>
        <v>29000000</v>
      </c>
      <c r="Z75" s="181">
        <f>VLOOKUP(K75,'Highway Loading'!$B$283:$E$292,3,FALSE)</f>
        <v>0.3</v>
      </c>
      <c r="AA75" s="181">
        <f>VLOOKUP(K75,'Highway Loading'!$B$283:$E$292,4,FALSE)</f>
        <v>6.4999999999999996E-6</v>
      </c>
      <c r="AB75" s="181">
        <f t="shared" si="65"/>
        <v>1</v>
      </c>
      <c r="AC75" s="181">
        <f>VLOOKUP(N75,'Highway Loading'!$B$256:$D$261,2,FALSE)</f>
        <v>500</v>
      </c>
      <c r="AD75" s="181">
        <f>VLOOKUP(N75,'Highway Loading'!$B$256:$D$261,3,FALSE)</f>
        <v>10000</v>
      </c>
      <c r="AE75" s="181">
        <f>VLOOKUP(S75,'Highway Loading'!$B$340:$C$341,2,FALSE)</f>
        <v>12000</v>
      </c>
      <c r="AF75" s="181">
        <f t="shared" si="66"/>
        <v>0.12306250000000001</v>
      </c>
      <c r="AG75" s="181">
        <f t="shared" si="67"/>
        <v>5.333333333333333</v>
      </c>
      <c r="AH75" s="181">
        <f t="shared" si="68"/>
        <v>1.125</v>
      </c>
      <c r="AI75" s="181">
        <f t="shared" si="69"/>
        <v>-59.847638395124427</v>
      </c>
      <c r="AJ75" s="181">
        <f t="shared" si="70"/>
        <v>46800</v>
      </c>
      <c r="AK75" s="181">
        <f>IF(AC75=200,(INDEX(Tables!$B$17:$B$38,MAX(1,MIN(IFERROR(MATCH(AF75,Tables!$A$17:$A$38,1),1),ROWS(Tables!$A$17:$A$38)-1)))+(AF75-INDEX(Tables!$A$17:$A$38,MAX(1,MIN(IFERROR(MATCH(AF75,Tables!$A$17:$A$38,1),1),ROWS(Tables!$A$17:$A$38)-1))))*(INDEX(Tables!$B$17:$B$38,MAX(1,MIN(IFERROR(MATCH(AF75,Tables!$A$17:$A$38,1),1),ROWS(Tables!$A$17:$A$38)-1))+1)-INDEX(Tables!$B$17:$B$38,MAX(1,MIN(IFERROR(MATCH(AF75,Tables!$A$17:$A$38,1),1),ROWS(Tables!$A$17:$A$38)-1))))/(INDEX(Tables!$A$17:$A$38,MAX(1,MIN(IFERROR(MATCH(AF75,Tables!$A$17:$A$38,1),1),ROWS(Tables!$A$17:$A$38)-1))+1)-INDEX(Tables!$A$17:$A$38,MAX(1,MIN(IFERROR(MATCH(AF75,Tables!$A$17:$A$38,1),1),ROWS(Tables!$A$17:$A$38)-1))))),IF(AC75=500,(INDEX(Tables!$D$17:$D$38,MAX(1,MIN(IFERROR(MATCH(AF75,Tables!$C$17:$C$38,1),1),ROWS(Tables!$C$17:$C$38)-1)))+(AF75-INDEX(Tables!$C$17:$C$38,MAX(1,MIN(IFERROR(MATCH(AF75,Tables!$C$17:$C$38,1),1),ROWS(Tables!$C$17:$C$38)-1))))*(INDEX(Tables!$D$17:$D$38,MAX(1,MIN(IFERROR(MATCH(AF75,Tables!$C$17:$C$38,1),1),ROWS(Tables!$C$17:$C$38)-1))+1)-INDEX(Tables!$D$17:$D$38,MAX(1,MIN(IFERROR(MATCH(AF75,Tables!$C$17:$C$38,1),1),ROWS(Tables!$C$17:$C$38)-1))))/(INDEX(Tables!$C$17:$C$38,MAX(1,MIN(IFERROR(MATCH(AF75,Tables!$C$17:$C$38,1),1),ROWS(Tables!$C$17:$C$38)-1))+1)-INDEX(Tables!$C$17:$C$38,MAX(1,MIN(IFERROR(MATCH(AF75,Tables!$C$17:$C$38,1),1),ROWS(Tables!$C$17:$C$38)-1))))),IF(AC75=1000,(INDEX(Tables!$F$17:$F$38,MAX(1,MIN(IFERROR(MATCH(AF75,Tables!$E$17:$E$38,1),1),ROWS(Tables!$E$17:$E$38)-1)))+(AF75-INDEX(Tables!$E$17:$E$38,MAX(1,MIN(IFERROR(MATCH(AF75,Tables!$E$17:$E$38,1),1),ROWS(Tables!$E$17:$E$38)-1))))*(INDEX(Tables!$F$17:$F$38,MAX(1,MIN(IFERROR(MATCH(AF75,Tables!$E$17:$E$38,1),1),ROWS(Tables!$E$17:$E$38)-1))+1)-INDEX(Tables!$F$17:$F$38,MAX(1,MIN(IFERROR(MATCH(AF75,Tables!$E$17:$E$38,1),1),ROWS(Tables!$E$17:$E$38)-1))))/(INDEX(Tables!$E$17:$E$38,MAX(1,MIN(IFERROR(MATCH(AF75,Tables!$E$17:$E$38,1),1),ROWS(Tables!$E$17:$E$38)-1))+1)-INDEX(Tables!$E$17:$E$38,MAX(1,MIN(IFERROR(MATCH(AF75,Tables!$E$17:$E$38,1),1),ROWS(Tables!$E$17:$E$38)-1))))),(INDEX(Tables!$H$17:$H$38,MAX(1,MIN(IFERROR(MATCH(AF75,Tables!$G$17:$G$38,1),1),ROWS(Tables!$G$17:$G$38)-1)))+(AF75-INDEX(Tables!$G$17:$G$38,MAX(1,MIN(IFERROR(MATCH(AF75,Tables!$G$17:$G$38,1),1),ROWS(Tables!$G$17:$G$38)-1))))*(INDEX(Tables!$H$17:$H$38,MAX(1,MIN(IFERROR(MATCH(AF75,Tables!$G$17:$G$38,1),1),ROWS(Tables!$G$17:$G$38)-1))+1)-INDEX(Tables!$H$17:$H$38,MAX(1,MIN(IFERROR(MATCH(AF75,Tables!$G$17:$G$38,1),1),ROWS(Tables!$G$17:$G$38)-1))))/(INDEX(Tables!$G$17:$G$38,MAX(1,MIN(IFERROR(MATCH(AF75,Tables!$G$17:$G$38,1),1),ROWS(Tables!$G$17:$G$38)-1))+1)-INDEX(Tables!$G$17:$G$38,MAX(1,MIN(IFERROR(MATCH(AF75,Tables!$G$17:$G$38,1),1),ROWS(Tables!$G$17:$G$38)-1))))))))</f>
        <v>88</v>
      </c>
      <c r="AL75" s="181">
        <f>IF(AC75&lt;1000,(INDEX(Tables!$B$43:$B$76,MAX(1,MIN(IFERROR(MATCH(AG75,Tables!$A$43:$A$76,1),1),ROWS(Tables!$A$43:$A$76)-1)))+(AG75-INDEX(Tables!$A$43:$A$76,MAX(1,MIN(IFERROR(MATCH(AG75,Tables!$A$43:$A$76,1),1),ROWS(Tables!$A$43:$A$76)-1))))*(INDEX(Tables!$B$43:$B$76,MAX(1,MIN(IFERROR(MATCH(AG75,Tables!$A$43:$A$76,1),1),ROWS(Tables!$A$43:$A$76)-1))+1)-INDEX(Tables!$B$43:$B$76,MAX(1,MIN(IFERROR(MATCH(AG75,Tables!$A$43:$A$76,1),1),ROWS(Tables!$A$43:$A$76)-1))))/(INDEX(Tables!$A$43:$A$76,MAX(1,MIN(IFERROR(MATCH(AG75,Tables!$A$43:$A$76,1),1),ROWS(Tables!$A$43:$A$76)-1))+1)-INDEX(Tables!$A$43:$A$76,MAX(1,MIN(IFERROR(MATCH(AG75,Tables!$A$43:$A$76,1),1),ROWS(Tables!$A$43:$A$76)-1))))),(INDEX(Tables!$D$43:$D$76,MAX(1,MIN(IFERROR(MATCH(AG75,Tables!$C$43:$C$76,1),1),ROWS(Tables!$C$43:$C$76)-1)))+(AG75-INDEX(Tables!$C$43:$C$76,MAX(1,MIN(IFERROR(MATCH(AG75,Tables!$C$43:$C$76,1),1),ROWS(Tables!$C$43:$C$76)-1))))*(INDEX(Tables!$D$43:$D$76,MAX(1,MIN(IFERROR(MATCH(AG75,Tables!$C$43:$C$76,1),1),ROWS(Tables!$C$43:$C$76)-1))+1)-INDEX(Tables!$D$43:$D$76,MAX(1,MIN(IFERROR(MATCH(AG75,Tables!$C$43:$C$76,1),1),ROWS(Tables!$C$43:$C$76)-1))))/(INDEX(Tables!$C$43:$C$76,MAX(1,MIN(IFERROR(MATCH(AG75,Tables!$C$43:$C$76,1),1),ROWS(Tables!$C$43:$C$76)-1))+1)-INDEX(Tables!$C$43:$C$76,MAX(1,MIN(IFERROR(MATCH(AG75,Tables!$C$43:$C$76,1),1),ROWS(Tables!$C$43:$C$76)-1))))))</f>
        <v>1.1053333333333333</v>
      </c>
      <c r="AM75" s="181">
        <f>(INDEX(Tables!$B$80:$B$87,MAX(1,MIN(IFERROR(MATCH(AH75,Tables!$A$80:$A$87,1),1),ROWS(Tables!$A$80:$A$87)-1)))+(AH75-INDEX(Tables!$A$80:$A$87,MAX(1,MIN(IFERROR(MATCH(AH75,Tables!$A$80:$A$87,1),1),ROWS(Tables!$A$80:$A$87)-1))))*(INDEX(Tables!$B$80:$B$87,MAX(1,MIN(IFERROR(MATCH(AH75,Tables!$A$80:$A$87,1),1),ROWS(Tables!$A$80:$A$87)-1))+1)-INDEX(Tables!$B$80:$B$87,MAX(1,MIN(IFERROR(MATCH(AH75,Tables!$A$80:$A$87,1),1),ROWS(Tables!$A$80:$A$87)-1))))/(INDEX(Tables!$A$80:$A$87,MAX(1,MIN(IFERROR(MATCH(AH75,Tables!$A$80:$A$87,1),1),ROWS(Tables!$A$80:$A$87)-1))+1)-INDEX(Tables!$A$80:$A$87,MAX(1,MIN(IFERROR(MATCH(AH75,Tables!$A$80:$A$87,1),1),ROWS(Tables!$A$80:$A$87)-1)))))</f>
        <v>1.04345</v>
      </c>
      <c r="AN75" s="181">
        <f t="shared" si="71"/>
        <v>112.77298429629629</v>
      </c>
      <c r="AO75" s="181">
        <f>(INDEX(Tables!$B$91:$B$94,MAX(1,MIN(IFERROR(MATCH(P75,Tables!$A$91:$A$94,1),1),ROWS(Tables!$A$91:$A$94)-1)))+(P75-INDEX(Tables!$A$91:$A$94,MAX(1,MIN(IFERROR(MATCH(P75,Tables!$A$91:$A$94,1),1),ROWS(Tables!$A$91:$A$94)-1))))*(INDEX(Tables!$B$91:$B$94,MAX(1,MIN(IFERROR(MATCH(P75,Tables!$A$91:$A$94,1),1),ROWS(Tables!$A$91:$A$94)-1))+1)-INDEX(Tables!$B$91:$B$94,MAX(1,MIN(IFERROR(MATCH(P75,Tables!$A$91:$A$94,1),1),ROWS(Tables!$A$91:$A$94)-1))))/(INDEX(Tables!$A$91:$A$94,MAX(1,MIN(IFERROR(MATCH(P75,Tables!$A$91:$A$94,1),1),ROWS(Tables!$A$91:$A$94)-1))+1)-INDEX(Tables!$A$91:$A$94,MAX(1,MIN(IFERROR(MATCH(P75,Tables!$A$91:$A$94,1),1),ROWS(Tables!$A$91:$A$94)-1)))))</f>
        <v>1.4152439024390244</v>
      </c>
      <c r="AP75" s="181">
        <f>IF(AD75=5000,(INDEX(Tables!$B$99:$B$118,MAX(1,MIN(IFERROR(MATCH(AF75,Tables!$A$99:$A$118,1),1),ROWS(Tables!$A$99:$A$118)-1)))+(AF75-INDEX(Tables!$A$99:$A$118,MAX(1,MIN(IFERROR(MATCH(AF75,Tables!$A$99:$A$118,1),1),ROWS(Tables!$A$99:$A$118)-1))))*(INDEX(Tables!$B$99:$B$118,MAX(1,MIN(IFERROR(MATCH(AF75,Tables!$A$99:$A$118,1),1),ROWS(Tables!$A$99:$A$118)-1))+1)-INDEX(Tables!$B$99:$B$118,MAX(1,MIN(IFERROR(MATCH(AF75,Tables!$A$99:$A$118,1),1),ROWS(Tables!$A$99:$A$118)-1))))/(INDEX(Tables!$A$99:$A$118,MAX(1,MIN(IFERROR(MATCH(AF75,Tables!$A$99:$A$118,1),1),ROWS(Tables!$A$99:$A$118)-1))+1)-INDEX(Tables!$A$99:$A$118,MAX(1,MIN(IFERROR(MATCH(AF75,Tables!$A$99:$A$118,1),1),ROWS(Tables!$A$99:$A$118)-1))))),IF(AD75=10000,(INDEX(Tables!$D$99:$D$118,MAX(1,MIN(IFERROR(MATCH(AF75,Tables!$C$99:$C$118,1),1),ROWS(Tables!$C$99:$C$118)-1)))+(AF75-INDEX(Tables!$C$99:$C$118,MAX(1,MIN(IFERROR(MATCH(AF75,Tables!$C$99:$C$118,1),1),ROWS(Tables!$C$99:$C$118)-1))))*(INDEX(Tables!$D$99:$D$118,MAX(1,MIN(IFERROR(MATCH(AF75,Tables!$C$99:$C$118,1),1),ROWS(Tables!$C$99:$C$118)-1))+1)-INDEX(Tables!$D$99:$D$118,MAX(1,MIN(IFERROR(MATCH(AF75,Tables!$C$99:$C$118,1),1),ROWS(Tables!$C$99:$C$118)-1))))/(INDEX(Tables!$C$99:$C$118,MAX(1,MIN(IFERROR(MATCH(AF75,Tables!$C$99:$C$118,1),1),ROWS(Tables!$C$99:$C$118)-1))+1)-INDEX(Tables!$C$99:$C$118,MAX(1,MIN(IFERROR(MATCH(AF75,Tables!$C$99:$C$118,1),1),ROWS(Tables!$C$99:$C$118)-1))))),(INDEX(Tables!$F$99:$F$118,MAX(1,MIN(IFERROR(MATCH(AF75,Tables!$E$99:$E$118,1),1),ROWS(Tables!$E$99:$E$118)-1)))+(AF75-INDEX(Tables!$E$99:$E$118,MAX(1,MIN(IFERROR(MATCH(AF75,Tables!$E$99:$E$118,1),1),ROWS(Tables!$E$99:$E$118)-1))))*(INDEX(Tables!$F$99:$F$118,MAX(1,MIN(IFERROR(MATCH(AF75,Tables!$E$99:$E$118,1),1),ROWS(Tables!$E$99:$E$118)-1))+1)-INDEX(Tables!$F$99:$F$118,MAX(1,MIN(IFERROR(MATCH(AF75,Tables!$E$99:$E$118,1),1),ROWS(Tables!$E$99:$E$118)-1))))/(INDEX(Tables!$E$99:$E$118,MAX(1,MIN(IFERROR(MATCH(AF75,Tables!$E$99:$E$118,1),1),ROWS(Tables!$E$99:$E$118)-1))+1)-INDEX(Tables!$E$99:$E$118,MAX(1,MIN(IFERROR(MATCH(AF75,Tables!$E$99:$E$118,1),1),ROWS(Tables!$E$99:$E$118)-1)))))))</f>
        <v>1.605</v>
      </c>
      <c r="AQ75" s="181">
        <f>IF(P75&lt;6,(INDEX(Tables!$B$123:$B$138,MAX(1,MIN(IFERROR(MATCH(U75,Tables!$A$123:$A$138,1),1),ROWS(Tables!$A$123:$A$138)-1)))+(U75-INDEX(Tables!$A$123:$A$138,MAX(1,MIN(IFERROR(MATCH(U75,Tables!$A$123:$A$138,1),1),ROWS(Tables!$A$123:$A$138)-1))))*(INDEX(Tables!$B$123:$B$138,MAX(1,MIN(IFERROR(MATCH(U75,Tables!$A$123:$A$138,1),1),ROWS(Tables!$A$123:$A$138)-1))+1)-INDEX(Tables!$B$123:$B$138,MAX(1,MIN(IFERROR(MATCH(U75,Tables!$A$123:$A$138,1),1),ROWS(Tables!$A$123:$A$138)-1))))/(INDEX(Tables!$A$123:$A$138,MAX(1,MIN(IFERROR(MATCH(U75,Tables!$A$123:$A$138,1),1),ROWS(Tables!$A$123:$A$138)-1))+1)-INDEX(Tables!$A$123:$A$138,MAX(1,MIN(IFERROR(MATCH(U75,Tables!$A$123:$A$138,1),1),ROWS(Tables!$A$123:$A$138)-1))))),IF(P75&lt;8,(INDEX(Tables!$D$123:$D$138,MAX(1,MIN(IFERROR(MATCH(U75,Tables!$C$123:$C$138,1),1),ROWS(Tables!$C$123:$C$138)-1)))+(U75-INDEX(Tables!$C$123:$C$138,MAX(1,MIN(IFERROR(MATCH(U75,Tables!$C$123:$C$138,1),1),ROWS(Tables!$C$123:$C$138)-1))))*(INDEX(Tables!$D$123:$D$138,MAX(1,MIN(IFERROR(MATCH(U75,Tables!$C$123:$C$138,1),1),ROWS(Tables!$C$123:$C$138)-1))+1)-INDEX(Tables!$D$123:$D$138,MAX(1,MIN(IFERROR(MATCH(U75,Tables!$C$123:$C$138,1),1),ROWS(Tables!$C$123:$C$138)-1))))/(INDEX(Tables!$C$123:$C$138,MAX(1,MIN(IFERROR(MATCH(U75,Tables!$C$123:$C$138,1),1),ROWS(Tables!$C$123:$C$138)-1))+1)-INDEX(Tables!$C$123:$C$138,MAX(1,MIN(IFERROR(MATCH(U75,Tables!$C$123:$C$138,1),1),ROWS(Tables!$C$123:$C$138)-1))))),IF(P75&lt;10,(INDEX(Tables!$F$123:$F$138,MAX(1,MIN(IFERROR(MATCH(U75,Tables!$E$123:$E$138,1),1),ROWS(Tables!$E$123:$E$138)-1)))+(U75-INDEX(Tables!$E$123:$E$138,MAX(1,MIN(IFERROR(MATCH(U75,Tables!$E$123:$E$138,1),1),ROWS(Tables!$E$123:$E$138)-1))))*(INDEX(Tables!$F$123:$F$138,MAX(1,MIN(IFERROR(MATCH(U75,Tables!$E$123:$E$138,1),1),ROWS(Tables!$E$123:$E$138)-1))+1)-INDEX(Tables!$F$123:$F$138,MAX(1,MIN(IFERROR(MATCH(U75,Tables!$E$123:$E$138,1),1),ROWS(Tables!$E$123:$E$138)-1))))/(INDEX(Tables!$E$123:$E$138,MAX(1,MIN(IFERROR(MATCH(U75,Tables!$E$123:$E$138,1),1),ROWS(Tables!$E$123:$E$138)-1))+1)-INDEX(Tables!$E$123:$E$138,MAX(1,MIN(IFERROR(MATCH(U75,Tables!$E$123:$E$138,1),1),ROWS(Tables!$E$123:$E$138)-1))))),(INDEX(Tables!$H$123:$H$138,MAX(1,MIN(IFERROR(MATCH(U75,Tables!$G$123:$G$138,1),1),ROWS(Tables!$G$123:$G$138)-1)))+(U75-INDEX(Tables!$G$123:$G$138,MAX(1,MIN(IFERROR(MATCH(U75,Tables!$G$123:$G$138,1),1),ROWS(Tables!$G$123:$G$138)-1))))*(INDEX(Tables!$H$123:$H$138,MAX(1,MIN(IFERROR(MATCH(U75,Tables!$G$123:$G$138,1),1),ROWS(Tables!$G$123:$G$138)-1))+1)-INDEX(Tables!$H$123:$H$138,MAX(1,MIN(IFERROR(MATCH(U75,Tables!$G$123:$G$138,1),1),ROWS(Tables!$G$123:$G$138)-1))))/(INDEX(Tables!$G$123:$G$138,MAX(1,MIN(IFERROR(MATCH(U75,Tables!$G$123:$G$138,1),1),ROWS(Tables!$G$123:$G$138)-1))+1)-INDEX(Tables!$G$123:$G$138,MAX(1,MIN(IFERROR(MATCH(U75,Tables!$G$123:$G$138,1),1),ROWS(Tables!$G$123:$G$138)-1))))))))</f>
        <v>0.79200000000000004</v>
      </c>
      <c r="AR75" s="181">
        <f>IF(OR(P75&gt;=4,U75&gt;12),VLOOKUP(R75&amp;" "&amp;S75,Tables!$D$143:$F$148,2,FALSE),VLOOKUP(R75&amp;" "&amp;S75,Tables!$A$143:$C$148,2,FALSE))</f>
        <v>0.9</v>
      </c>
      <c r="AS75" s="181">
        <f>IF(OR(P75&gt;=4,U75&gt;12),VLOOKUP(R75&amp;" "&amp;S75,Tables!$D$143:$F$148,3,FALSE),VLOOKUP(R75&amp;" "&amp;S75,Tables!$A$143:$C$148,3,FALSE))</f>
        <v>0.65</v>
      </c>
      <c r="AT75" s="181">
        <f t="shared" si="72"/>
        <v>87.701320152439024</v>
      </c>
      <c r="AU75" s="181">
        <f>IF(AD75=5000,(INDEX(Tables!$B$244:$B$263,MAX(1,MIN(IFERROR(MATCH(AF75,Tables!$A$244:$A$263,1),1),ROWS(Tables!$A$244:$A$263)-1)))+(AF75-INDEX(Tables!$A$244:$A$263,MAX(1,MIN(IFERROR(MATCH(AF75,Tables!$A$244:$A$263,1),1),ROWS(Tables!$A$244:$A$263)-1))))*(INDEX(Tables!$B$244:$B$263,MAX(1,MIN(IFERROR(MATCH(AF75,Tables!$A$244:$A$263,1),1),ROWS(Tables!$A$244:$A$263)-1))+1)-INDEX(Tables!$B$244:$B$263,MAX(1,MIN(IFERROR(MATCH(AF75,Tables!$A$244:$A$263,1),1),ROWS(Tables!$A$244:$A$263)-1))))/(INDEX(Tables!$A$244:$A$263,MAX(1,MIN(IFERROR(MATCH(AF75,Tables!$A$244:$A$263,1),1),ROWS(Tables!$A$244:$A$263)-1))+1)-INDEX(Tables!$A$244:$A$263,MAX(1,MIN(IFERROR(MATCH(AF75,Tables!$A$244:$A$263,1),1),ROWS(Tables!$A$244:$A$263)-1))))),IF(AD75=10000,(INDEX(Tables!$D$244:$D$263,MAX(1,MIN(IFERROR(MATCH(AF75,Tables!$C$244:$C$263,1),1),ROWS(Tables!$C$244:$C$263)-1)))+(AF75-INDEX(Tables!$C$244:$C$263,MAX(1,MIN(IFERROR(MATCH(AF75,Tables!$C$244:$C$263,1),1),ROWS(Tables!$C$244:$C$263)-1))))*(INDEX(Tables!$D$244:$D$263,MAX(1,MIN(IFERROR(MATCH(AF75,Tables!$C$244:$C$263,1),1),ROWS(Tables!$C$244:$C$263)-1))+1)-INDEX(Tables!$D$244:$D$263,MAX(1,MIN(IFERROR(MATCH(AF75,Tables!$C$244:$C$263,1),1),ROWS(Tables!$C$244:$C$263)-1))))/(INDEX(Tables!$C$244:$C$263,MAX(1,MIN(IFERROR(MATCH(AF75,Tables!$C$244:$C$263,1),1),ROWS(Tables!$C$244:$C$263)-1))+1)-INDEX(Tables!$C$244:$C$263,MAX(1,MIN(IFERROR(MATCH(AF75,Tables!$C$244:$C$263,1),1),ROWS(Tables!$C$244:$C$263)-1))))),(INDEX(Tables!$F$244:$F$263,MAX(1,MIN(IFERROR(MATCH(AF75,Tables!$E$244:$E$263,1),1),ROWS(Tables!$E$244:$E$263)-1)))+(AF75-INDEX(Tables!$E$244:$E$263,MAX(1,MIN(IFERROR(MATCH(AF75,Tables!$E$244:$E$263,1),1),ROWS(Tables!$E$244:$E$263)-1))))*(INDEX(Tables!$F$244:$F$263,MAX(1,MIN(IFERROR(MATCH(AF75,Tables!$E$244:$E$263,1),1),ROWS(Tables!$E$244:$E$263)-1))+1)-INDEX(Tables!$F$244:$F$263,MAX(1,MIN(IFERROR(MATCH(AF75,Tables!$E$244:$E$263,1),1),ROWS(Tables!$E$244:$E$263)-1))))/(INDEX(Tables!$E$244:$E$263,MAX(1,MIN(IFERROR(MATCH(AF75,Tables!$E$244:$E$263,1),1),ROWS(Tables!$E$244:$E$263)-1))+1)-INDEX(Tables!$E$244:$E$263,MAX(1,MIN(IFERROR(MATCH(AF75,Tables!$E$244:$E$263,1),1),ROWS(Tables!$E$244:$E$263)-1)))))))</f>
        <v>2.5920000000000001</v>
      </c>
      <c r="AV75" s="181">
        <f>IF(P75&lt;6,(INDEX(Tables!$B$260:$B$274,MAX(1,MIN(IFERROR(MATCH(U75,Tables!$A$260:$A$274,1),1),ROWS(Tables!$A$260:$A$274)-1)))+(U75-INDEX(Tables!$A$260:$A$274,MAX(1,MIN(IFERROR(MATCH(U75,Tables!$A$260:$A$274,1),1),ROWS(Tables!$A$260:$A$274)-1))))*(INDEX(Tables!$B$260:$B$274,MAX(1,MIN(IFERROR(MATCH(U75,Tables!$A$260:$A$274,1),1),ROWS(Tables!$A$260:$A$274)-1))+1)-INDEX(Tables!$B$260:$B$274,MAX(1,MIN(IFERROR(MATCH(U75,Tables!$A$260:$A$274,1),1),ROWS(Tables!$A$260:$A$274)-1))))/(INDEX(Tables!$A$260:$A$274,MAX(1,MIN(IFERROR(MATCH(U75,Tables!$A$260:$A$274,1),1),ROWS(Tables!$A$260:$A$274)-1))+1)-INDEX(Tables!$A$260:$A$274,MAX(1,MIN(IFERROR(MATCH(U75,Tables!$A$260:$A$274,1),1),ROWS(Tables!$A$260:$A$274)-1))))),IF(P75&lt;8,(INDEX(Tables!$D$260:$D$274,MAX(1,MIN(IFERROR(MATCH(U75,Tables!$C$260:$C$274,1),1),ROWS(Tables!$C$260:$C$274)-1)))+(U75-INDEX(Tables!$C$260:$C$274,MAX(1,MIN(IFERROR(MATCH(U75,Tables!$C$260:$C$274,1),1),ROWS(Tables!$C$260:$C$274)-1))))*(INDEX(Tables!$D$260:$D$274,MAX(1,MIN(IFERROR(MATCH(U75,Tables!$C$260:$C$274,1),1),ROWS(Tables!$C$260:$C$274)-1))+1)-INDEX(Tables!$D$260:$D$274,MAX(1,MIN(IFERROR(MATCH(U75,Tables!$C$260:$C$274,1),1),ROWS(Tables!$C$260:$C$274)-1))))/(INDEX(Tables!$C$260:$C$274,MAX(1,MIN(IFERROR(MATCH(U75,Tables!$C$260:$C$274,1),1),ROWS(Tables!$C$260:$C$274)-1))+1)-INDEX(Tables!$C$260:$C$274,MAX(1,MIN(IFERROR(MATCH(U75,Tables!$C$260:$C$274,1),1),ROWS(Tables!$C$260:$C$274)-1))))),IF(P75&lt;10,(INDEX(Tables!$F$260:$F$274,MAX(1,MIN(IFERROR(MATCH(U75,Tables!$E$260:$E$274,1),1),ROWS(Tables!$E$260:$E$274)-1)))+(U75-INDEX(Tables!$E$260:$E$274,MAX(1,MIN(IFERROR(MATCH(U75,Tables!$E$260:$E$274,1),1),ROWS(Tables!$E$260:$E$274)-1))))*(INDEX(Tables!$F$260:$F$274,MAX(1,MIN(IFERROR(MATCH(U75,Tables!$E$260:$E$274,1),1),ROWS(Tables!$E$260:$E$274)-1))+1)-INDEX(Tables!$F$260:$F$274,MAX(1,MIN(IFERROR(MATCH(U75,Tables!$E$260:$E$274,1),1),ROWS(Tables!$E$260:$E$274)-1))))/(INDEX(Tables!$E$260:$E$274,MAX(1,MIN(IFERROR(MATCH(U75,Tables!$E$260:$E$274,1),1),ROWS(Tables!$E$260:$E$274)-1))+1)-INDEX(Tables!$E$260:$E$274,MAX(1,MIN(IFERROR(MATCH(U75,Tables!$E$260:$E$274,1),1),ROWS(Tables!$E$260:$E$274)-1))))),(INDEX(Tables!$H$260:$H$274,MAX(1,MIN(IFERROR(MATCH(U75,Tables!$G$260:$G$274,1),1),ROWS(Tables!$G$260:$G$274)-1)))+(U75-INDEX(Tables!$G$260:$G$274,MAX(1,MIN(IFERROR(MATCH(U75,Tables!$G$260:$G$274,1),1),ROWS(Tables!$G$260:$G$274)-1))))*(INDEX(Tables!$H$260:$H$274,MAX(1,MIN(IFERROR(MATCH(U75,Tables!$G$260:$G$274,1),1),ROWS(Tables!$G$260:$G$274)-1))+1)-INDEX(Tables!$H$260:$H$274,MAX(1,MIN(IFERROR(MATCH(U75,Tables!$G$260:$G$274,1),1),ROWS(Tables!$G$260:$G$274)-1))))/(INDEX(Tables!$G$260:$G$274,MAX(1,MIN(IFERROR(MATCH(U75,Tables!$G$260:$G$274,1),1),ROWS(Tables!$G$260:$G$274)-1))+1)-INDEX(Tables!$G$260:$G$274,MAX(1,MIN(IFERROR(MATCH(U75,Tables!$G$260:$G$274,1),1),ROWS(Tables!$G$260:$G$274)-1))))))))</f>
        <v>0.84099999999999997</v>
      </c>
      <c r="AW75" s="181">
        <f t="shared" si="73"/>
        <v>150.3962146097561</v>
      </c>
      <c r="AX75" s="181">
        <f t="shared" si="74"/>
        <v>-52.482638395124432</v>
      </c>
      <c r="AY75" s="181">
        <f t="shared" si="75"/>
        <v>147.99166605361089</v>
      </c>
      <c r="AZ75" s="181">
        <f t="shared" si="76"/>
        <v>168.48331838010765</v>
      </c>
      <c r="BA75" s="181">
        <f t="shared" si="77"/>
        <v>14.73</v>
      </c>
      <c r="BB75" s="181">
        <f t="shared" si="78"/>
        <v>144.60059192020771</v>
      </c>
      <c r="BC75" s="181">
        <f t="shared" si="79"/>
        <v>46800</v>
      </c>
      <c r="BD75" s="181">
        <f>VLOOKUP(V75&amp;" "&amp;J75,Tables!$A$152:$E$239,4,FALSE)</f>
        <v>12000</v>
      </c>
      <c r="BE75" s="181">
        <f>VLOOKUP(V75&amp;" "&amp;J75,Tables!$A$152:$E$239,5,FALSE)</f>
        <v>23000</v>
      </c>
      <c r="BF75" s="181">
        <f t="shared" si="80"/>
        <v>8640</v>
      </c>
      <c r="BG75" s="181">
        <f t="shared" si="81"/>
        <v>16560</v>
      </c>
      <c r="BH75" s="181">
        <f t="shared" si="82"/>
        <v>-59.847638395124427</v>
      </c>
      <c r="BI75" s="181">
        <f t="shared" si="83"/>
        <v>46800</v>
      </c>
      <c r="BJ75" s="181">
        <f t="shared" si="84"/>
        <v>144.60059192020771</v>
      </c>
      <c r="BK75" s="181">
        <f t="shared" si="85"/>
        <v>46800</v>
      </c>
      <c r="BL75" s="181">
        <f t="shared" si="86"/>
        <v>150.3962146097561</v>
      </c>
      <c r="BM75" s="181">
        <f t="shared" si="87"/>
        <v>8640</v>
      </c>
      <c r="BN75" s="181">
        <f t="shared" si="88"/>
        <v>87.701320152439024</v>
      </c>
      <c r="BO75" s="181">
        <f t="shared" si="89"/>
        <v>16560</v>
      </c>
      <c r="BP75" t="str">
        <f t="shared" si="90"/>
        <v>Pass</v>
      </c>
      <c r="BQ75" t="str">
        <f t="shared" si="91"/>
        <v>Pass</v>
      </c>
      <c r="BR75" t="str">
        <f t="shared" si="92"/>
        <v>Pass</v>
      </c>
      <c r="BS75" t="str">
        <f t="shared" si="93"/>
        <v>Pass</v>
      </c>
      <c r="BT75" t="str">
        <f t="shared" si="94"/>
        <v>Pass</v>
      </c>
      <c r="BU75" t="str">
        <f t="shared" si="95"/>
        <v>Girth Weld Stress</v>
      </c>
    </row>
    <row r="76" spans="1:73">
      <c r="A76" t="s">
        <v>668</v>
      </c>
      <c r="B76" s="181">
        <v>74</v>
      </c>
      <c r="C76" t="s">
        <v>594</v>
      </c>
      <c r="D76" s="181">
        <v>24</v>
      </c>
      <c r="E76" s="181">
        <v>2.3439999999999999</v>
      </c>
      <c r="F76" t="s">
        <v>117</v>
      </c>
      <c r="G76" t="s">
        <v>119</v>
      </c>
      <c r="H76" t="s">
        <v>122</v>
      </c>
      <c r="I76" s="181">
        <v>1</v>
      </c>
      <c r="J76" t="s">
        <v>126</v>
      </c>
      <c r="K76" t="s">
        <v>129</v>
      </c>
      <c r="L76" s="181">
        <v>70</v>
      </c>
      <c r="M76" s="181">
        <v>-14.73</v>
      </c>
      <c r="N76" t="s">
        <v>141</v>
      </c>
      <c r="O76" s="181">
        <v>120</v>
      </c>
      <c r="P76" s="181">
        <v>10</v>
      </c>
      <c r="Q76" s="181">
        <v>26</v>
      </c>
      <c r="R76" t="s">
        <v>418</v>
      </c>
      <c r="S76" t="s">
        <v>420</v>
      </c>
      <c r="T76" s="181">
        <v>70</v>
      </c>
      <c r="U76" s="181">
        <f>HLOOKUP(D76,'Highway Loading'!$C$155:$AD$156,2,FALSE)</f>
        <v>24</v>
      </c>
      <c r="V76" s="181">
        <f>IF(ISBLANK(G76),"",INDEX('Highway Loading'!$C$216:$AG$216,1,MATCH(G76,'Highway Loading'!$C$215:$AG$215,0)))</f>
        <v>65000</v>
      </c>
      <c r="W76" s="181">
        <f>INDEX('Highway Loading'!$I$245:$L$253,MATCH(H76,'Highway Loading'!$H$245:$H$253,0),MATCH(I76,'Highway Loading'!$I$244:$L$244,0))</f>
        <v>0.72</v>
      </c>
      <c r="X76" s="181">
        <f t="shared" si="64"/>
        <v>1</v>
      </c>
      <c r="Y76" s="181">
        <f>VLOOKUP(K76,'Highway Loading'!$B$283:$E$292,2,FALSE)</f>
        <v>29000000</v>
      </c>
      <c r="Z76" s="181">
        <f>VLOOKUP(K76,'Highway Loading'!$B$283:$E$292,3,FALSE)</f>
        <v>0.3</v>
      </c>
      <c r="AA76" s="181">
        <f>VLOOKUP(K76,'Highway Loading'!$B$283:$E$292,4,FALSE)</f>
        <v>6.4999999999999996E-6</v>
      </c>
      <c r="AB76" s="181">
        <f t="shared" si="65"/>
        <v>1</v>
      </c>
      <c r="AC76" s="181">
        <f>VLOOKUP(N76,'Highway Loading'!$B$256:$D$261,2,FALSE)</f>
        <v>500</v>
      </c>
      <c r="AD76" s="181">
        <f>VLOOKUP(N76,'Highway Loading'!$B$256:$D$261,3,FALSE)</f>
        <v>10000</v>
      </c>
      <c r="AE76" s="181">
        <f>VLOOKUP(S76,'Highway Loading'!$B$340:$C$341,2,FALSE)</f>
        <v>12000</v>
      </c>
      <c r="AF76" s="181">
        <f t="shared" si="66"/>
        <v>9.7666666666666666E-2</v>
      </c>
      <c r="AG76" s="181">
        <f t="shared" si="67"/>
        <v>4.615384615384615</v>
      </c>
      <c r="AH76" s="181">
        <f t="shared" si="68"/>
        <v>1.0833333333333333</v>
      </c>
      <c r="AI76" s="181">
        <f t="shared" si="69"/>
        <v>-75.409556313993178</v>
      </c>
      <c r="AJ76" s="181">
        <f t="shared" si="70"/>
        <v>46800</v>
      </c>
      <c r="AK76" s="181">
        <f>IF(AC76=200,(INDEX(Tables!$B$17:$B$38,MAX(1,MIN(IFERROR(MATCH(AF76,Tables!$A$17:$A$38,1),1),ROWS(Tables!$A$17:$A$38)-1)))+(AF76-INDEX(Tables!$A$17:$A$38,MAX(1,MIN(IFERROR(MATCH(AF76,Tables!$A$17:$A$38,1),1),ROWS(Tables!$A$17:$A$38)-1))))*(INDEX(Tables!$B$17:$B$38,MAX(1,MIN(IFERROR(MATCH(AF76,Tables!$A$17:$A$38,1),1),ROWS(Tables!$A$17:$A$38)-1))+1)-INDEX(Tables!$B$17:$B$38,MAX(1,MIN(IFERROR(MATCH(AF76,Tables!$A$17:$A$38,1),1),ROWS(Tables!$A$17:$A$38)-1))))/(INDEX(Tables!$A$17:$A$38,MAX(1,MIN(IFERROR(MATCH(AF76,Tables!$A$17:$A$38,1),1),ROWS(Tables!$A$17:$A$38)-1))+1)-INDEX(Tables!$A$17:$A$38,MAX(1,MIN(IFERROR(MATCH(AF76,Tables!$A$17:$A$38,1),1),ROWS(Tables!$A$17:$A$38)-1))))),IF(AC76=500,(INDEX(Tables!$D$17:$D$38,MAX(1,MIN(IFERROR(MATCH(AF76,Tables!$C$17:$C$38,1),1),ROWS(Tables!$C$17:$C$38)-1)))+(AF76-INDEX(Tables!$C$17:$C$38,MAX(1,MIN(IFERROR(MATCH(AF76,Tables!$C$17:$C$38,1),1),ROWS(Tables!$C$17:$C$38)-1))))*(INDEX(Tables!$D$17:$D$38,MAX(1,MIN(IFERROR(MATCH(AF76,Tables!$C$17:$C$38,1),1),ROWS(Tables!$C$17:$C$38)-1))+1)-INDEX(Tables!$D$17:$D$38,MAX(1,MIN(IFERROR(MATCH(AF76,Tables!$C$17:$C$38,1),1),ROWS(Tables!$C$17:$C$38)-1))))/(INDEX(Tables!$C$17:$C$38,MAX(1,MIN(IFERROR(MATCH(AF76,Tables!$C$17:$C$38,1),1),ROWS(Tables!$C$17:$C$38)-1))+1)-INDEX(Tables!$C$17:$C$38,MAX(1,MIN(IFERROR(MATCH(AF76,Tables!$C$17:$C$38,1),1),ROWS(Tables!$C$17:$C$38)-1))))),IF(AC76=1000,(INDEX(Tables!$F$17:$F$38,MAX(1,MIN(IFERROR(MATCH(AF76,Tables!$E$17:$E$38,1),1),ROWS(Tables!$E$17:$E$38)-1)))+(AF76-INDEX(Tables!$E$17:$E$38,MAX(1,MIN(IFERROR(MATCH(AF76,Tables!$E$17:$E$38,1),1),ROWS(Tables!$E$17:$E$38)-1))))*(INDEX(Tables!$F$17:$F$38,MAX(1,MIN(IFERROR(MATCH(AF76,Tables!$E$17:$E$38,1),1),ROWS(Tables!$E$17:$E$38)-1))+1)-INDEX(Tables!$F$17:$F$38,MAX(1,MIN(IFERROR(MATCH(AF76,Tables!$E$17:$E$38,1),1),ROWS(Tables!$E$17:$E$38)-1))))/(INDEX(Tables!$E$17:$E$38,MAX(1,MIN(IFERROR(MATCH(AF76,Tables!$E$17:$E$38,1),1),ROWS(Tables!$E$17:$E$38)-1))+1)-INDEX(Tables!$E$17:$E$38,MAX(1,MIN(IFERROR(MATCH(AF76,Tables!$E$17:$E$38,1),1),ROWS(Tables!$E$17:$E$38)-1))))),(INDEX(Tables!$H$17:$H$38,MAX(1,MIN(IFERROR(MATCH(AF76,Tables!$G$17:$G$38,1),1),ROWS(Tables!$G$17:$G$38)-1)))+(AF76-INDEX(Tables!$G$17:$G$38,MAX(1,MIN(IFERROR(MATCH(AF76,Tables!$G$17:$G$38,1),1),ROWS(Tables!$G$17:$G$38)-1))))*(INDEX(Tables!$H$17:$H$38,MAX(1,MIN(IFERROR(MATCH(AF76,Tables!$G$17:$G$38,1),1),ROWS(Tables!$G$17:$G$38)-1))+1)-INDEX(Tables!$H$17:$H$38,MAX(1,MIN(IFERROR(MATCH(AF76,Tables!$G$17:$G$38,1),1),ROWS(Tables!$G$17:$G$38)-1))))/(INDEX(Tables!$G$17:$G$38,MAX(1,MIN(IFERROR(MATCH(AF76,Tables!$G$17:$G$38,1),1),ROWS(Tables!$G$17:$G$38)-1))+1)-INDEX(Tables!$G$17:$G$38,MAX(1,MIN(IFERROR(MATCH(AF76,Tables!$G$17:$G$38,1),1),ROWS(Tables!$G$17:$G$38)-1))))))))</f>
        <v>88</v>
      </c>
      <c r="AL76" s="181">
        <f>IF(AC76&lt;1000,(INDEX(Tables!$B$43:$B$76,MAX(1,MIN(IFERROR(MATCH(AG76,Tables!$A$43:$A$76,1),1),ROWS(Tables!$A$43:$A$76)-1)))+(AG76-INDEX(Tables!$A$43:$A$76,MAX(1,MIN(IFERROR(MATCH(AG76,Tables!$A$43:$A$76,1),1),ROWS(Tables!$A$43:$A$76)-1))))*(INDEX(Tables!$B$43:$B$76,MAX(1,MIN(IFERROR(MATCH(AG76,Tables!$A$43:$A$76,1),1),ROWS(Tables!$A$43:$A$76)-1))+1)-INDEX(Tables!$B$43:$B$76,MAX(1,MIN(IFERROR(MATCH(AG76,Tables!$A$43:$A$76,1),1),ROWS(Tables!$A$43:$A$76)-1))))/(INDEX(Tables!$A$43:$A$76,MAX(1,MIN(IFERROR(MATCH(AG76,Tables!$A$43:$A$76,1),1),ROWS(Tables!$A$43:$A$76)-1))+1)-INDEX(Tables!$A$43:$A$76,MAX(1,MIN(IFERROR(MATCH(AG76,Tables!$A$43:$A$76,1),1),ROWS(Tables!$A$43:$A$76)-1))))),(INDEX(Tables!$D$43:$D$76,MAX(1,MIN(IFERROR(MATCH(AG76,Tables!$C$43:$C$76,1),1),ROWS(Tables!$C$43:$C$76)-1)))+(AG76-INDEX(Tables!$C$43:$C$76,MAX(1,MIN(IFERROR(MATCH(AG76,Tables!$C$43:$C$76,1),1),ROWS(Tables!$C$43:$C$76)-1))))*(INDEX(Tables!$D$43:$D$76,MAX(1,MIN(IFERROR(MATCH(AG76,Tables!$C$43:$C$76,1),1),ROWS(Tables!$C$43:$C$76)-1))+1)-INDEX(Tables!$D$43:$D$76,MAX(1,MIN(IFERROR(MATCH(AG76,Tables!$C$43:$C$76,1),1),ROWS(Tables!$C$43:$C$76)-1))))/(INDEX(Tables!$C$43:$C$76,MAX(1,MIN(IFERROR(MATCH(AG76,Tables!$C$43:$C$76,1),1),ROWS(Tables!$C$43:$C$76)-1))+1)-INDEX(Tables!$C$43:$C$76,MAX(1,MIN(IFERROR(MATCH(AG76,Tables!$C$43:$C$76,1),1),ROWS(Tables!$C$43:$C$76)-1))))))</f>
        <v>1.0408461538461538</v>
      </c>
      <c r="AM76" s="181">
        <f>(INDEX(Tables!$B$80:$B$87,MAX(1,MIN(IFERROR(MATCH(AH76,Tables!$A$80:$A$87,1),1),ROWS(Tables!$A$80:$A$87)-1)))+(AH76-INDEX(Tables!$A$80:$A$87,MAX(1,MIN(IFERROR(MATCH(AH76,Tables!$A$80:$A$87,1),1),ROWS(Tables!$A$80:$A$87)-1))))*(INDEX(Tables!$B$80:$B$87,MAX(1,MIN(IFERROR(MATCH(AH76,Tables!$A$80:$A$87,1),1),ROWS(Tables!$A$80:$A$87)-1))+1)-INDEX(Tables!$B$80:$B$87,MAX(1,MIN(IFERROR(MATCH(AH76,Tables!$A$80:$A$87,1),1),ROWS(Tables!$A$80:$A$87)-1))))/(INDEX(Tables!$A$80:$A$87,MAX(1,MIN(IFERROR(MATCH(AH76,Tables!$A$80:$A$87,1),1),ROWS(Tables!$A$80:$A$87)-1))+1)-INDEX(Tables!$A$80:$A$87,MAX(1,MIN(IFERROR(MATCH(AH76,Tables!$A$80:$A$87,1),1),ROWS(Tables!$A$80:$A$87)-1)))))</f>
        <v>0.96739999999999982</v>
      </c>
      <c r="AN76" s="181">
        <f t="shared" si="71"/>
        <v>147.68080348717945</v>
      </c>
      <c r="AO76" s="181">
        <f>(INDEX(Tables!$B$91:$B$94,MAX(1,MIN(IFERROR(MATCH(P76,Tables!$A$91:$A$94,1),1),ROWS(Tables!$A$91:$A$94)-1)))+(P76-INDEX(Tables!$A$91:$A$94,MAX(1,MIN(IFERROR(MATCH(P76,Tables!$A$91:$A$94,1),1),ROWS(Tables!$A$91:$A$94)-1))))*(INDEX(Tables!$B$91:$B$94,MAX(1,MIN(IFERROR(MATCH(P76,Tables!$A$91:$A$94,1),1),ROWS(Tables!$A$91:$A$94)-1))+1)-INDEX(Tables!$B$91:$B$94,MAX(1,MIN(IFERROR(MATCH(P76,Tables!$A$91:$A$94,1),1),ROWS(Tables!$A$91:$A$94)-1))))/(INDEX(Tables!$A$91:$A$94,MAX(1,MIN(IFERROR(MATCH(P76,Tables!$A$91:$A$94,1),1),ROWS(Tables!$A$91:$A$94)-1))+1)-INDEX(Tables!$A$91:$A$94,MAX(1,MIN(IFERROR(MATCH(P76,Tables!$A$91:$A$94,1),1),ROWS(Tables!$A$91:$A$94)-1)))))</f>
        <v>1.3542682926829268</v>
      </c>
      <c r="AP76" s="181">
        <f>IF(AD76=5000,(INDEX(Tables!$B$99:$B$118,MAX(1,MIN(IFERROR(MATCH(AF76,Tables!$A$99:$A$118,1),1),ROWS(Tables!$A$99:$A$118)-1)))+(AF76-INDEX(Tables!$A$99:$A$118,MAX(1,MIN(IFERROR(MATCH(AF76,Tables!$A$99:$A$118,1),1),ROWS(Tables!$A$99:$A$118)-1))))*(INDEX(Tables!$B$99:$B$118,MAX(1,MIN(IFERROR(MATCH(AF76,Tables!$A$99:$A$118,1),1),ROWS(Tables!$A$99:$A$118)-1))+1)-INDEX(Tables!$B$99:$B$118,MAX(1,MIN(IFERROR(MATCH(AF76,Tables!$A$99:$A$118,1),1),ROWS(Tables!$A$99:$A$118)-1))))/(INDEX(Tables!$A$99:$A$118,MAX(1,MIN(IFERROR(MATCH(AF76,Tables!$A$99:$A$118,1),1),ROWS(Tables!$A$99:$A$118)-1))+1)-INDEX(Tables!$A$99:$A$118,MAX(1,MIN(IFERROR(MATCH(AF76,Tables!$A$99:$A$118,1),1),ROWS(Tables!$A$99:$A$118)-1))))),IF(AD76=10000,(INDEX(Tables!$D$99:$D$118,MAX(1,MIN(IFERROR(MATCH(AF76,Tables!$C$99:$C$118,1),1),ROWS(Tables!$C$99:$C$118)-1)))+(AF76-INDEX(Tables!$C$99:$C$118,MAX(1,MIN(IFERROR(MATCH(AF76,Tables!$C$99:$C$118,1),1),ROWS(Tables!$C$99:$C$118)-1))))*(INDEX(Tables!$D$99:$D$118,MAX(1,MIN(IFERROR(MATCH(AF76,Tables!$C$99:$C$118,1),1),ROWS(Tables!$C$99:$C$118)-1))+1)-INDEX(Tables!$D$99:$D$118,MAX(1,MIN(IFERROR(MATCH(AF76,Tables!$C$99:$C$118,1),1),ROWS(Tables!$C$99:$C$118)-1))))/(INDEX(Tables!$C$99:$C$118,MAX(1,MIN(IFERROR(MATCH(AF76,Tables!$C$99:$C$118,1),1),ROWS(Tables!$C$99:$C$118)-1))+1)-INDEX(Tables!$C$99:$C$118,MAX(1,MIN(IFERROR(MATCH(AF76,Tables!$C$99:$C$118,1),1),ROWS(Tables!$C$99:$C$118)-1))))),(INDEX(Tables!$F$99:$F$118,MAX(1,MIN(IFERROR(MATCH(AF76,Tables!$E$99:$E$118,1),1),ROWS(Tables!$E$99:$E$118)-1)))+(AF76-INDEX(Tables!$E$99:$E$118,MAX(1,MIN(IFERROR(MATCH(AF76,Tables!$E$99:$E$118,1),1),ROWS(Tables!$E$99:$E$118)-1))))*(INDEX(Tables!$F$99:$F$118,MAX(1,MIN(IFERROR(MATCH(AF76,Tables!$E$99:$E$118,1),1),ROWS(Tables!$E$99:$E$118)-1))+1)-INDEX(Tables!$F$99:$F$118,MAX(1,MIN(IFERROR(MATCH(AF76,Tables!$E$99:$E$118,1),1),ROWS(Tables!$E$99:$E$118)-1))))/(INDEX(Tables!$E$99:$E$118,MAX(1,MIN(IFERROR(MATCH(AF76,Tables!$E$99:$E$118,1),1),ROWS(Tables!$E$99:$E$118)-1))+1)-INDEX(Tables!$E$99:$E$118,MAX(1,MIN(IFERROR(MATCH(AF76,Tables!$E$99:$E$118,1),1),ROWS(Tables!$E$99:$E$118)-1)))))))</f>
        <v>1.605</v>
      </c>
      <c r="AQ76" s="181">
        <f>IF(P76&lt;6,(INDEX(Tables!$B$123:$B$138,MAX(1,MIN(IFERROR(MATCH(U76,Tables!$A$123:$A$138,1),1),ROWS(Tables!$A$123:$A$138)-1)))+(U76-INDEX(Tables!$A$123:$A$138,MAX(1,MIN(IFERROR(MATCH(U76,Tables!$A$123:$A$138,1),1),ROWS(Tables!$A$123:$A$138)-1))))*(INDEX(Tables!$B$123:$B$138,MAX(1,MIN(IFERROR(MATCH(U76,Tables!$A$123:$A$138,1),1),ROWS(Tables!$A$123:$A$138)-1))+1)-INDEX(Tables!$B$123:$B$138,MAX(1,MIN(IFERROR(MATCH(U76,Tables!$A$123:$A$138,1),1),ROWS(Tables!$A$123:$A$138)-1))))/(INDEX(Tables!$A$123:$A$138,MAX(1,MIN(IFERROR(MATCH(U76,Tables!$A$123:$A$138,1),1),ROWS(Tables!$A$123:$A$138)-1))+1)-INDEX(Tables!$A$123:$A$138,MAX(1,MIN(IFERROR(MATCH(U76,Tables!$A$123:$A$138,1),1),ROWS(Tables!$A$123:$A$138)-1))))),IF(P76&lt;8,(INDEX(Tables!$D$123:$D$138,MAX(1,MIN(IFERROR(MATCH(U76,Tables!$C$123:$C$138,1),1),ROWS(Tables!$C$123:$C$138)-1)))+(U76-INDEX(Tables!$C$123:$C$138,MAX(1,MIN(IFERROR(MATCH(U76,Tables!$C$123:$C$138,1),1),ROWS(Tables!$C$123:$C$138)-1))))*(INDEX(Tables!$D$123:$D$138,MAX(1,MIN(IFERROR(MATCH(U76,Tables!$C$123:$C$138,1),1),ROWS(Tables!$C$123:$C$138)-1))+1)-INDEX(Tables!$D$123:$D$138,MAX(1,MIN(IFERROR(MATCH(U76,Tables!$C$123:$C$138,1),1),ROWS(Tables!$C$123:$C$138)-1))))/(INDEX(Tables!$C$123:$C$138,MAX(1,MIN(IFERROR(MATCH(U76,Tables!$C$123:$C$138,1),1),ROWS(Tables!$C$123:$C$138)-1))+1)-INDEX(Tables!$C$123:$C$138,MAX(1,MIN(IFERROR(MATCH(U76,Tables!$C$123:$C$138,1),1),ROWS(Tables!$C$123:$C$138)-1))))),IF(P76&lt;10,(INDEX(Tables!$F$123:$F$138,MAX(1,MIN(IFERROR(MATCH(U76,Tables!$E$123:$E$138,1),1),ROWS(Tables!$E$123:$E$138)-1)))+(U76-INDEX(Tables!$E$123:$E$138,MAX(1,MIN(IFERROR(MATCH(U76,Tables!$E$123:$E$138,1),1),ROWS(Tables!$E$123:$E$138)-1))))*(INDEX(Tables!$F$123:$F$138,MAX(1,MIN(IFERROR(MATCH(U76,Tables!$E$123:$E$138,1),1),ROWS(Tables!$E$123:$E$138)-1))+1)-INDEX(Tables!$F$123:$F$138,MAX(1,MIN(IFERROR(MATCH(U76,Tables!$E$123:$E$138,1),1),ROWS(Tables!$E$123:$E$138)-1))))/(INDEX(Tables!$E$123:$E$138,MAX(1,MIN(IFERROR(MATCH(U76,Tables!$E$123:$E$138,1),1),ROWS(Tables!$E$123:$E$138)-1))+1)-INDEX(Tables!$E$123:$E$138,MAX(1,MIN(IFERROR(MATCH(U76,Tables!$E$123:$E$138,1),1),ROWS(Tables!$E$123:$E$138)-1))))),(INDEX(Tables!$H$123:$H$138,MAX(1,MIN(IFERROR(MATCH(U76,Tables!$G$123:$G$138,1),1),ROWS(Tables!$G$123:$G$138)-1)))+(U76-INDEX(Tables!$G$123:$G$138,MAX(1,MIN(IFERROR(MATCH(U76,Tables!$G$123:$G$138,1),1),ROWS(Tables!$G$123:$G$138)-1))))*(INDEX(Tables!$H$123:$H$138,MAX(1,MIN(IFERROR(MATCH(U76,Tables!$G$123:$G$138,1),1),ROWS(Tables!$G$123:$G$138)-1))+1)-INDEX(Tables!$H$123:$H$138,MAX(1,MIN(IFERROR(MATCH(U76,Tables!$G$123:$G$138,1),1),ROWS(Tables!$G$123:$G$138)-1))))/(INDEX(Tables!$G$123:$G$138,MAX(1,MIN(IFERROR(MATCH(U76,Tables!$G$123:$G$138,1),1),ROWS(Tables!$G$123:$G$138)-1))+1)-INDEX(Tables!$G$123:$G$138,MAX(1,MIN(IFERROR(MATCH(U76,Tables!$G$123:$G$138,1),1),ROWS(Tables!$G$123:$G$138)-1))))))))</f>
        <v>0.57750000000000001</v>
      </c>
      <c r="AR76" s="181">
        <f>IF(OR(P76&gt;=4,U76&gt;12),VLOOKUP(R76&amp;" "&amp;S76,Tables!$D$143:$F$148,2,FALSE),VLOOKUP(R76&amp;" "&amp;S76,Tables!$A$143:$C$148,2,FALSE))</f>
        <v>0.9</v>
      </c>
      <c r="AS76" s="181">
        <f>IF(OR(P76&gt;=4,U76&gt;12),VLOOKUP(R76&amp;" "&amp;S76,Tables!$D$143:$F$148,3,FALSE),VLOOKUP(R76&amp;" "&amp;S76,Tables!$A$143:$C$148,3,FALSE))</f>
        <v>0.65</v>
      </c>
      <c r="AT76" s="181">
        <f t="shared" si="72"/>
        <v>61.193649666539642</v>
      </c>
      <c r="AU76" s="181">
        <f>IF(AD76=5000,(INDEX(Tables!$B$244:$B$263,MAX(1,MIN(IFERROR(MATCH(AF76,Tables!$A$244:$A$263,1),1),ROWS(Tables!$A$244:$A$263)-1)))+(AF76-INDEX(Tables!$A$244:$A$263,MAX(1,MIN(IFERROR(MATCH(AF76,Tables!$A$244:$A$263,1),1),ROWS(Tables!$A$244:$A$263)-1))))*(INDEX(Tables!$B$244:$B$263,MAX(1,MIN(IFERROR(MATCH(AF76,Tables!$A$244:$A$263,1),1),ROWS(Tables!$A$244:$A$263)-1))+1)-INDEX(Tables!$B$244:$B$263,MAX(1,MIN(IFERROR(MATCH(AF76,Tables!$A$244:$A$263,1),1),ROWS(Tables!$A$244:$A$263)-1))))/(INDEX(Tables!$A$244:$A$263,MAX(1,MIN(IFERROR(MATCH(AF76,Tables!$A$244:$A$263,1),1),ROWS(Tables!$A$244:$A$263)-1))+1)-INDEX(Tables!$A$244:$A$263,MAX(1,MIN(IFERROR(MATCH(AF76,Tables!$A$244:$A$263,1),1),ROWS(Tables!$A$244:$A$263)-1))))),IF(AD76=10000,(INDEX(Tables!$D$244:$D$263,MAX(1,MIN(IFERROR(MATCH(AF76,Tables!$C$244:$C$263,1),1),ROWS(Tables!$C$244:$C$263)-1)))+(AF76-INDEX(Tables!$C$244:$C$263,MAX(1,MIN(IFERROR(MATCH(AF76,Tables!$C$244:$C$263,1),1),ROWS(Tables!$C$244:$C$263)-1))))*(INDEX(Tables!$D$244:$D$263,MAX(1,MIN(IFERROR(MATCH(AF76,Tables!$C$244:$C$263,1),1),ROWS(Tables!$C$244:$C$263)-1))+1)-INDEX(Tables!$D$244:$D$263,MAX(1,MIN(IFERROR(MATCH(AF76,Tables!$C$244:$C$263,1),1),ROWS(Tables!$C$244:$C$263)-1))))/(INDEX(Tables!$C$244:$C$263,MAX(1,MIN(IFERROR(MATCH(AF76,Tables!$C$244:$C$263,1),1),ROWS(Tables!$C$244:$C$263)-1))+1)-INDEX(Tables!$C$244:$C$263,MAX(1,MIN(IFERROR(MATCH(AF76,Tables!$C$244:$C$263,1),1),ROWS(Tables!$C$244:$C$263)-1))))),(INDEX(Tables!$F$244:$F$263,MAX(1,MIN(IFERROR(MATCH(AF76,Tables!$E$244:$E$263,1),1),ROWS(Tables!$E$244:$E$263)-1)))+(AF76-INDEX(Tables!$E$244:$E$263,MAX(1,MIN(IFERROR(MATCH(AF76,Tables!$E$244:$E$263,1),1),ROWS(Tables!$E$244:$E$263)-1))))*(INDEX(Tables!$F$244:$F$263,MAX(1,MIN(IFERROR(MATCH(AF76,Tables!$E$244:$E$263,1),1),ROWS(Tables!$E$244:$E$263)-1))+1)-INDEX(Tables!$F$244:$F$263,MAX(1,MIN(IFERROR(MATCH(AF76,Tables!$E$244:$E$263,1),1),ROWS(Tables!$E$244:$E$263)-1))))/(INDEX(Tables!$E$244:$E$263,MAX(1,MIN(IFERROR(MATCH(AF76,Tables!$E$244:$E$263,1),1),ROWS(Tables!$E$244:$E$263)-1))+1)-INDEX(Tables!$E$244:$E$263,MAX(1,MIN(IFERROR(MATCH(AF76,Tables!$E$244:$E$263,1),1),ROWS(Tables!$E$244:$E$263)-1)))))))</f>
        <v>2.5920000000000001</v>
      </c>
      <c r="AV76" s="181">
        <f>IF(P76&lt;6,(INDEX(Tables!$B$260:$B$274,MAX(1,MIN(IFERROR(MATCH(U76,Tables!$A$260:$A$274,1),1),ROWS(Tables!$A$260:$A$274)-1)))+(U76-INDEX(Tables!$A$260:$A$274,MAX(1,MIN(IFERROR(MATCH(U76,Tables!$A$260:$A$274,1),1),ROWS(Tables!$A$260:$A$274)-1))))*(INDEX(Tables!$B$260:$B$274,MAX(1,MIN(IFERROR(MATCH(U76,Tables!$A$260:$A$274,1),1),ROWS(Tables!$A$260:$A$274)-1))+1)-INDEX(Tables!$B$260:$B$274,MAX(1,MIN(IFERROR(MATCH(U76,Tables!$A$260:$A$274,1),1),ROWS(Tables!$A$260:$A$274)-1))))/(INDEX(Tables!$A$260:$A$274,MAX(1,MIN(IFERROR(MATCH(U76,Tables!$A$260:$A$274,1),1),ROWS(Tables!$A$260:$A$274)-1))+1)-INDEX(Tables!$A$260:$A$274,MAX(1,MIN(IFERROR(MATCH(U76,Tables!$A$260:$A$274,1),1),ROWS(Tables!$A$260:$A$274)-1))))),IF(P76&lt;8,(INDEX(Tables!$D$260:$D$274,MAX(1,MIN(IFERROR(MATCH(U76,Tables!$C$260:$C$274,1),1),ROWS(Tables!$C$260:$C$274)-1)))+(U76-INDEX(Tables!$C$260:$C$274,MAX(1,MIN(IFERROR(MATCH(U76,Tables!$C$260:$C$274,1),1),ROWS(Tables!$C$260:$C$274)-1))))*(INDEX(Tables!$D$260:$D$274,MAX(1,MIN(IFERROR(MATCH(U76,Tables!$C$260:$C$274,1),1),ROWS(Tables!$C$260:$C$274)-1))+1)-INDEX(Tables!$D$260:$D$274,MAX(1,MIN(IFERROR(MATCH(U76,Tables!$C$260:$C$274,1),1),ROWS(Tables!$C$260:$C$274)-1))))/(INDEX(Tables!$C$260:$C$274,MAX(1,MIN(IFERROR(MATCH(U76,Tables!$C$260:$C$274,1),1),ROWS(Tables!$C$260:$C$274)-1))+1)-INDEX(Tables!$C$260:$C$274,MAX(1,MIN(IFERROR(MATCH(U76,Tables!$C$260:$C$274,1),1),ROWS(Tables!$C$260:$C$274)-1))))),IF(P76&lt;10,(INDEX(Tables!$F$260:$F$274,MAX(1,MIN(IFERROR(MATCH(U76,Tables!$E$260:$E$274,1),1),ROWS(Tables!$E$260:$E$274)-1)))+(U76-INDEX(Tables!$E$260:$E$274,MAX(1,MIN(IFERROR(MATCH(U76,Tables!$E$260:$E$274,1),1),ROWS(Tables!$E$260:$E$274)-1))))*(INDEX(Tables!$F$260:$F$274,MAX(1,MIN(IFERROR(MATCH(U76,Tables!$E$260:$E$274,1),1),ROWS(Tables!$E$260:$E$274)-1))+1)-INDEX(Tables!$F$260:$F$274,MAX(1,MIN(IFERROR(MATCH(U76,Tables!$E$260:$E$274,1),1),ROWS(Tables!$E$260:$E$274)-1))))/(INDEX(Tables!$E$260:$E$274,MAX(1,MIN(IFERROR(MATCH(U76,Tables!$E$260:$E$274,1),1),ROWS(Tables!$E$260:$E$274)-1))+1)-INDEX(Tables!$E$260:$E$274,MAX(1,MIN(IFERROR(MATCH(U76,Tables!$E$260:$E$274,1),1),ROWS(Tables!$E$260:$E$274)-1))))),(INDEX(Tables!$H$260:$H$274,MAX(1,MIN(IFERROR(MATCH(U76,Tables!$G$260:$G$274,1),1),ROWS(Tables!$G$260:$G$274)-1)))+(U76-INDEX(Tables!$G$260:$G$274,MAX(1,MIN(IFERROR(MATCH(U76,Tables!$G$260:$G$274,1),1),ROWS(Tables!$G$260:$G$274)-1))))*(INDEX(Tables!$H$260:$H$274,MAX(1,MIN(IFERROR(MATCH(U76,Tables!$G$260:$G$274,1),1),ROWS(Tables!$G$260:$G$274)-1))+1)-INDEX(Tables!$H$260:$H$274,MAX(1,MIN(IFERROR(MATCH(U76,Tables!$G$260:$G$274,1),1),ROWS(Tables!$G$260:$G$274)-1))))/(INDEX(Tables!$G$260:$G$274,MAX(1,MIN(IFERROR(MATCH(U76,Tables!$G$260:$G$274,1),1),ROWS(Tables!$G$260:$G$274)-1))+1)-INDEX(Tables!$G$260:$G$274,MAX(1,MIN(IFERROR(MATCH(U76,Tables!$G$260:$G$274,1),1),ROWS(Tables!$G$260:$G$274)-1))))))))</f>
        <v>0.64533333333333331</v>
      </c>
      <c r="AW76" s="181">
        <f t="shared" si="73"/>
        <v>110.43288702439024</v>
      </c>
      <c r="AX76" s="181">
        <f t="shared" si="74"/>
        <v>-68.044556313993183</v>
      </c>
      <c r="AY76" s="181">
        <f t="shared" si="75"/>
        <v>140.8298968397259</v>
      </c>
      <c r="AZ76" s="181">
        <f t="shared" si="76"/>
        <v>134.32376117634612</v>
      </c>
      <c r="BA76" s="181">
        <f t="shared" si="77"/>
        <v>14.73</v>
      </c>
      <c r="BB76" s="181">
        <f t="shared" si="78"/>
        <v>122.97597630546531</v>
      </c>
      <c r="BC76" s="181">
        <f t="shared" si="79"/>
        <v>46800</v>
      </c>
      <c r="BD76" s="181">
        <f>VLOOKUP(V76&amp;" "&amp;J76,Tables!$A$152:$E$239,4,FALSE)</f>
        <v>12000</v>
      </c>
      <c r="BE76" s="181">
        <f>VLOOKUP(V76&amp;" "&amp;J76,Tables!$A$152:$E$239,5,FALSE)</f>
        <v>23000</v>
      </c>
      <c r="BF76" s="181">
        <f t="shared" si="80"/>
        <v>8640</v>
      </c>
      <c r="BG76" s="181">
        <f t="shared" si="81"/>
        <v>16560</v>
      </c>
      <c r="BH76" s="181">
        <f t="shared" si="82"/>
        <v>-75.409556313993178</v>
      </c>
      <c r="BI76" s="181">
        <f t="shared" si="83"/>
        <v>46800</v>
      </c>
      <c r="BJ76" s="181">
        <f t="shared" si="84"/>
        <v>122.97597630546531</v>
      </c>
      <c r="BK76" s="181">
        <f t="shared" si="85"/>
        <v>46800</v>
      </c>
      <c r="BL76" s="181">
        <f t="shared" si="86"/>
        <v>110.43288702439024</v>
      </c>
      <c r="BM76" s="181">
        <f t="shared" si="87"/>
        <v>8640</v>
      </c>
      <c r="BN76" s="181">
        <f t="shared" si="88"/>
        <v>61.193649666539642</v>
      </c>
      <c r="BO76" s="181">
        <f t="shared" si="89"/>
        <v>16560</v>
      </c>
      <c r="BP76" t="str">
        <f t="shared" si="90"/>
        <v>Pass</v>
      </c>
      <c r="BQ76" t="str">
        <f t="shared" si="91"/>
        <v>Pass</v>
      </c>
      <c r="BR76" t="str">
        <f t="shared" si="92"/>
        <v>Pass</v>
      </c>
      <c r="BS76" t="str">
        <f t="shared" si="93"/>
        <v>Pass</v>
      </c>
      <c r="BT76" t="str">
        <f t="shared" si="94"/>
        <v>Pass</v>
      </c>
      <c r="BU76" t="str">
        <f t="shared" si="95"/>
        <v>Girth Weld Stress</v>
      </c>
    </row>
    <row r="77" spans="1:73">
      <c r="A77" t="s">
        <v>669</v>
      </c>
      <c r="B77" s="181">
        <v>75</v>
      </c>
      <c r="C77" t="s">
        <v>594</v>
      </c>
      <c r="D77" s="181">
        <v>36</v>
      </c>
      <c r="E77" s="181">
        <v>0.75</v>
      </c>
      <c r="F77" t="s">
        <v>117</v>
      </c>
      <c r="G77" t="s">
        <v>119</v>
      </c>
      <c r="H77" t="s">
        <v>122</v>
      </c>
      <c r="I77" s="181">
        <v>1</v>
      </c>
      <c r="J77" t="s">
        <v>126</v>
      </c>
      <c r="K77" t="s">
        <v>129</v>
      </c>
      <c r="L77" s="181">
        <v>70</v>
      </c>
      <c r="M77" s="181">
        <v>0</v>
      </c>
      <c r="N77" t="s">
        <v>390</v>
      </c>
      <c r="O77" s="181">
        <v>120</v>
      </c>
      <c r="P77" s="181">
        <v>14</v>
      </c>
      <c r="Q77" s="181">
        <v>38</v>
      </c>
      <c r="R77" t="s">
        <v>418</v>
      </c>
      <c r="S77" t="s">
        <v>420</v>
      </c>
      <c r="T77" s="181">
        <v>70</v>
      </c>
      <c r="U77" s="181">
        <f>HLOOKUP(D77,'Highway Loading'!$C$155:$AD$156,2,FALSE)</f>
        <v>36</v>
      </c>
      <c r="V77" s="181">
        <f>IF(ISBLANK(G77),"",INDEX('Highway Loading'!$C$216:$AG$216,1,MATCH(G77,'Highway Loading'!$C$215:$AG$215,0)))</f>
        <v>65000</v>
      </c>
      <c r="W77" s="181">
        <f>INDEX('Highway Loading'!$I$245:$L$253,MATCH(H77,'Highway Loading'!$H$245:$H$253,0),MATCH(I77,'Highway Loading'!$I$244:$L$244,0))</f>
        <v>0.72</v>
      </c>
      <c r="X77" s="181">
        <f t="shared" si="64"/>
        <v>1</v>
      </c>
      <c r="Y77" s="181">
        <f>VLOOKUP(K77,'Highway Loading'!$B$283:$E$292,2,FALSE)</f>
        <v>29000000</v>
      </c>
      <c r="Z77" s="181">
        <f>VLOOKUP(K77,'Highway Loading'!$B$283:$E$292,3,FALSE)</f>
        <v>0.3</v>
      </c>
      <c r="AA77" s="181">
        <f>VLOOKUP(K77,'Highway Loading'!$B$283:$E$292,4,FALSE)</f>
        <v>6.4999999999999996E-6</v>
      </c>
      <c r="AB77" s="181">
        <f t="shared" si="65"/>
        <v>1</v>
      </c>
      <c r="AC77" s="181">
        <f>VLOOKUP(N77,'Highway Loading'!$B$256:$D$261,2,FALSE)</f>
        <v>1000</v>
      </c>
      <c r="AD77" s="181">
        <f>VLOOKUP(N77,'Highway Loading'!$B$256:$D$261,3,FALSE)</f>
        <v>10000</v>
      </c>
      <c r="AE77" s="181">
        <f>VLOOKUP(S77,'Highway Loading'!$B$340:$C$341,2,FALSE)</f>
        <v>12000</v>
      </c>
      <c r="AF77" s="181">
        <f t="shared" si="66"/>
        <v>2.0833333333333332E-2</v>
      </c>
      <c r="AG77" s="181">
        <f t="shared" si="67"/>
        <v>4.4210526315789478</v>
      </c>
      <c r="AH77" s="181">
        <f t="shared" si="68"/>
        <v>1.0555555555555556</v>
      </c>
      <c r="AI77" s="181">
        <f t="shared" si="69"/>
        <v>0</v>
      </c>
      <c r="AJ77" s="181">
        <f t="shared" si="70"/>
        <v>46800</v>
      </c>
      <c r="AK77" s="181">
        <f>IF(AC77=200,(INDEX(Tables!$B$17:$B$38,MAX(1,MIN(IFERROR(MATCH(AF77,Tables!$A$17:$A$38,1),1),ROWS(Tables!$A$17:$A$38)-1)))+(AF77-INDEX(Tables!$A$17:$A$38,MAX(1,MIN(IFERROR(MATCH(AF77,Tables!$A$17:$A$38,1),1),ROWS(Tables!$A$17:$A$38)-1))))*(INDEX(Tables!$B$17:$B$38,MAX(1,MIN(IFERROR(MATCH(AF77,Tables!$A$17:$A$38,1),1),ROWS(Tables!$A$17:$A$38)-1))+1)-INDEX(Tables!$B$17:$B$38,MAX(1,MIN(IFERROR(MATCH(AF77,Tables!$A$17:$A$38,1),1),ROWS(Tables!$A$17:$A$38)-1))))/(INDEX(Tables!$A$17:$A$38,MAX(1,MIN(IFERROR(MATCH(AF77,Tables!$A$17:$A$38,1),1),ROWS(Tables!$A$17:$A$38)-1))+1)-INDEX(Tables!$A$17:$A$38,MAX(1,MIN(IFERROR(MATCH(AF77,Tables!$A$17:$A$38,1),1),ROWS(Tables!$A$17:$A$38)-1))))),IF(AC77=500,(INDEX(Tables!$D$17:$D$38,MAX(1,MIN(IFERROR(MATCH(AF77,Tables!$C$17:$C$38,1),1),ROWS(Tables!$C$17:$C$38)-1)))+(AF77-INDEX(Tables!$C$17:$C$38,MAX(1,MIN(IFERROR(MATCH(AF77,Tables!$C$17:$C$38,1),1),ROWS(Tables!$C$17:$C$38)-1))))*(INDEX(Tables!$D$17:$D$38,MAX(1,MIN(IFERROR(MATCH(AF77,Tables!$C$17:$C$38,1),1),ROWS(Tables!$C$17:$C$38)-1))+1)-INDEX(Tables!$D$17:$D$38,MAX(1,MIN(IFERROR(MATCH(AF77,Tables!$C$17:$C$38,1),1),ROWS(Tables!$C$17:$C$38)-1))))/(INDEX(Tables!$C$17:$C$38,MAX(1,MIN(IFERROR(MATCH(AF77,Tables!$C$17:$C$38,1),1),ROWS(Tables!$C$17:$C$38)-1))+1)-INDEX(Tables!$C$17:$C$38,MAX(1,MIN(IFERROR(MATCH(AF77,Tables!$C$17:$C$38,1),1),ROWS(Tables!$C$17:$C$38)-1))))),IF(AC77=1000,(INDEX(Tables!$F$17:$F$38,MAX(1,MIN(IFERROR(MATCH(AF77,Tables!$E$17:$E$38,1),1),ROWS(Tables!$E$17:$E$38)-1)))+(AF77-INDEX(Tables!$E$17:$E$38,MAX(1,MIN(IFERROR(MATCH(AF77,Tables!$E$17:$E$38,1),1),ROWS(Tables!$E$17:$E$38)-1))))*(INDEX(Tables!$F$17:$F$38,MAX(1,MIN(IFERROR(MATCH(AF77,Tables!$E$17:$E$38,1),1),ROWS(Tables!$E$17:$E$38)-1))+1)-INDEX(Tables!$F$17:$F$38,MAX(1,MIN(IFERROR(MATCH(AF77,Tables!$E$17:$E$38,1),1),ROWS(Tables!$E$17:$E$38)-1))))/(INDEX(Tables!$E$17:$E$38,MAX(1,MIN(IFERROR(MATCH(AF77,Tables!$E$17:$E$38,1),1),ROWS(Tables!$E$17:$E$38)-1))+1)-INDEX(Tables!$E$17:$E$38,MAX(1,MIN(IFERROR(MATCH(AF77,Tables!$E$17:$E$38,1),1),ROWS(Tables!$E$17:$E$38)-1))))),(INDEX(Tables!$H$17:$H$38,MAX(1,MIN(IFERROR(MATCH(AF77,Tables!$G$17:$G$38,1),1),ROWS(Tables!$G$17:$G$38)-1)))+(AF77-INDEX(Tables!$G$17:$G$38,MAX(1,MIN(IFERROR(MATCH(AF77,Tables!$G$17:$G$38,1),1),ROWS(Tables!$G$17:$G$38)-1))))*(INDEX(Tables!$H$17:$H$38,MAX(1,MIN(IFERROR(MATCH(AF77,Tables!$G$17:$G$38,1),1),ROWS(Tables!$G$17:$G$38)-1))+1)-INDEX(Tables!$H$17:$H$38,MAX(1,MIN(IFERROR(MATCH(AF77,Tables!$G$17:$G$38,1),1),ROWS(Tables!$G$17:$G$38)-1))))/(INDEX(Tables!$G$17:$G$38,MAX(1,MIN(IFERROR(MATCH(AF77,Tables!$G$17:$G$38,1),1),ROWS(Tables!$G$17:$G$38)-1))+1)-INDEX(Tables!$G$17:$G$38,MAX(1,MIN(IFERROR(MATCH(AF77,Tables!$G$17:$G$38,1),1),ROWS(Tables!$G$17:$G$38)-1))))))))</f>
        <v>2167.5000000000005</v>
      </c>
      <c r="AL77" s="181">
        <f>IF(AC77&lt;1000,(INDEX(Tables!$B$43:$B$76,MAX(1,MIN(IFERROR(MATCH(AG77,Tables!$A$43:$A$76,1),1),ROWS(Tables!$A$43:$A$76)-1)))+(AG77-INDEX(Tables!$A$43:$A$76,MAX(1,MIN(IFERROR(MATCH(AG77,Tables!$A$43:$A$76,1),1),ROWS(Tables!$A$43:$A$76)-1))))*(INDEX(Tables!$B$43:$B$76,MAX(1,MIN(IFERROR(MATCH(AG77,Tables!$A$43:$A$76,1),1),ROWS(Tables!$A$43:$A$76)-1))+1)-INDEX(Tables!$B$43:$B$76,MAX(1,MIN(IFERROR(MATCH(AG77,Tables!$A$43:$A$76,1),1),ROWS(Tables!$A$43:$A$76)-1))))/(INDEX(Tables!$A$43:$A$76,MAX(1,MIN(IFERROR(MATCH(AG77,Tables!$A$43:$A$76,1),1),ROWS(Tables!$A$43:$A$76)-1))+1)-INDEX(Tables!$A$43:$A$76,MAX(1,MIN(IFERROR(MATCH(AG77,Tables!$A$43:$A$76,1),1),ROWS(Tables!$A$43:$A$76)-1))))),(INDEX(Tables!$D$43:$D$76,MAX(1,MIN(IFERROR(MATCH(AG77,Tables!$C$43:$C$76,1),1),ROWS(Tables!$C$43:$C$76)-1)))+(AG77-INDEX(Tables!$C$43:$C$76,MAX(1,MIN(IFERROR(MATCH(AG77,Tables!$C$43:$C$76,1),1),ROWS(Tables!$C$43:$C$76)-1))))*(INDEX(Tables!$D$43:$D$76,MAX(1,MIN(IFERROR(MATCH(AG77,Tables!$C$43:$C$76,1),1),ROWS(Tables!$C$43:$C$76)-1))+1)-INDEX(Tables!$D$43:$D$76,MAX(1,MIN(IFERROR(MATCH(AG77,Tables!$C$43:$C$76,1),1),ROWS(Tables!$C$43:$C$76)-1))))/(INDEX(Tables!$C$43:$C$76,MAX(1,MIN(IFERROR(MATCH(AG77,Tables!$C$43:$C$76,1),1),ROWS(Tables!$C$43:$C$76)-1))+1)-INDEX(Tables!$C$43:$C$76,MAX(1,MIN(IFERROR(MATCH(AG77,Tables!$C$43:$C$76,1),1),ROWS(Tables!$C$43:$C$76)-1))))))</f>
        <v>0.92289473684210532</v>
      </c>
      <c r="AM77" s="181">
        <f>(INDEX(Tables!$B$80:$B$87,MAX(1,MIN(IFERROR(MATCH(AH77,Tables!$A$80:$A$87,1),1),ROWS(Tables!$A$80:$A$87)-1)))+(AH77-INDEX(Tables!$A$80:$A$87,MAX(1,MIN(IFERROR(MATCH(AH77,Tables!$A$80:$A$87,1),1),ROWS(Tables!$A$80:$A$87)-1))))*(INDEX(Tables!$B$80:$B$87,MAX(1,MIN(IFERROR(MATCH(AH77,Tables!$A$80:$A$87,1),1),ROWS(Tables!$A$80:$A$87)-1))+1)-INDEX(Tables!$B$80:$B$87,MAX(1,MIN(IFERROR(MATCH(AH77,Tables!$A$80:$A$87,1),1),ROWS(Tables!$A$80:$A$87)-1))))/(INDEX(Tables!$A$80:$A$87,MAX(1,MIN(IFERROR(MATCH(AH77,Tables!$A$80:$A$87,1),1),ROWS(Tables!$A$80:$A$87)-1))+1)-INDEX(Tables!$A$80:$A$87,MAX(1,MIN(IFERROR(MATCH(AH77,Tables!$A$80:$A$87,1),1),ROWS(Tables!$A$80:$A$87)-1)))))</f>
        <v>0.91873333333333329</v>
      </c>
      <c r="AN77" s="181">
        <f t="shared" si="71"/>
        <v>4594.5264680921064</v>
      </c>
      <c r="AO77" s="181">
        <f>(INDEX(Tables!$B$91:$B$94,MAX(1,MIN(IFERROR(MATCH(P77,Tables!$A$91:$A$94,1),1),ROWS(Tables!$A$91:$A$94)-1)))+(P77-INDEX(Tables!$A$91:$A$94,MAX(1,MIN(IFERROR(MATCH(P77,Tables!$A$91:$A$94,1),1),ROWS(Tables!$A$91:$A$94)-1))))*(INDEX(Tables!$B$91:$B$94,MAX(1,MIN(IFERROR(MATCH(P77,Tables!$A$91:$A$94,1),1),ROWS(Tables!$A$91:$A$94)-1))+1)-INDEX(Tables!$B$91:$B$94,MAX(1,MIN(IFERROR(MATCH(P77,Tables!$A$91:$A$94,1),1),ROWS(Tables!$A$91:$A$94)-1))))/(INDEX(Tables!$A$91:$A$94,MAX(1,MIN(IFERROR(MATCH(P77,Tables!$A$91:$A$94,1),1),ROWS(Tables!$A$91:$A$94)-1))+1)-INDEX(Tables!$A$91:$A$94,MAX(1,MIN(IFERROR(MATCH(P77,Tables!$A$91:$A$94,1),1),ROWS(Tables!$A$91:$A$94)-1)))))</f>
        <v>1.2323170731707318</v>
      </c>
      <c r="AP77" s="181">
        <f>IF(AD77=5000,(INDEX(Tables!$B$99:$B$118,MAX(1,MIN(IFERROR(MATCH(AF77,Tables!$A$99:$A$118,1),1),ROWS(Tables!$A$99:$A$118)-1)))+(AF77-INDEX(Tables!$A$99:$A$118,MAX(1,MIN(IFERROR(MATCH(AF77,Tables!$A$99:$A$118,1),1),ROWS(Tables!$A$99:$A$118)-1))))*(INDEX(Tables!$B$99:$B$118,MAX(1,MIN(IFERROR(MATCH(AF77,Tables!$A$99:$A$118,1),1),ROWS(Tables!$A$99:$A$118)-1))+1)-INDEX(Tables!$B$99:$B$118,MAX(1,MIN(IFERROR(MATCH(AF77,Tables!$A$99:$A$118,1),1),ROWS(Tables!$A$99:$A$118)-1))))/(INDEX(Tables!$A$99:$A$118,MAX(1,MIN(IFERROR(MATCH(AF77,Tables!$A$99:$A$118,1),1),ROWS(Tables!$A$99:$A$118)-1))+1)-INDEX(Tables!$A$99:$A$118,MAX(1,MIN(IFERROR(MATCH(AF77,Tables!$A$99:$A$118,1),1),ROWS(Tables!$A$99:$A$118)-1))))),IF(AD77=10000,(INDEX(Tables!$D$99:$D$118,MAX(1,MIN(IFERROR(MATCH(AF77,Tables!$C$99:$C$118,1),1),ROWS(Tables!$C$99:$C$118)-1)))+(AF77-INDEX(Tables!$C$99:$C$118,MAX(1,MIN(IFERROR(MATCH(AF77,Tables!$C$99:$C$118,1),1),ROWS(Tables!$C$99:$C$118)-1))))*(INDEX(Tables!$D$99:$D$118,MAX(1,MIN(IFERROR(MATCH(AF77,Tables!$C$99:$C$118,1),1),ROWS(Tables!$C$99:$C$118)-1))+1)-INDEX(Tables!$D$99:$D$118,MAX(1,MIN(IFERROR(MATCH(AF77,Tables!$C$99:$C$118,1),1),ROWS(Tables!$C$99:$C$118)-1))))/(INDEX(Tables!$C$99:$C$118,MAX(1,MIN(IFERROR(MATCH(AF77,Tables!$C$99:$C$118,1),1),ROWS(Tables!$C$99:$C$118)-1))+1)-INDEX(Tables!$C$99:$C$118,MAX(1,MIN(IFERROR(MATCH(AF77,Tables!$C$99:$C$118,1),1),ROWS(Tables!$C$99:$C$118)-1))))),(INDEX(Tables!$F$99:$F$118,MAX(1,MIN(IFERROR(MATCH(AF77,Tables!$E$99:$E$118,1),1),ROWS(Tables!$E$99:$E$118)-1)))+(AF77-INDEX(Tables!$E$99:$E$118,MAX(1,MIN(IFERROR(MATCH(AF77,Tables!$E$99:$E$118,1),1),ROWS(Tables!$E$99:$E$118)-1))))*(INDEX(Tables!$F$99:$F$118,MAX(1,MIN(IFERROR(MATCH(AF77,Tables!$E$99:$E$118,1),1),ROWS(Tables!$E$99:$E$118)-1))+1)-INDEX(Tables!$F$99:$F$118,MAX(1,MIN(IFERROR(MATCH(AF77,Tables!$E$99:$E$118,1),1),ROWS(Tables!$E$99:$E$118)-1))))/(INDEX(Tables!$E$99:$E$118,MAX(1,MIN(IFERROR(MATCH(AF77,Tables!$E$99:$E$118,1),1),ROWS(Tables!$E$99:$E$118)-1))+1)-INDEX(Tables!$E$99:$E$118,MAX(1,MIN(IFERROR(MATCH(AF77,Tables!$E$99:$E$118,1),1),ROWS(Tables!$E$99:$E$118)-1)))))))</f>
        <v>13.84400081900082</v>
      </c>
      <c r="AQ77" s="181">
        <f>IF(P77&lt;6,(INDEX(Tables!$B$123:$B$138,MAX(1,MIN(IFERROR(MATCH(U77,Tables!$A$123:$A$138,1),1),ROWS(Tables!$A$123:$A$138)-1)))+(U77-INDEX(Tables!$A$123:$A$138,MAX(1,MIN(IFERROR(MATCH(U77,Tables!$A$123:$A$138,1),1),ROWS(Tables!$A$123:$A$138)-1))))*(INDEX(Tables!$B$123:$B$138,MAX(1,MIN(IFERROR(MATCH(U77,Tables!$A$123:$A$138,1),1),ROWS(Tables!$A$123:$A$138)-1))+1)-INDEX(Tables!$B$123:$B$138,MAX(1,MIN(IFERROR(MATCH(U77,Tables!$A$123:$A$138,1),1),ROWS(Tables!$A$123:$A$138)-1))))/(INDEX(Tables!$A$123:$A$138,MAX(1,MIN(IFERROR(MATCH(U77,Tables!$A$123:$A$138,1),1),ROWS(Tables!$A$123:$A$138)-1))+1)-INDEX(Tables!$A$123:$A$138,MAX(1,MIN(IFERROR(MATCH(U77,Tables!$A$123:$A$138,1),1),ROWS(Tables!$A$123:$A$138)-1))))),IF(P77&lt;8,(INDEX(Tables!$D$123:$D$138,MAX(1,MIN(IFERROR(MATCH(U77,Tables!$C$123:$C$138,1),1),ROWS(Tables!$C$123:$C$138)-1)))+(U77-INDEX(Tables!$C$123:$C$138,MAX(1,MIN(IFERROR(MATCH(U77,Tables!$C$123:$C$138,1),1),ROWS(Tables!$C$123:$C$138)-1))))*(INDEX(Tables!$D$123:$D$138,MAX(1,MIN(IFERROR(MATCH(U77,Tables!$C$123:$C$138,1),1),ROWS(Tables!$C$123:$C$138)-1))+1)-INDEX(Tables!$D$123:$D$138,MAX(1,MIN(IFERROR(MATCH(U77,Tables!$C$123:$C$138,1),1),ROWS(Tables!$C$123:$C$138)-1))))/(INDEX(Tables!$C$123:$C$138,MAX(1,MIN(IFERROR(MATCH(U77,Tables!$C$123:$C$138,1),1),ROWS(Tables!$C$123:$C$138)-1))+1)-INDEX(Tables!$C$123:$C$138,MAX(1,MIN(IFERROR(MATCH(U77,Tables!$C$123:$C$138,1),1),ROWS(Tables!$C$123:$C$138)-1))))),IF(P77&lt;10,(INDEX(Tables!$F$123:$F$138,MAX(1,MIN(IFERROR(MATCH(U77,Tables!$E$123:$E$138,1),1),ROWS(Tables!$E$123:$E$138)-1)))+(U77-INDEX(Tables!$E$123:$E$138,MAX(1,MIN(IFERROR(MATCH(U77,Tables!$E$123:$E$138,1),1),ROWS(Tables!$E$123:$E$138)-1))))*(INDEX(Tables!$F$123:$F$138,MAX(1,MIN(IFERROR(MATCH(U77,Tables!$E$123:$E$138,1),1),ROWS(Tables!$E$123:$E$138)-1))+1)-INDEX(Tables!$F$123:$F$138,MAX(1,MIN(IFERROR(MATCH(U77,Tables!$E$123:$E$138,1),1),ROWS(Tables!$E$123:$E$138)-1))))/(INDEX(Tables!$E$123:$E$138,MAX(1,MIN(IFERROR(MATCH(U77,Tables!$E$123:$E$138,1),1),ROWS(Tables!$E$123:$E$138)-1))+1)-INDEX(Tables!$E$123:$E$138,MAX(1,MIN(IFERROR(MATCH(U77,Tables!$E$123:$E$138,1),1),ROWS(Tables!$E$123:$E$138)-1))))),(INDEX(Tables!$H$123:$H$138,MAX(1,MIN(IFERROR(MATCH(U77,Tables!$G$123:$G$138,1),1),ROWS(Tables!$G$123:$G$138)-1)))+(U77-INDEX(Tables!$G$123:$G$138,MAX(1,MIN(IFERROR(MATCH(U77,Tables!$G$123:$G$138,1),1),ROWS(Tables!$G$123:$G$138)-1))))*(INDEX(Tables!$H$123:$H$138,MAX(1,MIN(IFERROR(MATCH(U77,Tables!$G$123:$G$138,1),1),ROWS(Tables!$G$123:$G$138)-1))+1)-INDEX(Tables!$H$123:$H$138,MAX(1,MIN(IFERROR(MATCH(U77,Tables!$G$123:$G$138,1),1),ROWS(Tables!$G$123:$G$138)-1))))/(INDEX(Tables!$G$123:$G$138,MAX(1,MIN(IFERROR(MATCH(U77,Tables!$G$123:$G$138,1),1),ROWS(Tables!$G$123:$G$138)-1))+1)-INDEX(Tables!$G$123:$G$138,MAX(1,MIN(IFERROR(MATCH(U77,Tables!$G$123:$G$138,1),1),ROWS(Tables!$G$123:$G$138)-1))))))))</f>
        <v>0.50060000000000004</v>
      </c>
      <c r="AR77" s="181">
        <f>IF(OR(P77&gt;=4,U77&gt;12),VLOOKUP(R77&amp;" "&amp;S77,Tables!$D$143:$F$148,2,FALSE),VLOOKUP(R77&amp;" "&amp;S77,Tables!$A$143:$C$148,2,FALSE))</f>
        <v>0.9</v>
      </c>
      <c r="AS77" s="181">
        <f>IF(OR(P77&gt;=4,U77&gt;12),VLOOKUP(R77&amp;" "&amp;S77,Tables!$D$143:$F$148,3,FALSE),VLOOKUP(R77&amp;" "&amp;S77,Tables!$A$143:$C$148,3,FALSE))</f>
        <v>0.65</v>
      </c>
      <c r="AT77" s="181">
        <f t="shared" si="72"/>
        <v>416.34135095788463</v>
      </c>
      <c r="AU77" s="181">
        <f>IF(AD77=5000,(INDEX(Tables!$B$244:$B$263,MAX(1,MIN(IFERROR(MATCH(AF77,Tables!$A$244:$A$263,1),1),ROWS(Tables!$A$244:$A$263)-1)))+(AF77-INDEX(Tables!$A$244:$A$263,MAX(1,MIN(IFERROR(MATCH(AF77,Tables!$A$244:$A$263,1),1),ROWS(Tables!$A$244:$A$263)-1))))*(INDEX(Tables!$B$244:$B$263,MAX(1,MIN(IFERROR(MATCH(AF77,Tables!$A$244:$A$263,1),1),ROWS(Tables!$A$244:$A$263)-1))+1)-INDEX(Tables!$B$244:$B$263,MAX(1,MIN(IFERROR(MATCH(AF77,Tables!$A$244:$A$263,1),1),ROWS(Tables!$A$244:$A$263)-1))))/(INDEX(Tables!$A$244:$A$263,MAX(1,MIN(IFERROR(MATCH(AF77,Tables!$A$244:$A$263,1),1),ROWS(Tables!$A$244:$A$263)-1))+1)-INDEX(Tables!$A$244:$A$263,MAX(1,MIN(IFERROR(MATCH(AF77,Tables!$A$244:$A$263,1),1),ROWS(Tables!$A$244:$A$263)-1))))),IF(AD77=10000,(INDEX(Tables!$D$244:$D$263,MAX(1,MIN(IFERROR(MATCH(AF77,Tables!$C$244:$C$263,1),1),ROWS(Tables!$C$244:$C$263)-1)))+(AF77-INDEX(Tables!$C$244:$C$263,MAX(1,MIN(IFERROR(MATCH(AF77,Tables!$C$244:$C$263,1),1),ROWS(Tables!$C$244:$C$263)-1))))*(INDEX(Tables!$D$244:$D$263,MAX(1,MIN(IFERROR(MATCH(AF77,Tables!$C$244:$C$263,1),1),ROWS(Tables!$C$244:$C$263)-1))+1)-INDEX(Tables!$D$244:$D$263,MAX(1,MIN(IFERROR(MATCH(AF77,Tables!$C$244:$C$263,1),1),ROWS(Tables!$C$244:$C$263)-1))))/(INDEX(Tables!$C$244:$C$263,MAX(1,MIN(IFERROR(MATCH(AF77,Tables!$C$244:$C$263,1),1),ROWS(Tables!$C$244:$C$263)-1))+1)-INDEX(Tables!$C$244:$C$263,MAX(1,MIN(IFERROR(MATCH(AF77,Tables!$C$244:$C$263,1),1),ROWS(Tables!$C$244:$C$263)-1))))),(INDEX(Tables!$F$244:$F$263,MAX(1,MIN(IFERROR(MATCH(AF77,Tables!$E$244:$E$263,1),1),ROWS(Tables!$E$244:$E$263)-1)))+(AF77-INDEX(Tables!$E$244:$E$263,MAX(1,MIN(IFERROR(MATCH(AF77,Tables!$E$244:$E$263,1),1),ROWS(Tables!$E$244:$E$263)-1))))*(INDEX(Tables!$F$244:$F$263,MAX(1,MIN(IFERROR(MATCH(AF77,Tables!$E$244:$E$263,1),1),ROWS(Tables!$E$244:$E$263)-1))+1)-INDEX(Tables!$F$244:$F$263,MAX(1,MIN(IFERROR(MATCH(AF77,Tables!$E$244:$E$263,1),1),ROWS(Tables!$E$244:$E$263)-1))))/(INDEX(Tables!$E$244:$E$263,MAX(1,MIN(IFERROR(MATCH(AF77,Tables!$E$244:$E$263,1),1),ROWS(Tables!$E$244:$E$263)-1))+1)-INDEX(Tables!$E$244:$E$263,MAX(1,MIN(IFERROR(MATCH(AF77,Tables!$E$244:$E$263,1),1),ROWS(Tables!$E$244:$E$263)-1)))))))</f>
        <v>9.6654999999999998</v>
      </c>
      <c r="AV77" s="181">
        <f>IF(P77&lt;6,(INDEX(Tables!$B$260:$B$274,MAX(1,MIN(IFERROR(MATCH(U77,Tables!$A$260:$A$274,1),1),ROWS(Tables!$A$260:$A$274)-1)))+(U77-INDEX(Tables!$A$260:$A$274,MAX(1,MIN(IFERROR(MATCH(U77,Tables!$A$260:$A$274,1),1),ROWS(Tables!$A$260:$A$274)-1))))*(INDEX(Tables!$B$260:$B$274,MAX(1,MIN(IFERROR(MATCH(U77,Tables!$A$260:$A$274,1),1),ROWS(Tables!$A$260:$A$274)-1))+1)-INDEX(Tables!$B$260:$B$274,MAX(1,MIN(IFERROR(MATCH(U77,Tables!$A$260:$A$274,1),1),ROWS(Tables!$A$260:$A$274)-1))))/(INDEX(Tables!$A$260:$A$274,MAX(1,MIN(IFERROR(MATCH(U77,Tables!$A$260:$A$274,1),1),ROWS(Tables!$A$260:$A$274)-1))+1)-INDEX(Tables!$A$260:$A$274,MAX(1,MIN(IFERROR(MATCH(U77,Tables!$A$260:$A$274,1),1),ROWS(Tables!$A$260:$A$274)-1))))),IF(P77&lt;8,(INDEX(Tables!$D$260:$D$274,MAX(1,MIN(IFERROR(MATCH(U77,Tables!$C$260:$C$274,1),1),ROWS(Tables!$C$260:$C$274)-1)))+(U77-INDEX(Tables!$C$260:$C$274,MAX(1,MIN(IFERROR(MATCH(U77,Tables!$C$260:$C$274,1),1),ROWS(Tables!$C$260:$C$274)-1))))*(INDEX(Tables!$D$260:$D$274,MAX(1,MIN(IFERROR(MATCH(U77,Tables!$C$260:$C$274,1),1),ROWS(Tables!$C$260:$C$274)-1))+1)-INDEX(Tables!$D$260:$D$274,MAX(1,MIN(IFERROR(MATCH(U77,Tables!$C$260:$C$274,1),1),ROWS(Tables!$C$260:$C$274)-1))))/(INDEX(Tables!$C$260:$C$274,MAX(1,MIN(IFERROR(MATCH(U77,Tables!$C$260:$C$274,1),1),ROWS(Tables!$C$260:$C$274)-1))+1)-INDEX(Tables!$C$260:$C$274,MAX(1,MIN(IFERROR(MATCH(U77,Tables!$C$260:$C$274,1),1),ROWS(Tables!$C$260:$C$274)-1))))),IF(P77&lt;10,(INDEX(Tables!$F$260:$F$274,MAX(1,MIN(IFERROR(MATCH(U77,Tables!$E$260:$E$274,1),1),ROWS(Tables!$E$260:$E$274)-1)))+(U77-INDEX(Tables!$E$260:$E$274,MAX(1,MIN(IFERROR(MATCH(U77,Tables!$E$260:$E$274,1),1),ROWS(Tables!$E$260:$E$274)-1))))*(INDEX(Tables!$F$260:$F$274,MAX(1,MIN(IFERROR(MATCH(U77,Tables!$E$260:$E$274,1),1),ROWS(Tables!$E$260:$E$274)-1))+1)-INDEX(Tables!$F$260:$F$274,MAX(1,MIN(IFERROR(MATCH(U77,Tables!$E$260:$E$274,1),1),ROWS(Tables!$E$260:$E$274)-1))))/(INDEX(Tables!$E$260:$E$274,MAX(1,MIN(IFERROR(MATCH(U77,Tables!$E$260:$E$274,1),1),ROWS(Tables!$E$260:$E$274)-1))+1)-INDEX(Tables!$E$260:$E$274,MAX(1,MIN(IFERROR(MATCH(U77,Tables!$E$260:$E$274,1),1),ROWS(Tables!$E$260:$E$274)-1))))),(INDEX(Tables!$H$260:$H$274,MAX(1,MIN(IFERROR(MATCH(U77,Tables!$G$260:$G$274,1),1),ROWS(Tables!$G$260:$G$274)-1)))+(U77-INDEX(Tables!$G$260:$G$274,MAX(1,MIN(IFERROR(MATCH(U77,Tables!$G$260:$G$274,1),1),ROWS(Tables!$G$260:$G$274)-1))))*(INDEX(Tables!$H$260:$H$274,MAX(1,MIN(IFERROR(MATCH(U77,Tables!$G$260:$G$274,1),1),ROWS(Tables!$G$260:$G$274)-1))+1)-INDEX(Tables!$H$260:$H$274,MAX(1,MIN(IFERROR(MATCH(U77,Tables!$G$260:$G$274,1),1),ROWS(Tables!$G$260:$G$274)-1))))/(INDEX(Tables!$G$260:$G$274,MAX(1,MIN(IFERROR(MATCH(U77,Tables!$G$260:$G$274,1),1),ROWS(Tables!$G$260:$G$274)-1))+1)-INDEX(Tables!$G$260:$G$274,MAX(1,MIN(IFERROR(MATCH(U77,Tables!$G$260:$G$274,1),1),ROWS(Tables!$G$260:$G$274)-1))))))))</f>
        <v>0.51828571428571424</v>
      </c>
      <c r="AW77" s="181">
        <f t="shared" si="73"/>
        <v>300.94743700413761</v>
      </c>
      <c r="AX77" s="181">
        <f t="shared" si="74"/>
        <v>0</v>
      </c>
      <c r="AY77" s="181">
        <f t="shared" si="75"/>
        <v>5010.8678190499913</v>
      </c>
      <c r="AZ77" s="181">
        <f t="shared" si="76"/>
        <v>1679.3053774317693</v>
      </c>
      <c r="BA77" s="181">
        <f t="shared" si="77"/>
        <v>0</v>
      </c>
      <c r="BB77" s="181">
        <f t="shared" si="78"/>
        <v>4417.4750227399836</v>
      </c>
      <c r="BC77" s="181">
        <f t="shared" si="79"/>
        <v>46800</v>
      </c>
      <c r="BD77" s="181">
        <f>VLOOKUP(V77&amp;" "&amp;J77,Tables!$A$152:$E$239,4,FALSE)</f>
        <v>12000</v>
      </c>
      <c r="BE77" s="181">
        <f>VLOOKUP(V77&amp;" "&amp;J77,Tables!$A$152:$E$239,5,FALSE)</f>
        <v>23000</v>
      </c>
      <c r="BF77" s="181">
        <f t="shared" si="80"/>
        <v>8640</v>
      </c>
      <c r="BG77" s="181">
        <f t="shared" si="81"/>
        <v>16560</v>
      </c>
      <c r="BH77" s="181">
        <f t="shared" si="82"/>
        <v>0</v>
      </c>
      <c r="BI77" s="181">
        <f t="shared" si="83"/>
        <v>46800</v>
      </c>
      <c r="BJ77" s="181">
        <f t="shared" si="84"/>
        <v>4417.4750227399836</v>
      </c>
      <c r="BK77" s="181">
        <f t="shared" si="85"/>
        <v>46800</v>
      </c>
      <c r="BL77" s="181">
        <f t="shared" si="86"/>
        <v>300.94743700413761</v>
      </c>
      <c r="BM77" s="181">
        <f t="shared" si="87"/>
        <v>8640</v>
      </c>
      <c r="BN77" s="181">
        <f t="shared" si="88"/>
        <v>416.34135095788463</v>
      </c>
      <c r="BO77" s="181">
        <f t="shared" si="89"/>
        <v>16560</v>
      </c>
      <c r="BP77" t="str">
        <f t="shared" si="90"/>
        <v>Pass</v>
      </c>
      <c r="BQ77" t="str">
        <f t="shared" si="91"/>
        <v>Pass</v>
      </c>
      <c r="BR77" t="str">
        <f t="shared" si="92"/>
        <v>Pass</v>
      </c>
      <c r="BS77" t="str">
        <f t="shared" si="93"/>
        <v>Pass</v>
      </c>
      <c r="BT77" t="str">
        <f t="shared" si="94"/>
        <v>Pass</v>
      </c>
      <c r="BU77" t="str">
        <f t="shared" si="95"/>
        <v>Effective Stress</v>
      </c>
    </row>
    <row r="78" spans="1:73">
      <c r="A78" t="s">
        <v>670</v>
      </c>
      <c r="B78" s="181">
        <v>76</v>
      </c>
      <c r="C78" t="s">
        <v>594</v>
      </c>
      <c r="D78" s="181">
        <v>48</v>
      </c>
      <c r="E78" s="181">
        <v>0.5</v>
      </c>
      <c r="F78" t="s">
        <v>117</v>
      </c>
      <c r="G78" t="s">
        <v>119</v>
      </c>
      <c r="H78" t="s">
        <v>122</v>
      </c>
      <c r="I78" s="181">
        <v>1</v>
      </c>
      <c r="J78" t="s">
        <v>126</v>
      </c>
      <c r="K78" t="s">
        <v>129</v>
      </c>
      <c r="L78" s="181">
        <v>70</v>
      </c>
      <c r="M78" s="181">
        <v>0</v>
      </c>
      <c r="N78" t="s">
        <v>390</v>
      </c>
      <c r="O78" s="181">
        <v>120</v>
      </c>
      <c r="P78" s="181">
        <v>30</v>
      </c>
      <c r="Q78" s="181">
        <v>50</v>
      </c>
      <c r="R78" t="s">
        <v>418</v>
      </c>
      <c r="S78" t="s">
        <v>420</v>
      </c>
      <c r="T78" s="181">
        <v>70</v>
      </c>
      <c r="U78" s="181">
        <f>HLOOKUP(D78,'Highway Loading'!$C$155:$AD$156,2,FALSE)</f>
        <v>48</v>
      </c>
      <c r="V78" s="181">
        <f>IF(ISBLANK(G78),"",INDEX('Highway Loading'!$C$216:$AG$216,1,MATCH(G78,'Highway Loading'!$C$215:$AG$215,0)))</f>
        <v>65000</v>
      </c>
      <c r="W78" s="181">
        <f>INDEX('Highway Loading'!$I$245:$L$253,MATCH(H78,'Highway Loading'!$H$245:$H$253,0),MATCH(I78,'Highway Loading'!$I$244:$L$244,0))</f>
        <v>0.72</v>
      </c>
      <c r="X78" s="181">
        <f t="shared" si="64"/>
        <v>1</v>
      </c>
      <c r="Y78" s="181">
        <f>VLOOKUP(K78,'Highway Loading'!$B$283:$E$292,2,FALSE)</f>
        <v>29000000</v>
      </c>
      <c r="Z78" s="181">
        <f>VLOOKUP(K78,'Highway Loading'!$B$283:$E$292,3,FALSE)</f>
        <v>0.3</v>
      </c>
      <c r="AA78" s="181">
        <f>VLOOKUP(K78,'Highway Loading'!$B$283:$E$292,4,FALSE)</f>
        <v>6.4999999999999996E-6</v>
      </c>
      <c r="AB78" s="181">
        <f t="shared" si="65"/>
        <v>1</v>
      </c>
      <c r="AC78" s="181">
        <f>VLOOKUP(N78,'Highway Loading'!$B$256:$D$261,2,FALSE)</f>
        <v>1000</v>
      </c>
      <c r="AD78" s="181">
        <f>VLOOKUP(N78,'Highway Loading'!$B$256:$D$261,3,FALSE)</f>
        <v>10000</v>
      </c>
      <c r="AE78" s="181">
        <f>VLOOKUP(S78,'Highway Loading'!$B$340:$C$341,2,FALSE)</f>
        <v>12000</v>
      </c>
      <c r="AF78" s="181">
        <f t="shared" si="66"/>
        <v>1.0416666666666666E-2</v>
      </c>
      <c r="AG78" s="181">
        <f t="shared" si="67"/>
        <v>7.2</v>
      </c>
      <c r="AH78" s="181">
        <f t="shared" si="68"/>
        <v>1.0416666666666667</v>
      </c>
      <c r="AI78" s="181">
        <f t="shared" si="69"/>
        <v>0</v>
      </c>
      <c r="AJ78" s="181">
        <f t="shared" si="70"/>
        <v>46800</v>
      </c>
      <c r="AK78" s="181">
        <f>IF(AC78=200,(INDEX(Tables!$B$17:$B$38,MAX(1,MIN(IFERROR(MATCH(AF78,Tables!$A$17:$A$38,1),1),ROWS(Tables!$A$17:$A$38)-1)))+(AF78-INDEX(Tables!$A$17:$A$38,MAX(1,MIN(IFERROR(MATCH(AF78,Tables!$A$17:$A$38,1),1),ROWS(Tables!$A$17:$A$38)-1))))*(INDEX(Tables!$B$17:$B$38,MAX(1,MIN(IFERROR(MATCH(AF78,Tables!$A$17:$A$38,1),1),ROWS(Tables!$A$17:$A$38)-1))+1)-INDEX(Tables!$B$17:$B$38,MAX(1,MIN(IFERROR(MATCH(AF78,Tables!$A$17:$A$38,1),1),ROWS(Tables!$A$17:$A$38)-1))))/(INDEX(Tables!$A$17:$A$38,MAX(1,MIN(IFERROR(MATCH(AF78,Tables!$A$17:$A$38,1),1),ROWS(Tables!$A$17:$A$38)-1))+1)-INDEX(Tables!$A$17:$A$38,MAX(1,MIN(IFERROR(MATCH(AF78,Tables!$A$17:$A$38,1),1),ROWS(Tables!$A$17:$A$38)-1))))),IF(AC78=500,(INDEX(Tables!$D$17:$D$38,MAX(1,MIN(IFERROR(MATCH(AF78,Tables!$C$17:$C$38,1),1),ROWS(Tables!$C$17:$C$38)-1)))+(AF78-INDEX(Tables!$C$17:$C$38,MAX(1,MIN(IFERROR(MATCH(AF78,Tables!$C$17:$C$38,1),1),ROWS(Tables!$C$17:$C$38)-1))))*(INDEX(Tables!$D$17:$D$38,MAX(1,MIN(IFERROR(MATCH(AF78,Tables!$C$17:$C$38,1),1),ROWS(Tables!$C$17:$C$38)-1))+1)-INDEX(Tables!$D$17:$D$38,MAX(1,MIN(IFERROR(MATCH(AF78,Tables!$C$17:$C$38,1),1),ROWS(Tables!$C$17:$C$38)-1))))/(INDEX(Tables!$C$17:$C$38,MAX(1,MIN(IFERROR(MATCH(AF78,Tables!$C$17:$C$38,1),1),ROWS(Tables!$C$17:$C$38)-1))+1)-INDEX(Tables!$C$17:$C$38,MAX(1,MIN(IFERROR(MATCH(AF78,Tables!$C$17:$C$38,1),1),ROWS(Tables!$C$17:$C$38)-1))))),IF(AC78=1000,(INDEX(Tables!$F$17:$F$38,MAX(1,MIN(IFERROR(MATCH(AF78,Tables!$E$17:$E$38,1),1),ROWS(Tables!$E$17:$E$38)-1)))+(AF78-INDEX(Tables!$E$17:$E$38,MAX(1,MIN(IFERROR(MATCH(AF78,Tables!$E$17:$E$38,1),1),ROWS(Tables!$E$17:$E$38)-1))))*(INDEX(Tables!$F$17:$F$38,MAX(1,MIN(IFERROR(MATCH(AF78,Tables!$E$17:$E$38,1),1),ROWS(Tables!$E$17:$E$38)-1))+1)-INDEX(Tables!$F$17:$F$38,MAX(1,MIN(IFERROR(MATCH(AF78,Tables!$E$17:$E$38,1),1),ROWS(Tables!$E$17:$E$38)-1))))/(INDEX(Tables!$E$17:$E$38,MAX(1,MIN(IFERROR(MATCH(AF78,Tables!$E$17:$E$38,1),1),ROWS(Tables!$E$17:$E$38)-1))+1)-INDEX(Tables!$E$17:$E$38,MAX(1,MIN(IFERROR(MATCH(AF78,Tables!$E$17:$E$38,1),1),ROWS(Tables!$E$17:$E$38)-1))))),(INDEX(Tables!$H$17:$H$38,MAX(1,MIN(IFERROR(MATCH(AF78,Tables!$G$17:$G$38,1),1),ROWS(Tables!$G$17:$G$38)-1)))+(AF78-INDEX(Tables!$G$17:$G$38,MAX(1,MIN(IFERROR(MATCH(AF78,Tables!$G$17:$G$38,1),1),ROWS(Tables!$G$17:$G$38)-1))))*(INDEX(Tables!$H$17:$H$38,MAX(1,MIN(IFERROR(MATCH(AF78,Tables!$G$17:$G$38,1),1),ROWS(Tables!$G$17:$G$38)-1))+1)-INDEX(Tables!$H$17:$H$38,MAX(1,MIN(IFERROR(MATCH(AF78,Tables!$G$17:$G$38,1),1),ROWS(Tables!$G$17:$G$38)-1))))/(INDEX(Tables!$G$17:$G$38,MAX(1,MIN(IFERROR(MATCH(AF78,Tables!$G$17:$G$38,1),1),ROWS(Tables!$G$17:$G$38)-1))+1)-INDEX(Tables!$G$17:$G$38,MAX(1,MIN(IFERROR(MATCH(AF78,Tables!$G$17:$G$38,1),1),ROWS(Tables!$G$17:$G$38)-1))))))))</f>
        <v>4396.166666666667</v>
      </c>
      <c r="AL78" s="181">
        <f>IF(AC78&lt;1000,(INDEX(Tables!$B$43:$B$76,MAX(1,MIN(IFERROR(MATCH(AG78,Tables!$A$43:$A$76,1),1),ROWS(Tables!$A$43:$A$76)-1)))+(AG78-INDEX(Tables!$A$43:$A$76,MAX(1,MIN(IFERROR(MATCH(AG78,Tables!$A$43:$A$76,1),1),ROWS(Tables!$A$43:$A$76)-1))))*(INDEX(Tables!$B$43:$B$76,MAX(1,MIN(IFERROR(MATCH(AG78,Tables!$A$43:$A$76,1),1),ROWS(Tables!$A$43:$A$76)-1))+1)-INDEX(Tables!$B$43:$B$76,MAX(1,MIN(IFERROR(MATCH(AG78,Tables!$A$43:$A$76,1),1),ROWS(Tables!$A$43:$A$76)-1))))/(INDEX(Tables!$A$43:$A$76,MAX(1,MIN(IFERROR(MATCH(AG78,Tables!$A$43:$A$76,1),1),ROWS(Tables!$A$43:$A$76)-1))+1)-INDEX(Tables!$A$43:$A$76,MAX(1,MIN(IFERROR(MATCH(AG78,Tables!$A$43:$A$76,1),1),ROWS(Tables!$A$43:$A$76)-1))))),(INDEX(Tables!$D$43:$D$76,MAX(1,MIN(IFERROR(MATCH(AG78,Tables!$C$43:$C$76,1),1),ROWS(Tables!$C$43:$C$76)-1)))+(AG78-INDEX(Tables!$C$43:$C$76,MAX(1,MIN(IFERROR(MATCH(AG78,Tables!$C$43:$C$76,1),1),ROWS(Tables!$C$43:$C$76)-1))))*(INDEX(Tables!$D$43:$D$76,MAX(1,MIN(IFERROR(MATCH(AG78,Tables!$C$43:$C$76,1),1),ROWS(Tables!$C$43:$C$76)-1))+1)-INDEX(Tables!$D$43:$D$76,MAX(1,MIN(IFERROR(MATCH(AG78,Tables!$C$43:$C$76,1),1),ROWS(Tables!$C$43:$C$76)-1))))/(INDEX(Tables!$C$43:$C$76,MAX(1,MIN(IFERROR(MATCH(AG78,Tables!$C$43:$C$76,1),1),ROWS(Tables!$C$43:$C$76)-1))+1)-INDEX(Tables!$C$43:$C$76,MAX(1,MIN(IFERROR(MATCH(AG78,Tables!$C$43:$C$76,1),1),ROWS(Tables!$C$43:$C$76)-1))))))</f>
        <v>1.0784</v>
      </c>
      <c r="AM78" s="181">
        <f>(INDEX(Tables!$B$80:$B$87,MAX(1,MIN(IFERROR(MATCH(AH78,Tables!$A$80:$A$87,1),1),ROWS(Tables!$A$80:$A$87)-1)))+(AH78-INDEX(Tables!$A$80:$A$87,MAX(1,MIN(IFERROR(MATCH(AH78,Tables!$A$80:$A$87,1),1),ROWS(Tables!$A$80:$A$87)-1))))*(INDEX(Tables!$B$80:$B$87,MAX(1,MIN(IFERROR(MATCH(AH78,Tables!$A$80:$A$87,1),1),ROWS(Tables!$A$80:$A$87)-1))+1)-INDEX(Tables!$B$80:$B$87,MAX(1,MIN(IFERROR(MATCH(AH78,Tables!$A$80:$A$87,1),1),ROWS(Tables!$A$80:$A$87)-1))))/(INDEX(Tables!$A$80:$A$87,MAX(1,MIN(IFERROR(MATCH(AH78,Tables!$A$80:$A$87,1),1),ROWS(Tables!$A$80:$A$87)-1))+1)-INDEX(Tables!$A$80:$A$87,MAX(1,MIN(IFERROR(MATCH(AH78,Tables!$A$80:$A$87,1),1),ROWS(Tables!$A$80:$A$87)-1)))))</f>
        <v>0.89595000000000002</v>
      </c>
      <c r="AN78" s="181">
        <f t="shared" si="71"/>
        <v>14158.477247200004</v>
      </c>
      <c r="AO78" s="181">
        <f>(INDEX(Tables!$B$91:$B$94,MAX(1,MIN(IFERROR(MATCH(P78,Tables!$A$91:$A$94,1),1),ROWS(Tables!$A$91:$A$94)-1)))+(P78-INDEX(Tables!$A$91:$A$94,MAX(1,MIN(IFERROR(MATCH(P78,Tables!$A$91:$A$94,1),1),ROWS(Tables!$A$91:$A$94)-1))))*(INDEX(Tables!$B$91:$B$94,MAX(1,MIN(IFERROR(MATCH(P78,Tables!$A$91:$A$94,1),1),ROWS(Tables!$A$91:$A$94)-1))+1)-INDEX(Tables!$B$91:$B$94,MAX(1,MIN(IFERROR(MATCH(P78,Tables!$A$91:$A$94,1),1),ROWS(Tables!$A$91:$A$94)-1))))/(INDEX(Tables!$A$91:$A$94,MAX(1,MIN(IFERROR(MATCH(P78,Tables!$A$91:$A$94,1),1),ROWS(Tables!$A$91:$A$94)-1))+1)-INDEX(Tables!$A$91:$A$94,MAX(1,MIN(IFERROR(MATCH(P78,Tables!$A$91:$A$94,1),1),ROWS(Tables!$A$91:$A$94)-1)))))</f>
        <v>1</v>
      </c>
      <c r="AP78" s="181">
        <f>IF(AD78=5000,(INDEX(Tables!$B$99:$B$118,MAX(1,MIN(IFERROR(MATCH(AF78,Tables!$A$99:$A$118,1),1),ROWS(Tables!$A$99:$A$118)-1)))+(AF78-INDEX(Tables!$A$99:$A$118,MAX(1,MIN(IFERROR(MATCH(AF78,Tables!$A$99:$A$118,1),1),ROWS(Tables!$A$99:$A$118)-1))))*(INDEX(Tables!$B$99:$B$118,MAX(1,MIN(IFERROR(MATCH(AF78,Tables!$A$99:$A$118,1),1),ROWS(Tables!$A$99:$A$118)-1))+1)-INDEX(Tables!$B$99:$B$118,MAX(1,MIN(IFERROR(MATCH(AF78,Tables!$A$99:$A$118,1),1),ROWS(Tables!$A$99:$A$118)-1))))/(INDEX(Tables!$A$99:$A$118,MAX(1,MIN(IFERROR(MATCH(AF78,Tables!$A$99:$A$118,1),1),ROWS(Tables!$A$99:$A$118)-1))+1)-INDEX(Tables!$A$99:$A$118,MAX(1,MIN(IFERROR(MATCH(AF78,Tables!$A$99:$A$118,1),1),ROWS(Tables!$A$99:$A$118)-1))))),IF(AD78=10000,(INDEX(Tables!$D$99:$D$118,MAX(1,MIN(IFERROR(MATCH(AF78,Tables!$C$99:$C$118,1),1),ROWS(Tables!$C$99:$C$118)-1)))+(AF78-INDEX(Tables!$C$99:$C$118,MAX(1,MIN(IFERROR(MATCH(AF78,Tables!$C$99:$C$118,1),1),ROWS(Tables!$C$99:$C$118)-1))))*(INDEX(Tables!$D$99:$D$118,MAX(1,MIN(IFERROR(MATCH(AF78,Tables!$C$99:$C$118,1),1),ROWS(Tables!$C$99:$C$118)-1))+1)-INDEX(Tables!$D$99:$D$118,MAX(1,MIN(IFERROR(MATCH(AF78,Tables!$C$99:$C$118,1),1),ROWS(Tables!$C$99:$C$118)-1))))/(INDEX(Tables!$C$99:$C$118,MAX(1,MIN(IFERROR(MATCH(AF78,Tables!$C$99:$C$118,1),1),ROWS(Tables!$C$99:$C$118)-1))+1)-INDEX(Tables!$C$99:$C$118,MAX(1,MIN(IFERROR(MATCH(AF78,Tables!$C$99:$C$118,1),1),ROWS(Tables!$C$99:$C$118)-1))))),(INDEX(Tables!$F$99:$F$118,MAX(1,MIN(IFERROR(MATCH(AF78,Tables!$E$99:$E$118,1),1),ROWS(Tables!$E$99:$E$118)-1)))+(AF78-INDEX(Tables!$E$99:$E$118,MAX(1,MIN(IFERROR(MATCH(AF78,Tables!$E$99:$E$118,1),1),ROWS(Tables!$E$99:$E$118)-1))))*(INDEX(Tables!$F$99:$F$118,MAX(1,MIN(IFERROR(MATCH(AF78,Tables!$E$99:$E$118,1),1),ROWS(Tables!$E$99:$E$118)-1))+1)-INDEX(Tables!$F$99:$F$118,MAX(1,MIN(IFERROR(MATCH(AF78,Tables!$E$99:$E$118,1),1),ROWS(Tables!$E$99:$E$118)-1))))/(INDEX(Tables!$E$99:$E$118,MAX(1,MIN(IFERROR(MATCH(AF78,Tables!$E$99:$E$118,1),1),ROWS(Tables!$E$99:$E$118)-1))+1)-INDEX(Tables!$E$99:$E$118,MAX(1,MIN(IFERROR(MATCH(AF78,Tables!$E$99:$E$118,1),1),ROWS(Tables!$E$99:$E$118)-1)))))))</f>
        <v>12.907736434108527</v>
      </c>
      <c r="AQ78" s="181">
        <f>IF(P78&lt;6,(INDEX(Tables!$B$123:$B$138,MAX(1,MIN(IFERROR(MATCH(U78,Tables!$A$123:$A$138,1),1),ROWS(Tables!$A$123:$A$138)-1)))+(U78-INDEX(Tables!$A$123:$A$138,MAX(1,MIN(IFERROR(MATCH(U78,Tables!$A$123:$A$138,1),1),ROWS(Tables!$A$123:$A$138)-1))))*(INDEX(Tables!$B$123:$B$138,MAX(1,MIN(IFERROR(MATCH(U78,Tables!$A$123:$A$138,1),1),ROWS(Tables!$A$123:$A$138)-1))+1)-INDEX(Tables!$B$123:$B$138,MAX(1,MIN(IFERROR(MATCH(U78,Tables!$A$123:$A$138,1),1),ROWS(Tables!$A$123:$A$138)-1))))/(INDEX(Tables!$A$123:$A$138,MAX(1,MIN(IFERROR(MATCH(U78,Tables!$A$123:$A$138,1),1),ROWS(Tables!$A$123:$A$138)-1))+1)-INDEX(Tables!$A$123:$A$138,MAX(1,MIN(IFERROR(MATCH(U78,Tables!$A$123:$A$138,1),1),ROWS(Tables!$A$123:$A$138)-1))))),IF(P78&lt;8,(INDEX(Tables!$D$123:$D$138,MAX(1,MIN(IFERROR(MATCH(U78,Tables!$C$123:$C$138,1),1),ROWS(Tables!$C$123:$C$138)-1)))+(U78-INDEX(Tables!$C$123:$C$138,MAX(1,MIN(IFERROR(MATCH(U78,Tables!$C$123:$C$138,1),1),ROWS(Tables!$C$123:$C$138)-1))))*(INDEX(Tables!$D$123:$D$138,MAX(1,MIN(IFERROR(MATCH(U78,Tables!$C$123:$C$138,1),1),ROWS(Tables!$C$123:$C$138)-1))+1)-INDEX(Tables!$D$123:$D$138,MAX(1,MIN(IFERROR(MATCH(U78,Tables!$C$123:$C$138,1),1),ROWS(Tables!$C$123:$C$138)-1))))/(INDEX(Tables!$C$123:$C$138,MAX(1,MIN(IFERROR(MATCH(U78,Tables!$C$123:$C$138,1),1),ROWS(Tables!$C$123:$C$138)-1))+1)-INDEX(Tables!$C$123:$C$138,MAX(1,MIN(IFERROR(MATCH(U78,Tables!$C$123:$C$138,1),1),ROWS(Tables!$C$123:$C$138)-1))))),IF(P78&lt;10,(INDEX(Tables!$F$123:$F$138,MAX(1,MIN(IFERROR(MATCH(U78,Tables!$E$123:$E$138,1),1),ROWS(Tables!$E$123:$E$138)-1)))+(U78-INDEX(Tables!$E$123:$E$138,MAX(1,MIN(IFERROR(MATCH(U78,Tables!$E$123:$E$138,1),1),ROWS(Tables!$E$123:$E$138)-1))))*(INDEX(Tables!$F$123:$F$138,MAX(1,MIN(IFERROR(MATCH(U78,Tables!$E$123:$E$138,1),1),ROWS(Tables!$E$123:$E$138)-1))+1)-INDEX(Tables!$F$123:$F$138,MAX(1,MIN(IFERROR(MATCH(U78,Tables!$E$123:$E$138,1),1),ROWS(Tables!$E$123:$E$138)-1))))/(INDEX(Tables!$E$123:$E$138,MAX(1,MIN(IFERROR(MATCH(U78,Tables!$E$123:$E$138,1),1),ROWS(Tables!$E$123:$E$138)-1))+1)-INDEX(Tables!$E$123:$E$138,MAX(1,MIN(IFERROR(MATCH(U78,Tables!$E$123:$E$138,1),1),ROWS(Tables!$E$123:$E$138)-1))))),(INDEX(Tables!$H$123:$H$138,MAX(1,MIN(IFERROR(MATCH(U78,Tables!$G$123:$G$138,1),1),ROWS(Tables!$G$123:$G$138)-1)))+(U78-INDEX(Tables!$G$123:$G$138,MAX(1,MIN(IFERROR(MATCH(U78,Tables!$G$123:$G$138,1),1),ROWS(Tables!$G$123:$G$138)-1))))*(INDEX(Tables!$H$123:$H$138,MAX(1,MIN(IFERROR(MATCH(U78,Tables!$G$123:$G$138,1),1),ROWS(Tables!$G$123:$G$138)-1))+1)-INDEX(Tables!$H$123:$H$138,MAX(1,MIN(IFERROR(MATCH(U78,Tables!$G$123:$G$138,1),1),ROWS(Tables!$G$123:$G$138)-1))))/(INDEX(Tables!$G$123:$G$138,MAX(1,MIN(IFERROR(MATCH(U78,Tables!$G$123:$G$138,1),1),ROWS(Tables!$G$123:$G$138)-1))+1)-INDEX(Tables!$G$123:$G$138,MAX(1,MIN(IFERROR(MATCH(U78,Tables!$G$123:$G$138,1),1),ROWS(Tables!$G$123:$G$138)-1))))))))</f>
        <v>0.46899999999999997</v>
      </c>
      <c r="AR78" s="181">
        <f>IF(OR(P78&gt;=4,U78&gt;12),VLOOKUP(R78&amp;" "&amp;S78,Tables!$D$143:$F$148,2,FALSE),VLOOKUP(R78&amp;" "&amp;S78,Tables!$A$143:$C$148,2,FALSE))</f>
        <v>0.9</v>
      </c>
      <c r="AS78" s="181">
        <f>IF(OR(P78&gt;=4,U78&gt;12),VLOOKUP(R78&amp;" "&amp;S78,Tables!$D$143:$F$148,3,FALSE),VLOOKUP(R78&amp;" "&amp;S78,Tables!$A$143:$C$148,3,FALSE))</f>
        <v>0.65</v>
      </c>
      <c r="AT78" s="181">
        <f t="shared" si="72"/>
        <v>295.11925889534882</v>
      </c>
      <c r="AU78" s="181">
        <f>IF(AD78=5000,(INDEX(Tables!$B$244:$B$263,MAX(1,MIN(IFERROR(MATCH(AF78,Tables!$A$244:$A$263,1),1),ROWS(Tables!$A$244:$A$263)-1)))+(AF78-INDEX(Tables!$A$244:$A$263,MAX(1,MIN(IFERROR(MATCH(AF78,Tables!$A$244:$A$263,1),1),ROWS(Tables!$A$244:$A$263)-1))))*(INDEX(Tables!$B$244:$B$263,MAX(1,MIN(IFERROR(MATCH(AF78,Tables!$A$244:$A$263,1),1),ROWS(Tables!$A$244:$A$263)-1))+1)-INDEX(Tables!$B$244:$B$263,MAX(1,MIN(IFERROR(MATCH(AF78,Tables!$A$244:$A$263,1),1),ROWS(Tables!$A$244:$A$263)-1))))/(INDEX(Tables!$A$244:$A$263,MAX(1,MIN(IFERROR(MATCH(AF78,Tables!$A$244:$A$263,1),1),ROWS(Tables!$A$244:$A$263)-1))+1)-INDEX(Tables!$A$244:$A$263,MAX(1,MIN(IFERROR(MATCH(AF78,Tables!$A$244:$A$263,1),1),ROWS(Tables!$A$244:$A$263)-1))))),IF(AD78=10000,(INDEX(Tables!$D$244:$D$263,MAX(1,MIN(IFERROR(MATCH(AF78,Tables!$C$244:$C$263,1),1),ROWS(Tables!$C$244:$C$263)-1)))+(AF78-INDEX(Tables!$C$244:$C$263,MAX(1,MIN(IFERROR(MATCH(AF78,Tables!$C$244:$C$263,1),1),ROWS(Tables!$C$244:$C$263)-1))))*(INDEX(Tables!$D$244:$D$263,MAX(1,MIN(IFERROR(MATCH(AF78,Tables!$C$244:$C$263,1),1),ROWS(Tables!$C$244:$C$263)-1))+1)-INDEX(Tables!$D$244:$D$263,MAX(1,MIN(IFERROR(MATCH(AF78,Tables!$C$244:$C$263,1),1),ROWS(Tables!$C$244:$C$263)-1))))/(INDEX(Tables!$C$244:$C$263,MAX(1,MIN(IFERROR(MATCH(AF78,Tables!$C$244:$C$263,1),1),ROWS(Tables!$C$244:$C$263)-1))+1)-INDEX(Tables!$C$244:$C$263,MAX(1,MIN(IFERROR(MATCH(AF78,Tables!$C$244:$C$263,1),1),ROWS(Tables!$C$244:$C$263)-1))))),(INDEX(Tables!$F$244:$F$263,MAX(1,MIN(IFERROR(MATCH(AF78,Tables!$E$244:$E$263,1),1),ROWS(Tables!$E$244:$E$263)-1)))+(AF78-INDEX(Tables!$E$244:$E$263,MAX(1,MIN(IFERROR(MATCH(AF78,Tables!$E$244:$E$263,1),1),ROWS(Tables!$E$244:$E$263)-1))))*(INDEX(Tables!$F$244:$F$263,MAX(1,MIN(IFERROR(MATCH(AF78,Tables!$E$244:$E$263,1),1),ROWS(Tables!$E$244:$E$263)-1))+1)-INDEX(Tables!$F$244:$F$263,MAX(1,MIN(IFERROR(MATCH(AF78,Tables!$E$244:$E$263,1),1),ROWS(Tables!$E$244:$E$263)-1))))/(INDEX(Tables!$E$244:$E$263,MAX(1,MIN(IFERROR(MATCH(AF78,Tables!$E$244:$E$263,1),1),ROWS(Tables!$E$244:$E$263)-1))+1)-INDEX(Tables!$E$244:$E$263,MAX(1,MIN(IFERROR(MATCH(AF78,Tables!$E$244:$E$263,1),1),ROWS(Tables!$E$244:$E$263)-1)))))))</f>
        <v>9.7669999999999995</v>
      </c>
      <c r="AV78" s="181">
        <f>IF(P78&lt;6,(INDEX(Tables!$B$260:$B$274,MAX(1,MIN(IFERROR(MATCH(U78,Tables!$A$260:$A$274,1),1),ROWS(Tables!$A$260:$A$274)-1)))+(U78-INDEX(Tables!$A$260:$A$274,MAX(1,MIN(IFERROR(MATCH(U78,Tables!$A$260:$A$274,1),1),ROWS(Tables!$A$260:$A$274)-1))))*(INDEX(Tables!$B$260:$B$274,MAX(1,MIN(IFERROR(MATCH(U78,Tables!$A$260:$A$274,1),1),ROWS(Tables!$A$260:$A$274)-1))+1)-INDEX(Tables!$B$260:$B$274,MAX(1,MIN(IFERROR(MATCH(U78,Tables!$A$260:$A$274,1),1),ROWS(Tables!$A$260:$A$274)-1))))/(INDEX(Tables!$A$260:$A$274,MAX(1,MIN(IFERROR(MATCH(U78,Tables!$A$260:$A$274,1),1),ROWS(Tables!$A$260:$A$274)-1))+1)-INDEX(Tables!$A$260:$A$274,MAX(1,MIN(IFERROR(MATCH(U78,Tables!$A$260:$A$274,1),1),ROWS(Tables!$A$260:$A$274)-1))))),IF(P78&lt;8,(INDEX(Tables!$D$260:$D$274,MAX(1,MIN(IFERROR(MATCH(U78,Tables!$C$260:$C$274,1),1),ROWS(Tables!$C$260:$C$274)-1)))+(U78-INDEX(Tables!$C$260:$C$274,MAX(1,MIN(IFERROR(MATCH(U78,Tables!$C$260:$C$274,1),1),ROWS(Tables!$C$260:$C$274)-1))))*(INDEX(Tables!$D$260:$D$274,MAX(1,MIN(IFERROR(MATCH(U78,Tables!$C$260:$C$274,1),1),ROWS(Tables!$C$260:$C$274)-1))+1)-INDEX(Tables!$D$260:$D$274,MAX(1,MIN(IFERROR(MATCH(U78,Tables!$C$260:$C$274,1),1),ROWS(Tables!$C$260:$C$274)-1))))/(INDEX(Tables!$C$260:$C$274,MAX(1,MIN(IFERROR(MATCH(U78,Tables!$C$260:$C$274,1),1),ROWS(Tables!$C$260:$C$274)-1))+1)-INDEX(Tables!$C$260:$C$274,MAX(1,MIN(IFERROR(MATCH(U78,Tables!$C$260:$C$274,1),1),ROWS(Tables!$C$260:$C$274)-1))))),IF(P78&lt;10,(INDEX(Tables!$F$260:$F$274,MAX(1,MIN(IFERROR(MATCH(U78,Tables!$E$260:$E$274,1),1),ROWS(Tables!$E$260:$E$274)-1)))+(U78-INDEX(Tables!$E$260:$E$274,MAX(1,MIN(IFERROR(MATCH(U78,Tables!$E$260:$E$274,1),1),ROWS(Tables!$E$260:$E$274)-1))))*(INDEX(Tables!$F$260:$F$274,MAX(1,MIN(IFERROR(MATCH(U78,Tables!$E$260:$E$274,1),1),ROWS(Tables!$E$260:$E$274)-1))+1)-INDEX(Tables!$F$260:$F$274,MAX(1,MIN(IFERROR(MATCH(U78,Tables!$E$260:$E$274,1),1),ROWS(Tables!$E$260:$E$274)-1))))/(INDEX(Tables!$E$260:$E$274,MAX(1,MIN(IFERROR(MATCH(U78,Tables!$E$260:$E$274,1),1),ROWS(Tables!$E$260:$E$274)-1))+1)-INDEX(Tables!$E$260:$E$274,MAX(1,MIN(IFERROR(MATCH(U78,Tables!$E$260:$E$274,1),1),ROWS(Tables!$E$260:$E$274)-1))))),(INDEX(Tables!$H$260:$H$274,MAX(1,MIN(IFERROR(MATCH(U78,Tables!$G$260:$G$274,1),1),ROWS(Tables!$G$260:$G$274)-1)))+(U78-INDEX(Tables!$G$260:$G$274,MAX(1,MIN(IFERROR(MATCH(U78,Tables!$G$260:$G$274,1),1),ROWS(Tables!$G$260:$G$274)-1))))*(INDEX(Tables!$H$260:$H$274,MAX(1,MIN(IFERROR(MATCH(U78,Tables!$G$260:$G$274,1),1),ROWS(Tables!$G$260:$G$274)-1))+1)-INDEX(Tables!$H$260:$H$274,MAX(1,MIN(IFERROR(MATCH(U78,Tables!$G$260:$G$274,1),1),ROWS(Tables!$G$260:$G$274)-1))))/(INDEX(Tables!$G$260:$G$274,MAX(1,MIN(IFERROR(MATCH(U78,Tables!$G$260:$G$274,1),1),ROWS(Tables!$G$260:$G$274)-1))+1)-INDEX(Tables!$G$260:$G$274,MAX(1,MIN(IFERROR(MATCH(U78,Tables!$G$260:$G$274,1),1),ROWS(Tables!$G$260:$G$274)-1))))))))</f>
        <v>0.45700000000000002</v>
      </c>
      <c r="AW78" s="181">
        <f t="shared" si="73"/>
        <v>217.59655124999998</v>
      </c>
      <c r="AX78" s="181">
        <f t="shared" si="74"/>
        <v>0</v>
      </c>
      <c r="AY78" s="181">
        <f t="shared" si="75"/>
        <v>14453.596506095353</v>
      </c>
      <c r="AZ78" s="181">
        <f t="shared" si="76"/>
        <v>4465.1397254100011</v>
      </c>
      <c r="BA78" s="181">
        <f t="shared" si="77"/>
        <v>0</v>
      </c>
      <c r="BB78" s="181">
        <f t="shared" si="78"/>
        <v>12818.213479031809</v>
      </c>
      <c r="BC78" s="181">
        <f t="shared" si="79"/>
        <v>46800</v>
      </c>
      <c r="BD78" s="181">
        <f>VLOOKUP(V78&amp;" "&amp;J78,Tables!$A$152:$E$239,4,FALSE)</f>
        <v>12000</v>
      </c>
      <c r="BE78" s="181">
        <f>VLOOKUP(V78&amp;" "&amp;J78,Tables!$A$152:$E$239,5,FALSE)</f>
        <v>23000</v>
      </c>
      <c r="BF78" s="181">
        <f t="shared" si="80"/>
        <v>8640</v>
      </c>
      <c r="BG78" s="181">
        <f t="shared" si="81"/>
        <v>16560</v>
      </c>
      <c r="BH78" s="181">
        <f t="shared" si="82"/>
        <v>0</v>
      </c>
      <c r="BI78" s="181">
        <f t="shared" si="83"/>
        <v>46800</v>
      </c>
      <c r="BJ78" s="181">
        <f t="shared" si="84"/>
        <v>12818.213479031809</v>
      </c>
      <c r="BK78" s="181">
        <f t="shared" si="85"/>
        <v>46800</v>
      </c>
      <c r="BL78" s="181">
        <f t="shared" si="86"/>
        <v>217.59655124999998</v>
      </c>
      <c r="BM78" s="181">
        <f t="shared" si="87"/>
        <v>8640</v>
      </c>
      <c r="BN78" s="181">
        <f t="shared" si="88"/>
        <v>295.11925889534882</v>
      </c>
      <c r="BO78" s="181">
        <f t="shared" si="89"/>
        <v>16560</v>
      </c>
      <c r="BP78" t="str">
        <f t="shared" si="90"/>
        <v>Pass</v>
      </c>
      <c r="BQ78" t="str">
        <f t="shared" si="91"/>
        <v>Pass</v>
      </c>
      <c r="BR78" t="str">
        <f t="shared" si="92"/>
        <v>Pass</v>
      </c>
      <c r="BS78" t="str">
        <f t="shared" si="93"/>
        <v>Pass</v>
      </c>
      <c r="BT78" t="str">
        <f t="shared" si="94"/>
        <v>Pass</v>
      </c>
      <c r="BU78" t="str">
        <f t="shared" si="95"/>
        <v>Effective Stress</v>
      </c>
    </row>
    <row r="79" spans="1:73">
      <c r="A79" t="s">
        <v>671</v>
      </c>
      <c r="B79" s="181">
        <v>77</v>
      </c>
      <c r="C79" t="s">
        <v>594</v>
      </c>
      <c r="D79" s="181">
        <v>6</v>
      </c>
      <c r="E79" s="181">
        <v>0.14699999999999999</v>
      </c>
      <c r="F79" t="s">
        <v>117</v>
      </c>
      <c r="G79" t="s">
        <v>119</v>
      </c>
      <c r="H79" t="s">
        <v>122</v>
      </c>
      <c r="I79" s="181">
        <v>1</v>
      </c>
      <c r="J79" t="s">
        <v>126</v>
      </c>
      <c r="K79" t="s">
        <v>129</v>
      </c>
      <c r="L79" s="181">
        <v>70</v>
      </c>
      <c r="M79" s="181">
        <v>0</v>
      </c>
      <c r="N79" t="s">
        <v>390</v>
      </c>
      <c r="O79" s="181">
        <v>120</v>
      </c>
      <c r="P79" s="181">
        <v>1</v>
      </c>
      <c r="Q79" s="181">
        <v>8.625</v>
      </c>
      <c r="R79" t="s">
        <v>417</v>
      </c>
      <c r="S79" t="s">
        <v>156</v>
      </c>
      <c r="T79" s="181">
        <v>70</v>
      </c>
      <c r="U79" s="181">
        <f>HLOOKUP(D79,'Highway Loading'!$C$155:$AD$156,2,FALSE)</f>
        <v>6.625</v>
      </c>
      <c r="V79" s="181">
        <f>IF(ISBLANK(G79),"",INDEX('Highway Loading'!$C$216:$AG$216,1,MATCH(G79,'Highway Loading'!$C$215:$AG$215,0)))</f>
        <v>65000</v>
      </c>
      <c r="W79" s="181">
        <f>INDEX('Highway Loading'!$I$245:$L$253,MATCH(H79,'Highway Loading'!$H$245:$H$253,0),MATCH(I79,'Highway Loading'!$I$244:$L$244,0))</f>
        <v>0.72</v>
      </c>
      <c r="X79" s="181">
        <f t="shared" si="64"/>
        <v>1</v>
      </c>
      <c r="Y79" s="181">
        <f>VLOOKUP(K79,'Highway Loading'!$B$283:$E$292,2,FALSE)</f>
        <v>29000000</v>
      </c>
      <c r="Z79" s="181">
        <f>VLOOKUP(K79,'Highway Loading'!$B$283:$E$292,3,FALSE)</f>
        <v>0.3</v>
      </c>
      <c r="AA79" s="181">
        <f>VLOOKUP(K79,'Highway Loading'!$B$283:$E$292,4,FALSE)</f>
        <v>6.4999999999999996E-6</v>
      </c>
      <c r="AB79" s="181">
        <f t="shared" si="65"/>
        <v>1</v>
      </c>
      <c r="AC79" s="181">
        <f>VLOOKUP(N79,'Highway Loading'!$B$256:$D$261,2,FALSE)</f>
        <v>1000</v>
      </c>
      <c r="AD79" s="181">
        <f>VLOOKUP(N79,'Highway Loading'!$B$256:$D$261,3,FALSE)</f>
        <v>10000</v>
      </c>
      <c r="AE79" s="181">
        <f>VLOOKUP(S79,'Highway Loading'!$B$340:$C$341,2,FALSE)</f>
        <v>10000</v>
      </c>
      <c r="AF79" s="181">
        <f t="shared" si="66"/>
        <v>2.2188679245283019E-2</v>
      </c>
      <c r="AG79" s="181">
        <f t="shared" si="67"/>
        <v>1.3913043478260869</v>
      </c>
      <c r="AH79" s="181">
        <f t="shared" si="68"/>
        <v>1.3018867924528301</v>
      </c>
      <c r="AI79" s="181">
        <f t="shared" si="69"/>
        <v>0</v>
      </c>
      <c r="AJ79" s="181">
        <f t="shared" si="70"/>
        <v>46800</v>
      </c>
      <c r="AK79" s="181">
        <f>IF(AC79=200,(INDEX(Tables!$B$17:$B$38,MAX(1,MIN(IFERROR(MATCH(AF79,Tables!$A$17:$A$38,1),1),ROWS(Tables!$A$17:$A$38)-1)))+(AF79-INDEX(Tables!$A$17:$A$38,MAX(1,MIN(IFERROR(MATCH(AF79,Tables!$A$17:$A$38,1),1),ROWS(Tables!$A$17:$A$38)-1))))*(INDEX(Tables!$B$17:$B$38,MAX(1,MIN(IFERROR(MATCH(AF79,Tables!$A$17:$A$38,1),1),ROWS(Tables!$A$17:$A$38)-1))+1)-INDEX(Tables!$B$17:$B$38,MAX(1,MIN(IFERROR(MATCH(AF79,Tables!$A$17:$A$38,1),1),ROWS(Tables!$A$17:$A$38)-1))))/(INDEX(Tables!$A$17:$A$38,MAX(1,MIN(IFERROR(MATCH(AF79,Tables!$A$17:$A$38,1),1),ROWS(Tables!$A$17:$A$38)-1))+1)-INDEX(Tables!$A$17:$A$38,MAX(1,MIN(IFERROR(MATCH(AF79,Tables!$A$17:$A$38,1),1),ROWS(Tables!$A$17:$A$38)-1))))),IF(AC79=500,(INDEX(Tables!$D$17:$D$38,MAX(1,MIN(IFERROR(MATCH(AF79,Tables!$C$17:$C$38,1),1),ROWS(Tables!$C$17:$C$38)-1)))+(AF79-INDEX(Tables!$C$17:$C$38,MAX(1,MIN(IFERROR(MATCH(AF79,Tables!$C$17:$C$38,1),1),ROWS(Tables!$C$17:$C$38)-1))))*(INDEX(Tables!$D$17:$D$38,MAX(1,MIN(IFERROR(MATCH(AF79,Tables!$C$17:$C$38,1),1),ROWS(Tables!$C$17:$C$38)-1))+1)-INDEX(Tables!$D$17:$D$38,MAX(1,MIN(IFERROR(MATCH(AF79,Tables!$C$17:$C$38,1),1),ROWS(Tables!$C$17:$C$38)-1))))/(INDEX(Tables!$C$17:$C$38,MAX(1,MIN(IFERROR(MATCH(AF79,Tables!$C$17:$C$38,1),1),ROWS(Tables!$C$17:$C$38)-1))+1)-INDEX(Tables!$C$17:$C$38,MAX(1,MIN(IFERROR(MATCH(AF79,Tables!$C$17:$C$38,1),1),ROWS(Tables!$C$17:$C$38)-1))))),IF(AC79=1000,(INDEX(Tables!$F$17:$F$38,MAX(1,MIN(IFERROR(MATCH(AF79,Tables!$E$17:$E$38,1),1),ROWS(Tables!$E$17:$E$38)-1)))+(AF79-INDEX(Tables!$E$17:$E$38,MAX(1,MIN(IFERROR(MATCH(AF79,Tables!$E$17:$E$38,1),1),ROWS(Tables!$E$17:$E$38)-1))))*(INDEX(Tables!$F$17:$F$38,MAX(1,MIN(IFERROR(MATCH(AF79,Tables!$E$17:$E$38,1),1),ROWS(Tables!$E$17:$E$38)-1))+1)-INDEX(Tables!$F$17:$F$38,MAX(1,MIN(IFERROR(MATCH(AF79,Tables!$E$17:$E$38,1),1),ROWS(Tables!$E$17:$E$38)-1))))/(INDEX(Tables!$E$17:$E$38,MAX(1,MIN(IFERROR(MATCH(AF79,Tables!$E$17:$E$38,1),1),ROWS(Tables!$E$17:$E$38)-1))+1)-INDEX(Tables!$E$17:$E$38,MAX(1,MIN(IFERROR(MATCH(AF79,Tables!$E$17:$E$38,1),1),ROWS(Tables!$E$17:$E$38)-1))))),(INDEX(Tables!$H$17:$H$38,MAX(1,MIN(IFERROR(MATCH(AF79,Tables!$G$17:$G$38,1),1),ROWS(Tables!$G$17:$G$38)-1)))+(AF79-INDEX(Tables!$G$17:$G$38,MAX(1,MIN(IFERROR(MATCH(AF79,Tables!$G$17:$G$38,1),1),ROWS(Tables!$G$17:$G$38)-1))))*(INDEX(Tables!$H$17:$H$38,MAX(1,MIN(IFERROR(MATCH(AF79,Tables!$G$17:$G$38,1),1),ROWS(Tables!$G$17:$G$38)-1))+1)-INDEX(Tables!$H$17:$H$38,MAX(1,MIN(IFERROR(MATCH(AF79,Tables!$G$17:$G$38,1),1),ROWS(Tables!$G$17:$G$38)-1))))/(INDEX(Tables!$G$17:$G$38,MAX(1,MIN(IFERROR(MATCH(AF79,Tables!$G$17:$G$38,1),1),ROWS(Tables!$G$17:$G$38)-1))+1)-INDEX(Tables!$G$17:$G$38,MAX(1,MIN(IFERROR(MATCH(AF79,Tables!$G$17:$G$38,1),1),ROWS(Tables!$G$17:$G$38)-1))))))))</f>
        <v>1965.011320754717</v>
      </c>
      <c r="AL79" s="181">
        <f>IF(AC79&lt;1000,(INDEX(Tables!$B$43:$B$76,MAX(1,MIN(IFERROR(MATCH(AG79,Tables!$A$43:$A$76,1),1),ROWS(Tables!$A$43:$A$76)-1)))+(AG79-INDEX(Tables!$A$43:$A$76,MAX(1,MIN(IFERROR(MATCH(AG79,Tables!$A$43:$A$76,1),1),ROWS(Tables!$A$43:$A$76)-1))))*(INDEX(Tables!$B$43:$B$76,MAX(1,MIN(IFERROR(MATCH(AG79,Tables!$A$43:$A$76,1),1),ROWS(Tables!$A$43:$A$76)-1))+1)-INDEX(Tables!$B$43:$B$76,MAX(1,MIN(IFERROR(MATCH(AG79,Tables!$A$43:$A$76,1),1),ROWS(Tables!$A$43:$A$76)-1))))/(INDEX(Tables!$A$43:$A$76,MAX(1,MIN(IFERROR(MATCH(AG79,Tables!$A$43:$A$76,1),1),ROWS(Tables!$A$43:$A$76)-1))+1)-INDEX(Tables!$A$43:$A$76,MAX(1,MIN(IFERROR(MATCH(AG79,Tables!$A$43:$A$76,1),1),ROWS(Tables!$A$43:$A$76)-1))))),(INDEX(Tables!$D$43:$D$76,MAX(1,MIN(IFERROR(MATCH(AG79,Tables!$C$43:$C$76,1),1),ROWS(Tables!$C$43:$C$76)-1)))+(AG79-INDEX(Tables!$C$43:$C$76,MAX(1,MIN(IFERROR(MATCH(AG79,Tables!$C$43:$C$76,1),1),ROWS(Tables!$C$43:$C$76)-1))))*(INDEX(Tables!$D$43:$D$76,MAX(1,MIN(IFERROR(MATCH(AG79,Tables!$C$43:$C$76,1),1),ROWS(Tables!$C$43:$C$76)-1))+1)-INDEX(Tables!$D$43:$D$76,MAX(1,MIN(IFERROR(MATCH(AG79,Tables!$C$43:$C$76,1),1),ROWS(Tables!$C$43:$C$76)-1))))/(INDEX(Tables!$C$43:$C$76,MAX(1,MIN(IFERROR(MATCH(AG79,Tables!$C$43:$C$76,1),1),ROWS(Tables!$C$43:$C$76)-1))+1)-INDEX(Tables!$C$43:$C$76,MAX(1,MIN(IFERROR(MATCH(AG79,Tables!$C$43:$C$76,1),1),ROWS(Tables!$C$43:$C$76)-1))))))</f>
        <v>0.44230434782608696</v>
      </c>
      <c r="AM79" s="181">
        <f>(INDEX(Tables!$B$80:$B$87,MAX(1,MIN(IFERROR(MATCH(AH79,Tables!$A$80:$A$87,1),1),ROWS(Tables!$A$80:$A$87)-1)))+(AH79-INDEX(Tables!$A$80:$A$87,MAX(1,MIN(IFERROR(MATCH(AH79,Tables!$A$80:$A$87,1),1),ROWS(Tables!$A$80:$A$87)-1))))*(INDEX(Tables!$B$80:$B$87,MAX(1,MIN(IFERROR(MATCH(AH79,Tables!$A$80:$A$87,1),1),ROWS(Tables!$A$80:$A$87)-1))+1)-INDEX(Tables!$B$80:$B$87,MAX(1,MIN(IFERROR(MATCH(AH79,Tables!$A$80:$A$87,1),1),ROWS(Tables!$A$80:$A$87)-1))))/(INDEX(Tables!$A$80:$A$87,MAX(1,MIN(IFERROR(MATCH(AH79,Tables!$A$80:$A$87,1),1),ROWS(Tables!$A$80:$A$87)-1))+1)-INDEX(Tables!$A$80:$A$87,MAX(1,MIN(IFERROR(MATCH(AH79,Tables!$A$80:$A$87,1),1),ROWS(Tables!$A$80:$A$87)-1)))))</f>
        <v>1.403996226415094</v>
      </c>
      <c r="AN79" s="181">
        <f t="shared" si="71"/>
        <v>561.40412102323614</v>
      </c>
      <c r="AO79" s="181">
        <f>(INDEX(Tables!$B$91:$B$94,MAX(1,MIN(IFERROR(MATCH(P79,Tables!$A$91:$A$94,1),1),ROWS(Tables!$A$91:$A$94)-1)))+(P79-INDEX(Tables!$A$91:$A$94,MAX(1,MIN(IFERROR(MATCH(P79,Tables!$A$91:$A$94,1),1),ROWS(Tables!$A$91:$A$94)-1))))*(INDEX(Tables!$B$91:$B$94,MAX(1,MIN(IFERROR(MATCH(P79,Tables!$A$91:$A$94,1),1),ROWS(Tables!$A$91:$A$94)-1))+1)-INDEX(Tables!$B$91:$B$94,MAX(1,MIN(IFERROR(MATCH(P79,Tables!$A$91:$A$94,1),1),ROWS(Tables!$A$91:$A$94)-1))))/(INDEX(Tables!$A$91:$A$94,MAX(1,MIN(IFERROR(MATCH(P79,Tables!$A$91:$A$94,1),1),ROWS(Tables!$A$91:$A$94)-1))+1)-INDEX(Tables!$A$91:$A$94,MAX(1,MIN(IFERROR(MATCH(P79,Tables!$A$91:$A$94,1),1),ROWS(Tables!$A$91:$A$94)-1)))))</f>
        <v>1.5</v>
      </c>
      <c r="AP79" s="181">
        <f>IF(AD79=5000,(INDEX(Tables!$B$99:$B$118,MAX(1,MIN(IFERROR(MATCH(AF79,Tables!$A$99:$A$118,1),1),ROWS(Tables!$A$99:$A$118)-1)))+(AF79-INDEX(Tables!$A$99:$A$118,MAX(1,MIN(IFERROR(MATCH(AF79,Tables!$A$99:$A$118,1),1),ROWS(Tables!$A$99:$A$118)-1))))*(INDEX(Tables!$B$99:$B$118,MAX(1,MIN(IFERROR(MATCH(AF79,Tables!$A$99:$A$118,1),1),ROWS(Tables!$A$99:$A$118)-1))+1)-INDEX(Tables!$B$99:$B$118,MAX(1,MIN(IFERROR(MATCH(AF79,Tables!$A$99:$A$118,1),1),ROWS(Tables!$A$99:$A$118)-1))))/(INDEX(Tables!$A$99:$A$118,MAX(1,MIN(IFERROR(MATCH(AF79,Tables!$A$99:$A$118,1),1),ROWS(Tables!$A$99:$A$118)-1))+1)-INDEX(Tables!$A$99:$A$118,MAX(1,MIN(IFERROR(MATCH(AF79,Tables!$A$99:$A$118,1),1),ROWS(Tables!$A$99:$A$118)-1))))),IF(AD79=10000,(INDEX(Tables!$D$99:$D$118,MAX(1,MIN(IFERROR(MATCH(AF79,Tables!$C$99:$C$118,1),1),ROWS(Tables!$C$99:$C$118)-1)))+(AF79-INDEX(Tables!$C$99:$C$118,MAX(1,MIN(IFERROR(MATCH(AF79,Tables!$C$99:$C$118,1),1),ROWS(Tables!$C$99:$C$118)-1))))*(INDEX(Tables!$D$99:$D$118,MAX(1,MIN(IFERROR(MATCH(AF79,Tables!$C$99:$C$118,1),1),ROWS(Tables!$C$99:$C$118)-1))+1)-INDEX(Tables!$D$99:$D$118,MAX(1,MIN(IFERROR(MATCH(AF79,Tables!$C$99:$C$118,1),1),ROWS(Tables!$C$99:$C$118)-1))))/(INDEX(Tables!$C$99:$C$118,MAX(1,MIN(IFERROR(MATCH(AF79,Tables!$C$99:$C$118,1),1),ROWS(Tables!$C$99:$C$118)-1))+1)-INDEX(Tables!$C$99:$C$118,MAX(1,MIN(IFERROR(MATCH(AF79,Tables!$C$99:$C$118,1),1),ROWS(Tables!$C$99:$C$118)-1))))),(INDEX(Tables!$F$99:$F$118,MAX(1,MIN(IFERROR(MATCH(AF79,Tables!$E$99:$E$118,1),1),ROWS(Tables!$E$99:$E$118)-1)))+(AF79-INDEX(Tables!$E$99:$E$118,MAX(1,MIN(IFERROR(MATCH(AF79,Tables!$E$99:$E$118,1),1),ROWS(Tables!$E$99:$E$118)-1))))*(INDEX(Tables!$F$99:$F$118,MAX(1,MIN(IFERROR(MATCH(AF79,Tables!$E$99:$E$118,1),1),ROWS(Tables!$E$99:$E$118)-1))+1)-INDEX(Tables!$F$99:$F$118,MAX(1,MIN(IFERROR(MATCH(AF79,Tables!$E$99:$E$118,1),1),ROWS(Tables!$E$99:$E$118)-1))))/(INDEX(Tables!$E$99:$E$118,MAX(1,MIN(IFERROR(MATCH(AF79,Tables!$E$99:$E$118,1),1),ROWS(Tables!$E$99:$E$118)-1))+1)-INDEX(Tables!$E$99:$E$118,MAX(1,MIN(IFERROR(MATCH(AF79,Tables!$E$99:$E$118,1),1),ROWS(Tables!$E$99:$E$118)-1)))))))</f>
        <v>13.310853692457467</v>
      </c>
      <c r="AQ79" s="181">
        <f>IF(P79&lt;6,(INDEX(Tables!$B$123:$B$138,MAX(1,MIN(IFERROR(MATCH(U79,Tables!$A$123:$A$138,1),1),ROWS(Tables!$A$123:$A$138)-1)))+(U79-INDEX(Tables!$A$123:$A$138,MAX(1,MIN(IFERROR(MATCH(U79,Tables!$A$123:$A$138,1),1),ROWS(Tables!$A$123:$A$138)-1))))*(INDEX(Tables!$B$123:$B$138,MAX(1,MIN(IFERROR(MATCH(U79,Tables!$A$123:$A$138,1),1),ROWS(Tables!$A$123:$A$138)-1))+1)-INDEX(Tables!$B$123:$B$138,MAX(1,MIN(IFERROR(MATCH(U79,Tables!$A$123:$A$138,1),1),ROWS(Tables!$A$123:$A$138)-1))))/(INDEX(Tables!$A$123:$A$138,MAX(1,MIN(IFERROR(MATCH(U79,Tables!$A$123:$A$138,1),1),ROWS(Tables!$A$123:$A$138)-1))+1)-INDEX(Tables!$A$123:$A$138,MAX(1,MIN(IFERROR(MATCH(U79,Tables!$A$123:$A$138,1),1),ROWS(Tables!$A$123:$A$138)-1))))),IF(P79&lt;8,(INDEX(Tables!$D$123:$D$138,MAX(1,MIN(IFERROR(MATCH(U79,Tables!$C$123:$C$138,1),1),ROWS(Tables!$C$123:$C$138)-1)))+(U79-INDEX(Tables!$C$123:$C$138,MAX(1,MIN(IFERROR(MATCH(U79,Tables!$C$123:$C$138,1),1),ROWS(Tables!$C$123:$C$138)-1))))*(INDEX(Tables!$D$123:$D$138,MAX(1,MIN(IFERROR(MATCH(U79,Tables!$C$123:$C$138,1),1),ROWS(Tables!$C$123:$C$138)-1))+1)-INDEX(Tables!$D$123:$D$138,MAX(1,MIN(IFERROR(MATCH(U79,Tables!$C$123:$C$138,1),1),ROWS(Tables!$C$123:$C$138)-1))))/(INDEX(Tables!$C$123:$C$138,MAX(1,MIN(IFERROR(MATCH(U79,Tables!$C$123:$C$138,1),1),ROWS(Tables!$C$123:$C$138)-1))+1)-INDEX(Tables!$C$123:$C$138,MAX(1,MIN(IFERROR(MATCH(U79,Tables!$C$123:$C$138,1),1),ROWS(Tables!$C$123:$C$138)-1))))),IF(P79&lt;10,(INDEX(Tables!$F$123:$F$138,MAX(1,MIN(IFERROR(MATCH(U79,Tables!$E$123:$E$138,1),1),ROWS(Tables!$E$123:$E$138)-1)))+(U79-INDEX(Tables!$E$123:$E$138,MAX(1,MIN(IFERROR(MATCH(U79,Tables!$E$123:$E$138,1),1),ROWS(Tables!$E$123:$E$138)-1))))*(INDEX(Tables!$F$123:$F$138,MAX(1,MIN(IFERROR(MATCH(U79,Tables!$E$123:$E$138,1),1),ROWS(Tables!$E$123:$E$138)-1))+1)-INDEX(Tables!$F$123:$F$138,MAX(1,MIN(IFERROR(MATCH(U79,Tables!$E$123:$E$138,1),1),ROWS(Tables!$E$123:$E$138)-1))))/(INDEX(Tables!$E$123:$E$138,MAX(1,MIN(IFERROR(MATCH(U79,Tables!$E$123:$E$138,1),1),ROWS(Tables!$E$123:$E$138)-1))+1)-INDEX(Tables!$E$123:$E$138,MAX(1,MIN(IFERROR(MATCH(U79,Tables!$E$123:$E$138,1),1),ROWS(Tables!$E$123:$E$138)-1))))),(INDEX(Tables!$H$123:$H$138,MAX(1,MIN(IFERROR(MATCH(U79,Tables!$G$123:$G$138,1),1),ROWS(Tables!$G$123:$G$138)-1)))+(U79-INDEX(Tables!$G$123:$G$138,MAX(1,MIN(IFERROR(MATCH(U79,Tables!$G$123:$G$138,1),1),ROWS(Tables!$G$123:$G$138)-1))))*(INDEX(Tables!$H$123:$H$138,MAX(1,MIN(IFERROR(MATCH(U79,Tables!$G$123:$G$138,1),1),ROWS(Tables!$G$123:$G$138)-1))+1)-INDEX(Tables!$H$123:$H$138,MAX(1,MIN(IFERROR(MATCH(U79,Tables!$G$123:$G$138,1),1),ROWS(Tables!$G$123:$G$138)-1))))/(INDEX(Tables!$G$123:$G$138,MAX(1,MIN(IFERROR(MATCH(U79,Tables!$G$123:$G$138,1),1),ROWS(Tables!$G$123:$G$138)-1))+1)-INDEX(Tables!$G$123:$G$138,MAX(1,MIN(IFERROR(MATCH(U79,Tables!$G$123:$G$138,1),1),ROWS(Tables!$G$123:$G$138)-1))))))))</f>
        <v>1.4501250000000001</v>
      </c>
      <c r="AR79" s="181">
        <f>IF(OR(P79&gt;=4,U79&gt;12),VLOOKUP(R79&amp;" "&amp;S79,Tables!$D$143:$F$148,2,FALSE),VLOOKUP(R79&amp;" "&amp;S79,Tables!$A$143:$C$148,2,FALSE))</f>
        <v>1.1000000000000001</v>
      </c>
      <c r="AS79" s="181">
        <f>IF(OR(P79&gt;=4,U79&gt;12),VLOOKUP(R79&amp;" "&amp;S79,Tables!$D$143:$F$148,3,FALSE),VLOOKUP(R79&amp;" "&amp;S79,Tables!$A$143:$C$148,3,FALSE))</f>
        <v>1</v>
      </c>
      <c r="AT79" s="181">
        <f t="shared" si="72"/>
        <v>2211.7335293596229</v>
      </c>
      <c r="AU79" s="181">
        <f>IF(AD79=5000,(INDEX(Tables!$B$244:$B$263,MAX(1,MIN(IFERROR(MATCH(AF79,Tables!$A$244:$A$263,1),1),ROWS(Tables!$A$244:$A$263)-1)))+(AF79-INDEX(Tables!$A$244:$A$263,MAX(1,MIN(IFERROR(MATCH(AF79,Tables!$A$244:$A$263,1),1),ROWS(Tables!$A$244:$A$263)-1))))*(INDEX(Tables!$B$244:$B$263,MAX(1,MIN(IFERROR(MATCH(AF79,Tables!$A$244:$A$263,1),1),ROWS(Tables!$A$244:$A$263)-1))+1)-INDEX(Tables!$B$244:$B$263,MAX(1,MIN(IFERROR(MATCH(AF79,Tables!$A$244:$A$263,1),1),ROWS(Tables!$A$244:$A$263)-1))))/(INDEX(Tables!$A$244:$A$263,MAX(1,MIN(IFERROR(MATCH(AF79,Tables!$A$244:$A$263,1),1),ROWS(Tables!$A$244:$A$263)-1))+1)-INDEX(Tables!$A$244:$A$263,MAX(1,MIN(IFERROR(MATCH(AF79,Tables!$A$244:$A$263,1),1),ROWS(Tables!$A$244:$A$263)-1))))),IF(AD79=10000,(INDEX(Tables!$D$244:$D$263,MAX(1,MIN(IFERROR(MATCH(AF79,Tables!$C$244:$C$263,1),1),ROWS(Tables!$C$244:$C$263)-1)))+(AF79-INDEX(Tables!$C$244:$C$263,MAX(1,MIN(IFERROR(MATCH(AF79,Tables!$C$244:$C$263,1),1),ROWS(Tables!$C$244:$C$263)-1))))*(INDEX(Tables!$D$244:$D$263,MAX(1,MIN(IFERROR(MATCH(AF79,Tables!$C$244:$C$263,1),1),ROWS(Tables!$C$244:$C$263)-1))+1)-INDEX(Tables!$D$244:$D$263,MAX(1,MIN(IFERROR(MATCH(AF79,Tables!$C$244:$C$263,1),1),ROWS(Tables!$C$244:$C$263)-1))))/(INDEX(Tables!$C$244:$C$263,MAX(1,MIN(IFERROR(MATCH(AF79,Tables!$C$244:$C$263,1),1),ROWS(Tables!$C$244:$C$263)-1))+1)-INDEX(Tables!$C$244:$C$263,MAX(1,MIN(IFERROR(MATCH(AF79,Tables!$C$244:$C$263,1),1),ROWS(Tables!$C$244:$C$263)-1))))),(INDEX(Tables!$F$244:$F$263,MAX(1,MIN(IFERROR(MATCH(AF79,Tables!$E$244:$E$263,1),1),ROWS(Tables!$E$244:$E$263)-1)))+(AF79-INDEX(Tables!$E$244:$E$263,MAX(1,MIN(IFERROR(MATCH(AF79,Tables!$E$244:$E$263,1),1),ROWS(Tables!$E$244:$E$263)-1))))*(INDEX(Tables!$F$244:$F$263,MAX(1,MIN(IFERROR(MATCH(AF79,Tables!$E$244:$E$263,1),1),ROWS(Tables!$E$244:$E$263)-1))+1)-INDEX(Tables!$F$244:$F$263,MAX(1,MIN(IFERROR(MATCH(AF79,Tables!$E$244:$E$263,1),1),ROWS(Tables!$E$244:$E$263)-1))))/(INDEX(Tables!$E$244:$E$263,MAX(1,MIN(IFERROR(MATCH(AF79,Tables!$E$244:$E$263,1),1),ROWS(Tables!$E$244:$E$263)-1))+1)-INDEX(Tables!$E$244:$E$263,MAX(1,MIN(IFERROR(MATCH(AF79,Tables!$E$244:$E$263,1),1),ROWS(Tables!$E$244:$E$263)-1)))))))</f>
        <v>9.5004188679245285</v>
      </c>
      <c r="AV79" s="181">
        <f>IF(P79&lt;6,(INDEX(Tables!$B$260:$B$274,MAX(1,MIN(IFERROR(MATCH(U79,Tables!$A$260:$A$274,1),1),ROWS(Tables!$A$260:$A$274)-1)))+(U79-INDEX(Tables!$A$260:$A$274,MAX(1,MIN(IFERROR(MATCH(U79,Tables!$A$260:$A$274,1),1),ROWS(Tables!$A$260:$A$274)-1))))*(INDEX(Tables!$B$260:$B$274,MAX(1,MIN(IFERROR(MATCH(U79,Tables!$A$260:$A$274,1),1),ROWS(Tables!$A$260:$A$274)-1))+1)-INDEX(Tables!$B$260:$B$274,MAX(1,MIN(IFERROR(MATCH(U79,Tables!$A$260:$A$274,1),1),ROWS(Tables!$A$260:$A$274)-1))))/(INDEX(Tables!$A$260:$A$274,MAX(1,MIN(IFERROR(MATCH(U79,Tables!$A$260:$A$274,1),1),ROWS(Tables!$A$260:$A$274)-1))+1)-INDEX(Tables!$A$260:$A$274,MAX(1,MIN(IFERROR(MATCH(U79,Tables!$A$260:$A$274,1),1),ROWS(Tables!$A$260:$A$274)-1))))),IF(P79&lt;8,(INDEX(Tables!$D$260:$D$274,MAX(1,MIN(IFERROR(MATCH(U79,Tables!$C$260:$C$274,1),1),ROWS(Tables!$C$260:$C$274)-1)))+(U79-INDEX(Tables!$C$260:$C$274,MAX(1,MIN(IFERROR(MATCH(U79,Tables!$C$260:$C$274,1),1),ROWS(Tables!$C$260:$C$274)-1))))*(INDEX(Tables!$D$260:$D$274,MAX(1,MIN(IFERROR(MATCH(U79,Tables!$C$260:$C$274,1),1),ROWS(Tables!$C$260:$C$274)-1))+1)-INDEX(Tables!$D$260:$D$274,MAX(1,MIN(IFERROR(MATCH(U79,Tables!$C$260:$C$274,1),1),ROWS(Tables!$C$260:$C$274)-1))))/(INDEX(Tables!$C$260:$C$274,MAX(1,MIN(IFERROR(MATCH(U79,Tables!$C$260:$C$274,1),1),ROWS(Tables!$C$260:$C$274)-1))+1)-INDEX(Tables!$C$260:$C$274,MAX(1,MIN(IFERROR(MATCH(U79,Tables!$C$260:$C$274,1),1),ROWS(Tables!$C$260:$C$274)-1))))),IF(P79&lt;10,(INDEX(Tables!$F$260:$F$274,MAX(1,MIN(IFERROR(MATCH(U79,Tables!$E$260:$E$274,1),1),ROWS(Tables!$E$260:$E$274)-1)))+(U79-INDEX(Tables!$E$260:$E$274,MAX(1,MIN(IFERROR(MATCH(U79,Tables!$E$260:$E$274,1),1),ROWS(Tables!$E$260:$E$274)-1))))*(INDEX(Tables!$F$260:$F$274,MAX(1,MIN(IFERROR(MATCH(U79,Tables!$E$260:$E$274,1),1),ROWS(Tables!$E$260:$E$274)-1))+1)-INDEX(Tables!$F$260:$F$274,MAX(1,MIN(IFERROR(MATCH(U79,Tables!$E$260:$E$274,1),1),ROWS(Tables!$E$260:$E$274)-1))))/(INDEX(Tables!$E$260:$E$274,MAX(1,MIN(IFERROR(MATCH(U79,Tables!$E$260:$E$274,1),1),ROWS(Tables!$E$260:$E$274)-1))+1)-INDEX(Tables!$E$260:$E$274,MAX(1,MIN(IFERROR(MATCH(U79,Tables!$E$260:$E$274,1),1),ROWS(Tables!$E$260:$E$274)-1))))),(INDEX(Tables!$H$260:$H$274,MAX(1,MIN(IFERROR(MATCH(U79,Tables!$G$260:$G$274,1),1),ROWS(Tables!$G$260:$G$274)-1)))+(U79-INDEX(Tables!$G$260:$G$274,MAX(1,MIN(IFERROR(MATCH(U79,Tables!$G$260:$G$274,1),1),ROWS(Tables!$G$260:$G$274)-1))))*(INDEX(Tables!$H$260:$H$274,MAX(1,MIN(IFERROR(MATCH(U79,Tables!$G$260:$G$274,1),1),ROWS(Tables!$G$260:$G$274)-1))+1)-INDEX(Tables!$H$260:$H$274,MAX(1,MIN(IFERROR(MATCH(U79,Tables!$G$260:$G$274,1),1),ROWS(Tables!$G$260:$G$274)-1))))/(INDEX(Tables!$G$260:$G$274,MAX(1,MIN(IFERROR(MATCH(U79,Tables!$G$260:$G$274,1),1),ROWS(Tables!$G$260:$G$274)-1))+1)-INDEX(Tables!$G$260:$G$274,MAX(1,MIN(IFERROR(MATCH(U79,Tables!$G$260:$G$274,1),1),ROWS(Tables!$G$260:$G$274)-1))))))))</f>
        <v>1.4965000000000002</v>
      </c>
      <c r="AW79" s="181">
        <f t="shared" si="73"/>
        <v>1629.0744291077049</v>
      </c>
      <c r="AX79" s="181">
        <f t="shared" si="74"/>
        <v>0</v>
      </c>
      <c r="AY79" s="181">
        <f t="shared" si="75"/>
        <v>2773.1376503828592</v>
      </c>
      <c r="AZ79" s="181">
        <f t="shared" si="76"/>
        <v>1797.4956654146756</v>
      </c>
      <c r="BA79" s="181">
        <f t="shared" si="77"/>
        <v>0</v>
      </c>
      <c r="BB79" s="181">
        <f t="shared" si="78"/>
        <v>2436.5098376559217</v>
      </c>
      <c r="BC79" s="181">
        <f t="shared" si="79"/>
        <v>46800</v>
      </c>
      <c r="BD79" s="181">
        <f>VLOOKUP(V79&amp;" "&amp;J79,Tables!$A$152:$E$239,4,FALSE)</f>
        <v>12000</v>
      </c>
      <c r="BE79" s="181">
        <f>VLOOKUP(V79&amp;" "&amp;J79,Tables!$A$152:$E$239,5,FALSE)</f>
        <v>23000</v>
      </c>
      <c r="BF79" s="181">
        <f t="shared" si="80"/>
        <v>8640</v>
      </c>
      <c r="BG79" s="181">
        <f t="shared" si="81"/>
        <v>16560</v>
      </c>
      <c r="BH79" s="181">
        <f t="shared" si="82"/>
        <v>0</v>
      </c>
      <c r="BI79" s="181">
        <f t="shared" si="83"/>
        <v>46800</v>
      </c>
      <c r="BJ79" s="181">
        <f t="shared" si="84"/>
        <v>2436.5098376559217</v>
      </c>
      <c r="BK79" s="181">
        <f t="shared" si="85"/>
        <v>46800</v>
      </c>
      <c r="BL79" s="181">
        <f t="shared" si="86"/>
        <v>1629.0744291077049</v>
      </c>
      <c r="BM79" s="181">
        <f t="shared" si="87"/>
        <v>8640</v>
      </c>
      <c r="BN79" s="181">
        <f t="shared" si="88"/>
        <v>2211.7335293596229</v>
      </c>
      <c r="BO79" s="181">
        <f t="shared" si="89"/>
        <v>16560</v>
      </c>
      <c r="BP79" t="str">
        <f t="shared" si="90"/>
        <v>Pass</v>
      </c>
      <c r="BQ79" t="str">
        <f t="shared" si="91"/>
        <v>Pass</v>
      </c>
      <c r="BR79" t="str">
        <f t="shared" si="92"/>
        <v>Pass</v>
      </c>
      <c r="BS79" t="str">
        <f t="shared" si="93"/>
        <v>Pass</v>
      </c>
      <c r="BT79" t="str">
        <f t="shared" si="94"/>
        <v>Pass</v>
      </c>
      <c r="BU79" t="str">
        <f t="shared" si="95"/>
        <v>Girth Weld Stress</v>
      </c>
    </row>
    <row r="80" spans="1:73">
      <c r="A80" t="s">
        <v>672</v>
      </c>
      <c r="B80" s="181">
        <v>78</v>
      </c>
      <c r="C80" t="s">
        <v>594</v>
      </c>
      <c r="D80" s="181">
        <v>8</v>
      </c>
      <c r="E80" s="181">
        <v>0.161</v>
      </c>
      <c r="F80" t="s">
        <v>117</v>
      </c>
      <c r="G80" t="s">
        <v>119</v>
      </c>
      <c r="H80" t="s">
        <v>122</v>
      </c>
      <c r="I80" s="181">
        <v>1</v>
      </c>
      <c r="J80" t="s">
        <v>126</v>
      </c>
      <c r="K80" t="s">
        <v>129</v>
      </c>
      <c r="L80" s="181">
        <v>70</v>
      </c>
      <c r="M80" s="181">
        <v>100</v>
      </c>
      <c r="N80" t="s">
        <v>390</v>
      </c>
      <c r="O80" s="181">
        <v>120</v>
      </c>
      <c r="P80" s="181">
        <v>3</v>
      </c>
      <c r="Q80" s="181">
        <v>10.625</v>
      </c>
      <c r="R80" t="s">
        <v>417</v>
      </c>
      <c r="S80" t="s">
        <v>156</v>
      </c>
      <c r="T80" s="181">
        <v>70</v>
      </c>
      <c r="U80" s="181">
        <f>HLOOKUP(D80,'Highway Loading'!$C$155:$AD$156,2,FALSE)</f>
        <v>8.625</v>
      </c>
      <c r="V80" s="181">
        <f>IF(ISBLANK(G80),"",INDEX('Highway Loading'!$C$216:$AG$216,1,MATCH(G80,'Highway Loading'!$C$215:$AG$215,0)))</f>
        <v>65000</v>
      </c>
      <c r="W80" s="181">
        <f>INDEX('Highway Loading'!$I$245:$L$253,MATCH(H80,'Highway Loading'!$H$245:$H$253,0),MATCH(I80,'Highway Loading'!$I$244:$L$244,0))</f>
        <v>0.72</v>
      </c>
      <c r="X80" s="181">
        <f t="shared" si="64"/>
        <v>1</v>
      </c>
      <c r="Y80" s="181">
        <f>VLOOKUP(K80,'Highway Loading'!$B$283:$E$292,2,FALSE)</f>
        <v>29000000</v>
      </c>
      <c r="Z80" s="181">
        <f>VLOOKUP(K80,'Highway Loading'!$B$283:$E$292,3,FALSE)</f>
        <v>0.3</v>
      </c>
      <c r="AA80" s="181">
        <f>VLOOKUP(K80,'Highway Loading'!$B$283:$E$292,4,FALSE)</f>
        <v>6.4999999999999996E-6</v>
      </c>
      <c r="AB80" s="181">
        <f t="shared" si="65"/>
        <v>1</v>
      </c>
      <c r="AC80" s="181">
        <f>VLOOKUP(N80,'Highway Loading'!$B$256:$D$261,2,FALSE)</f>
        <v>1000</v>
      </c>
      <c r="AD80" s="181">
        <f>VLOOKUP(N80,'Highway Loading'!$B$256:$D$261,3,FALSE)</f>
        <v>10000</v>
      </c>
      <c r="AE80" s="181">
        <f>VLOOKUP(S80,'Highway Loading'!$B$340:$C$341,2,FALSE)</f>
        <v>10000</v>
      </c>
      <c r="AF80" s="181">
        <f t="shared" si="66"/>
        <v>1.8666666666666668E-2</v>
      </c>
      <c r="AG80" s="181">
        <f t="shared" si="67"/>
        <v>3.388235294117647</v>
      </c>
      <c r="AH80" s="181">
        <f t="shared" si="68"/>
        <v>1.2318840579710144</v>
      </c>
      <c r="AI80" s="181">
        <f t="shared" si="69"/>
        <v>2678.5714285714284</v>
      </c>
      <c r="AJ80" s="181">
        <f t="shared" si="70"/>
        <v>46800</v>
      </c>
      <c r="AK80" s="181">
        <f>IF(AC80=200,(INDEX(Tables!$B$17:$B$38,MAX(1,MIN(IFERROR(MATCH(AF80,Tables!$A$17:$A$38,1),1),ROWS(Tables!$A$17:$A$38)-1)))+(AF80-INDEX(Tables!$A$17:$A$38,MAX(1,MIN(IFERROR(MATCH(AF80,Tables!$A$17:$A$38,1),1),ROWS(Tables!$A$17:$A$38)-1))))*(INDEX(Tables!$B$17:$B$38,MAX(1,MIN(IFERROR(MATCH(AF80,Tables!$A$17:$A$38,1),1),ROWS(Tables!$A$17:$A$38)-1))+1)-INDEX(Tables!$B$17:$B$38,MAX(1,MIN(IFERROR(MATCH(AF80,Tables!$A$17:$A$38,1),1),ROWS(Tables!$A$17:$A$38)-1))))/(INDEX(Tables!$A$17:$A$38,MAX(1,MIN(IFERROR(MATCH(AF80,Tables!$A$17:$A$38,1),1),ROWS(Tables!$A$17:$A$38)-1))+1)-INDEX(Tables!$A$17:$A$38,MAX(1,MIN(IFERROR(MATCH(AF80,Tables!$A$17:$A$38,1),1),ROWS(Tables!$A$17:$A$38)-1))))),IF(AC80=500,(INDEX(Tables!$D$17:$D$38,MAX(1,MIN(IFERROR(MATCH(AF80,Tables!$C$17:$C$38,1),1),ROWS(Tables!$C$17:$C$38)-1)))+(AF80-INDEX(Tables!$C$17:$C$38,MAX(1,MIN(IFERROR(MATCH(AF80,Tables!$C$17:$C$38,1),1),ROWS(Tables!$C$17:$C$38)-1))))*(INDEX(Tables!$D$17:$D$38,MAX(1,MIN(IFERROR(MATCH(AF80,Tables!$C$17:$C$38,1),1),ROWS(Tables!$C$17:$C$38)-1))+1)-INDEX(Tables!$D$17:$D$38,MAX(1,MIN(IFERROR(MATCH(AF80,Tables!$C$17:$C$38,1),1),ROWS(Tables!$C$17:$C$38)-1))))/(INDEX(Tables!$C$17:$C$38,MAX(1,MIN(IFERROR(MATCH(AF80,Tables!$C$17:$C$38,1),1),ROWS(Tables!$C$17:$C$38)-1))+1)-INDEX(Tables!$C$17:$C$38,MAX(1,MIN(IFERROR(MATCH(AF80,Tables!$C$17:$C$38,1),1),ROWS(Tables!$C$17:$C$38)-1))))),IF(AC80=1000,(INDEX(Tables!$F$17:$F$38,MAX(1,MIN(IFERROR(MATCH(AF80,Tables!$E$17:$E$38,1),1),ROWS(Tables!$E$17:$E$38)-1)))+(AF80-INDEX(Tables!$E$17:$E$38,MAX(1,MIN(IFERROR(MATCH(AF80,Tables!$E$17:$E$38,1),1),ROWS(Tables!$E$17:$E$38)-1))))*(INDEX(Tables!$F$17:$F$38,MAX(1,MIN(IFERROR(MATCH(AF80,Tables!$E$17:$E$38,1),1),ROWS(Tables!$E$17:$E$38)-1))+1)-INDEX(Tables!$F$17:$F$38,MAX(1,MIN(IFERROR(MATCH(AF80,Tables!$E$17:$E$38,1),1),ROWS(Tables!$E$17:$E$38)-1))))/(INDEX(Tables!$E$17:$E$38,MAX(1,MIN(IFERROR(MATCH(AF80,Tables!$E$17:$E$38,1),1),ROWS(Tables!$E$17:$E$38)-1))+1)-INDEX(Tables!$E$17:$E$38,MAX(1,MIN(IFERROR(MATCH(AF80,Tables!$E$17:$E$38,1),1),ROWS(Tables!$E$17:$E$38)-1))))),(INDEX(Tables!$H$17:$H$38,MAX(1,MIN(IFERROR(MATCH(AF80,Tables!$G$17:$G$38,1),1),ROWS(Tables!$G$17:$G$38)-1)))+(AF80-INDEX(Tables!$G$17:$G$38,MAX(1,MIN(IFERROR(MATCH(AF80,Tables!$G$17:$G$38,1),1),ROWS(Tables!$G$17:$G$38)-1))))*(INDEX(Tables!$H$17:$H$38,MAX(1,MIN(IFERROR(MATCH(AF80,Tables!$G$17:$G$38,1),1),ROWS(Tables!$G$17:$G$38)-1))+1)-INDEX(Tables!$H$17:$H$38,MAX(1,MIN(IFERROR(MATCH(AF80,Tables!$G$17:$G$38,1),1),ROWS(Tables!$G$17:$G$38)-1))))/(INDEX(Tables!$G$17:$G$38,MAX(1,MIN(IFERROR(MATCH(AF80,Tables!$G$17:$G$38,1),1),ROWS(Tables!$G$17:$G$38)-1))+1)-INDEX(Tables!$G$17:$G$38,MAX(1,MIN(IFERROR(MATCH(AF80,Tables!$G$17:$G$38,1),1),ROWS(Tables!$G$17:$G$38)-1))))))))</f>
        <v>2558.1333333333332</v>
      </c>
      <c r="AL80" s="181">
        <f>IF(AC80&lt;1000,(INDEX(Tables!$B$43:$B$76,MAX(1,MIN(IFERROR(MATCH(AG80,Tables!$A$43:$A$76,1),1),ROWS(Tables!$A$43:$A$76)-1)))+(AG80-INDEX(Tables!$A$43:$A$76,MAX(1,MIN(IFERROR(MATCH(AG80,Tables!$A$43:$A$76,1),1),ROWS(Tables!$A$43:$A$76)-1))))*(INDEX(Tables!$B$43:$B$76,MAX(1,MIN(IFERROR(MATCH(AG80,Tables!$A$43:$A$76,1),1),ROWS(Tables!$A$43:$A$76)-1))+1)-INDEX(Tables!$B$43:$B$76,MAX(1,MIN(IFERROR(MATCH(AG80,Tables!$A$43:$A$76,1),1),ROWS(Tables!$A$43:$A$76)-1))))/(INDEX(Tables!$A$43:$A$76,MAX(1,MIN(IFERROR(MATCH(AG80,Tables!$A$43:$A$76,1),1),ROWS(Tables!$A$43:$A$76)-1))+1)-INDEX(Tables!$A$43:$A$76,MAX(1,MIN(IFERROR(MATCH(AG80,Tables!$A$43:$A$76,1),1),ROWS(Tables!$A$43:$A$76)-1))))),(INDEX(Tables!$D$43:$D$76,MAX(1,MIN(IFERROR(MATCH(AG80,Tables!$C$43:$C$76,1),1),ROWS(Tables!$C$43:$C$76)-1)))+(AG80-INDEX(Tables!$C$43:$C$76,MAX(1,MIN(IFERROR(MATCH(AG80,Tables!$C$43:$C$76,1),1),ROWS(Tables!$C$43:$C$76)-1))))*(INDEX(Tables!$D$43:$D$76,MAX(1,MIN(IFERROR(MATCH(AG80,Tables!$C$43:$C$76,1),1),ROWS(Tables!$C$43:$C$76)-1))+1)-INDEX(Tables!$D$43:$D$76,MAX(1,MIN(IFERROR(MATCH(AG80,Tables!$C$43:$C$76,1),1),ROWS(Tables!$C$43:$C$76)-1))))/(INDEX(Tables!$C$43:$C$76,MAX(1,MIN(IFERROR(MATCH(AG80,Tables!$C$43:$C$76,1),1),ROWS(Tables!$C$43:$C$76)-1))+1)-INDEX(Tables!$C$43:$C$76,MAX(1,MIN(IFERROR(MATCH(AG80,Tables!$C$43:$C$76,1),1),ROWS(Tables!$C$43:$C$76)-1))))))</f>
        <v>0.82142352941176466</v>
      </c>
      <c r="AM80" s="181">
        <f>(INDEX(Tables!$B$80:$B$87,MAX(1,MIN(IFERROR(MATCH(AH80,Tables!$A$80:$A$87,1),1),ROWS(Tables!$A$80:$A$87)-1)))+(AH80-INDEX(Tables!$A$80:$A$87,MAX(1,MIN(IFERROR(MATCH(AH80,Tables!$A$80:$A$87,1),1),ROWS(Tables!$A$80:$A$87)-1))))*(INDEX(Tables!$B$80:$B$87,MAX(1,MIN(IFERROR(MATCH(AH80,Tables!$A$80:$A$87,1),1),ROWS(Tables!$A$80:$A$87)-1))+1)-INDEX(Tables!$B$80:$B$87,MAX(1,MIN(IFERROR(MATCH(AH80,Tables!$A$80:$A$87,1),1),ROWS(Tables!$A$80:$A$87)-1))))/(INDEX(Tables!$A$80:$A$87,MAX(1,MIN(IFERROR(MATCH(AH80,Tables!$A$80:$A$87,1),1),ROWS(Tables!$A$80:$A$87)-1))+1)-INDEX(Tables!$A$80:$A$87,MAX(1,MIN(IFERROR(MATCH(AH80,Tables!$A$80:$A$87,1),1),ROWS(Tables!$A$80:$A$87)-1)))))</f>
        <v>1.2567086956521738</v>
      </c>
      <c r="AN80" s="181">
        <f t="shared" si="71"/>
        <v>1581.6906504058738</v>
      </c>
      <c r="AO80" s="181">
        <f>(INDEX(Tables!$B$91:$B$94,MAX(1,MIN(IFERROR(MATCH(P80,Tables!$A$91:$A$94,1),1),ROWS(Tables!$A$91:$A$94)-1)))+(P80-INDEX(Tables!$A$91:$A$94,MAX(1,MIN(IFERROR(MATCH(P80,Tables!$A$91:$A$94,1),1),ROWS(Tables!$A$91:$A$94)-1))))*(INDEX(Tables!$B$91:$B$94,MAX(1,MIN(IFERROR(MATCH(P80,Tables!$A$91:$A$94,1),1),ROWS(Tables!$A$91:$A$94)-1))+1)-INDEX(Tables!$B$91:$B$94,MAX(1,MIN(IFERROR(MATCH(P80,Tables!$A$91:$A$94,1),1),ROWS(Tables!$A$91:$A$94)-1))))/(INDEX(Tables!$A$91:$A$94,MAX(1,MIN(IFERROR(MATCH(P80,Tables!$A$91:$A$94,1),1),ROWS(Tables!$A$91:$A$94)-1))+1)-INDEX(Tables!$A$91:$A$94,MAX(1,MIN(IFERROR(MATCH(P80,Tables!$A$91:$A$94,1),1),ROWS(Tables!$A$91:$A$94)-1)))))</f>
        <v>1.5</v>
      </c>
      <c r="AP80" s="181">
        <f>IF(AD80=5000,(INDEX(Tables!$B$99:$B$118,MAX(1,MIN(IFERROR(MATCH(AF80,Tables!$A$99:$A$118,1),1),ROWS(Tables!$A$99:$A$118)-1)))+(AF80-INDEX(Tables!$A$99:$A$118,MAX(1,MIN(IFERROR(MATCH(AF80,Tables!$A$99:$A$118,1),1),ROWS(Tables!$A$99:$A$118)-1))))*(INDEX(Tables!$B$99:$B$118,MAX(1,MIN(IFERROR(MATCH(AF80,Tables!$A$99:$A$118,1),1),ROWS(Tables!$A$99:$A$118)-1))+1)-INDEX(Tables!$B$99:$B$118,MAX(1,MIN(IFERROR(MATCH(AF80,Tables!$A$99:$A$118,1),1),ROWS(Tables!$A$99:$A$118)-1))))/(INDEX(Tables!$A$99:$A$118,MAX(1,MIN(IFERROR(MATCH(AF80,Tables!$A$99:$A$118,1),1),ROWS(Tables!$A$99:$A$118)-1))+1)-INDEX(Tables!$A$99:$A$118,MAX(1,MIN(IFERROR(MATCH(AF80,Tables!$A$99:$A$118,1),1),ROWS(Tables!$A$99:$A$118)-1))))),IF(AD80=10000,(INDEX(Tables!$D$99:$D$118,MAX(1,MIN(IFERROR(MATCH(AF80,Tables!$C$99:$C$118,1),1),ROWS(Tables!$C$99:$C$118)-1)))+(AF80-INDEX(Tables!$C$99:$C$118,MAX(1,MIN(IFERROR(MATCH(AF80,Tables!$C$99:$C$118,1),1),ROWS(Tables!$C$99:$C$118)-1))))*(INDEX(Tables!$D$99:$D$118,MAX(1,MIN(IFERROR(MATCH(AF80,Tables!$C$99:$C$118,1),1),ROWS(Tables!$C$99:$C$118)-1))+1)-INDEX(Tables!$D$99:$D$118,MAX(1,MIN(IFERROR(MATCH(AF80,Tables!$C$99:$C$118,1),1),ROWS(Tables!$C$99:$C$118)-1))))/(INDEX(Tables!$C$99:$C$118,MAX(1,MIN(IFERROR(MATCH(AF80,Tables!$C$99:$C$118,1),1),ROWS(Tables!$C$99:$C$118)-1))+1)-INDEX(Tables!$C$99:$C$118,MAX(1,MIN(IFERROR(MATCH(AF80,Tables!$C$99:$C$118,1),1),ROWS(Tables!$C$99:$C$118)-1))))),(INDEX(Tables!$F$99:$F$118,MAX(1,MIN(IFERROR(MATCH(AF80,Tables!$E$99:$E$118,1),1),ROWS(Tables!$E$99:$E$118)-1)))+(AF80-INDEX(Tables!$E$99:$E$118,MAX(1,MIN(IFERROR(MATCH(AF80,Tables!$E$99:$E$118,1),1),ROWS(Tables!$E$99:$E$118)-1))))*(INDEX(Tables!$F$99:$F$118,MAX(1,MIN(IFERROR(MATCH(AF80,Tables!$E$99:$E$118,1),1),ROWS(Tables!$E$99:$E$118)-1))+1)-INDEX(Tables!$F$99:$F$118,MAX(1,MIN(IFERROR(MATCH(AF80,Tables!$E$99:$E$118,1),1),ROWS(Tables!$E$99:$E$118)-1))))/(INDEX(Tables!$E$99:$E$118,MAX(1,MIN(IFERROR(MATCH(AF80,Tables!$E$99:$E$118,1),1),ROWS(Tables!$E$99:$E$118)-1))+1)-INDEX(Tables!$E$99:$E$118,MAX(1,MIN(IFERROR(MATCH(AF80,Tables!$E$99:$E$118,1),1),ROWS(Tables!$E$99:$E$118)-1)))))))</f>
        <v>14.383768166089965</v>
      </c>
      <c r="AQ80" s="181">
        <f>IF(P80&lt;6,(INDEX(Tables!$B$123:$B$138,MAX(1,MIN(IFERROR(MATCH(U80,Tables!$A$123:$A$138,1),1),ROWS(Tables!$A$123:$A$138)-1)))+(U80-INDEX(Tables!$A$123:$A$138,MAX(1,MIN(IFERROR(MATCH(U80,Tables!$A$123:$A$138,1),1),ROWS(Tables!$A$123:$A$138)-1))))*(INDEX(Tables!$B$123:$B$138,MAX(1,MIN(IFERROR(MATCH(U80,Tables!$A$123:$A$138,1),1),ROWS(Tables!$A$123:$A$138)-1))+1)-INDEX(Tables!$B$123:$B$138,MAX(1,MIN(IFERROR(MATCH(U80,Tables!$A$123:$A$138,1),1),ROWS(Tables!$A$123:$A$138)-1))))/(INDEX(Tables!$A$123:$A$138,MAX(1,MIN(IFERROR(MATCH(U80,Tables!$A$123:$A$138,1),1),ROWS(Tables!$A$123:$A$138)-1))+1)-INDEX(Tables!$A$123:$A$138,MAX(1,MIN(IFERROR(MATCH(U80,Tables!$A$123:$A$138,1),1),ROWS(Tables!$A$123:$A$138)-1))))),IF(P80&lt;8,(INDEX(Tables!$D$123:$D$138,MAX(1,MIN(IFERROR(MATCH(U80,Tables!$C$123:$C$138,1),1),ROWS(Tables!$C$123:$C$138)-1)))+(U80-INDEX(Tables!$C$123:$C$138,MAX(1,MIN(IFERROR(MATCH(U80,Tables!$C$123:$C$138,1),1),ROWS(Tables!$C$123:$C$138)-1))))*(INDEX(Tables!$D$123:$D$138,MAX(1,MIN(IFERROR(MATCH(U80,Tables!$C$123:$C$138,1),1),ROWS(Tables!$C$123:$C$138)-1))+1)-INDEX(Tables!$D$123:$D$138,MAX(1,MIN(IFERROR(MATCH(U80,Tables!$C$123:$C$138,1),1),ROWS(Tables!$C$123:$C$138)-1))))/(INDEX(Tables!$C$123:$C$138,MAX(1,MIN(IFERROR(MATCH(U80,Tables!$C$123:$C$138,1),1),ROWS(Tables!$C$123:$C$138)-1))+1)-INDEX(Tables!$C$123:$C$138,MAX(1,MIN(IFERROR(MATCH(U80,Tables!$C$123:$C$138,1),1),ROWS(Tables!$C$123:$C$138)-1))))),IF(P80&lt;10,(INDEX(Tables!$F$123:$F$138,MAX(1,MIN(IFERROR(MATCH(U80,Tables!$E$123:$E$138,1),1),ROWS(Tables!$E$123:$E$138)-1)))+(U80-INDEX(Tables!$E$123:$E$138,MAX(1,MIN(IFERROR(MATCH(U80,Tables!$E$123:$E$138,1),1),ROWS(Tables!$E$123:$E$138)-1))))*(INDEX(Tables!$F$123:$F$138,MAX(1,MIN(IFERROR(MATCH(U80,Tables!$E$123:$E$138,1),1),ROWS(Tables!$E$123:$E$138)-1))+1)-INDEX(Tables!$F$123:$F$138,MAX(1,MIN(IFERROR(MATCH(U80,Tables!$E$123:$E$138,1),1),ROWS(Tables!$E$123:$E$138)-1))))/(INDEX(Tables!$E$123:$E$138,MAX(1,MIN(IFERROR(MATCH(U80,Tables!$E$123:$E$138,1),1),ROWS(Tables!$E$123:$E$138)-1))+1)-INDEX(Tables!$E$123:$E$138,MAX(1,MIN(IFERROR(MATCH(U80,Tables!$E$123:$E$138,1),1),ROWS(Tables!$E$123:$E$138)-1))))),(INDEX(Tables!$H$123:$H$138,MAX(1,MIN(IFERROR(MATCH(U80,Tables!$G$123:$G$138,1),1),ROWS(Tables!$G$123:$G$138)-1)))+(U80-INDEX(Tables!$G$123:$G$138,MAX(1,MIN(IFERROR(MATCH(U80,Tables!$G$123:$G$138,1),1),ROWS(Tables!$G$123:$G$138)-1))))*(INDEX(Tables!$H$123:$H$138,MAX(1,MIN(IFERROR(MATCH(U80,Tables!$G$123:$G$138,1),1),ROWS(Tables!$G$123:$G$138)-1))+1)-INDEX(Tables!$H$123:$H$138,MAX(1,MIN(IFERROR(MATCH(U80,Tables!$G$123:$G$138,1),1),ROWS(Tables!$G$123:$G$138)-1))))/(INDEX(Tables!$G$123:$G$138,MAX(1,MIN(IFERROR(MATCH(U80,Tables!$G$123:$G$138,1),1),ROWS(Tables!$G$123:$G$138)-1))+1)-INDEX(Tables!$G$123:$G$138,MAX(1,MIN(IFERROR(MATCH(U80,Tables!$G$123:$G$138,1),1),ROWS(Tables!$G$123:$G$138)-1))))))))</f>
        <v>1.389875</v>
      </c>
      <c r="AR80" s="181">
        <f>IF(OR(P80&gt;=4,U80&gt;12),VLOOKUP(R80&amp;" "&amp;S80,Tables!$D$143:$F$148,2,FALSE),VLOOKUP(R80&amp;" "&amp;S80,Tables!$A$143:$C$148,2,FALSE))</f>
        <v>1.1000000000000001</v>
      </c>
      <c r="AS80" s="181">
        <f>IF(OR(P80&gt;=4,U80&gt;12),VLOOKUP(R80&amp;" "&amp;S80,Tables!$D$143:$F$148,3,FALSE),VLOOKUP(R80&amp;" "&amp;S80,Tables!$A$143:$C$148,3,FALSE))</f>
        <v>1</v>
      </c>
      <c r="AT80" s="181">
        <f t="shared" si="72"/>
        <v>2290.708724773825</v>
      </c>
      <c r="AU80" s="181">
        <f>IF(AD80=5000,(INDEX(Tables!$B$244:$B$263,MAX(1,MIN(IFERROR(MATCH(AF80,Tables!$A$244:$A$263,1),1),ROWS(Tables!$A$244:$A$263)-1)))+(AF80-INDEX(Tables!$A$244:$A$263,MAX(1,MIN(IFERROR(MATCH(AF80,Tables!$A$244:$A$263,1),1),ROWS(Tables!$A$244:$A$263)-1))))*(INDEX(Tables!$B$244:$B$263,MAX(1,MIN(IFERROR(MATCH(AF80,Tables!$A$244:$A$263,1),1),ROWS(Tables!$A$244:$A$263)-1))+1)-INDEX(Tables!$B$244:$B$263,MAX(1,MIN(IFERROR(MATCH(AF80,Tables!$A$244:$A$263,1),1),ROWS(Tables!$A$244:$A$263)-1))))/(INDEX(Tables!$A$244:$A$263,MAX(1,MIN(IFERROR(MATCH(AF80,Tables!$A$244:$A$263,1),1),ROWS(Tables!$A$244:$A$263)-1))+1)-INDEX(Tables!$A$244:$A$263,MAX(1,MIN(IFERROR(MATCH(AF80,Tables!$A$244:$A$263,1),1),ROWS(Tables!$A$244:$A$263)-1))))),IF(AD80=10000,(INDEX(Tables!$D$244:$D$263,MAX(1,MIN(IFERROR(MATCH(AF80,Tables!$C$244:$C$263,1),1),ROWS(Tables!$C$244:$C$263)-1)))+(AF80-INDEX(Tables!$C$244:$C$263,MAX(1,MIN(IFERROR(MATCH(AF80,Tables!$C$244:$C$263,1),1),ROWS(Tables!$C$244:$C$263)-1))))*(INDEX(Tables!$D$244:$D$263,MAX(1,MIN(IFERROR(MATCH(AF80,Tables!$C$244:$C$263,1),1),ROWS(Tables!$C$244:$C$263)-1))+1)-INDEX(Tables!$D$244:$D$263,MAX(1,MIN(IFERROR(MATCH(AF80,Tables!$C$244:$C$263,1),1),ROWS(Tables!$C$244:$C$263)-1))))/(INDEX(Tables!$C$244:$C$263,MAX(1,MIN(IFERROR(MATCH(AF80,Tables!$C$244:$C$263,1),1),ROWS(Tables!$C$244:$C$263)-1))+1)-INDEX(Tables!$C$244:$C$263,MAX(1,MIN(IFERROR(MATCH(AF80,Tables!$C$244:$C$263,1),1),ROWS(Tables!$C$244:$C$263)-1))))),(INDEX(Tables!$F$244:$F$263,MAX(1,MIN(IFERROR(MATCH(AF80,Tables!$E$244:$E$263,1),1),ROWS(Tables!$E$244:$E$263)-1)))+(AF80-INDEX(Tables!$E$244:$E$263,MAX(1,MIN(IFERROR(MATCH(AF80,Tables!$E$244:$E$263,1),1),ROWS(Tables!$E$244:$E$263)-1))))*(INDEX(Tables!$F$244:$F$263,MAX(1,MIN(IFERROR(MATCH(AF80,Tables!$E$244:$E$263,1),1),ROWS(Tables!$E$244:$E$263)-1))+1)-INDEX(Tables!$F$244:$F$263,MAX(1,MIN(IFERROR(MATCH(AF80,Tables!$E$244:$E$263,1),1),ROWS(Tables!$E$244:$E$263)-1))))/(INDEX(Tables!$E$244:$E$263,MAX(1,MIN(IFERROR(MATCH(AF80,Tables!$E$244:$E$263,1),1),ROWS(Tables!$E$244:$E$263)-1))+1)-INDEX(Tables!$E$244:$E$263,MAX(1,MIN(IFERROR(MATCH(AF80,Tables!$E$244:$E$263,1),1),ROWS(Tables!$E$244:$E$263)-1)))))))</f>
        <v>9.8291333333333331</v>
      </c>
      <c r="AV80" s="181">
        <f>IF(P80&lt;6,(INDEX(Tables!$B$260:$B$274,MAX(1,MIN(IFERROR(MATCH(U80,Tables!$A$260:$A$274,1),1),ROWS(Tables!$A$260:$A$274)-1)))+(U80-INDEX(Tables!$A$260:$A$274,MAX(1,MIN(IFERROR(MATCH(U80,Tables!$A$260:$A$274,1),1),ROWS(Tables!$A$260:$A$274)-1))))*(INDEX(Tables!$B$260:$B$274,MAX(1,MIN(IFERROR(MATCH(U80,Tables!$A$260:$A$274,1),1),ROWS(Tables!$A$260:$A$274)-1))+1)-INDEX(Tables!$B$260:$B$274,MAX(1,MIN(IFERROR(MATCH(U80,Tables!$A$260:$A$274,1),1),ROWS(Tables!$A$260:$A$274)-1))))/(INDEX(Tables!$A$260:$A$274,MAX(1,MIN(IFERROR(MATCH(U80,Tables!$A$260:$A$274,1),1),ROWS(Tables!$A$260:$A$274)-1))+1)-INDEX(Tables!$A$260:$A$274,MAX(1,MIN(IFERROR(MATCH(U80,Tables!$A$260:$A$274,1),1),ROWS(Tables!$A$260:$A$274)-1))))),IF(P80&lt;8,(INDEX(Tables!$D$260:$D$274,MAX(1,MIN(IFERROR(MATCH(U80,Tables!$C$260:$C$274,1),1),ROWS(Tables!$C$260:$C$274)-1)))+(U80-INDEX(Tables!$C$260:$C$274,MAX(1,MIN(IFERROR(MATCH(U80,Tables!$C$260:$C$274,1),1),ROWS(Tables!$C$260:$C$274)-1))))*(INDEX(Tables!$D$260:$D$274,MAX(1,MIN(IFERROR(MATCH(U80,Tables!$C$260:$C$274,1),1),ROWS(Tables!$C$260:$C$274)-1))+1)-INDEX(Tables!$D$260:$D$274,MAX(1,MIN(IFERROR(MATCH(U80,Tables!$C$260:$C$274,1),1),ROWS(Tables!$C$260:$C$274)-1))))/(INDEX(Tables!$C$260:$C$274,MAX(1,MIN(IFERROR(MATCH(U80,Tables!$C$260:$C$274,1),1),ROWS(Tables!$C$260:$C$274)-1))+1)-INDEX(Tables!$C$260:$C$274,MAX(1,MIN(IFERROR(MATCH(U80,Tables!$C$260:$C$274,1),1),ROWS(Tables!$C$260:$C$274)-1))))),IF(P80&lt;10,(INDEX(Tables!$F$260:$F$274,MAX(1,MIN(IFERROR(MATCH(U80,Tables!$E$260:$E$274,1),1),ROWS(Tables!$E$260:$E$274)-1)))+(U80-INDEX(Tables!$E$260:$E$274,MAX(1,MIN(IFERROR(MATCH(U80,Tables!$E$260:$E$274,1),1),ROWS(Tables!$E$260:$E$274)-1))))*(INDEX(Tables!$F$260:$F$274,MAX(1,MIN(IFERROR(MATCH(U80,Tables!$E$260:$E$274,1),1),ROWS(Tables!$E$260:$E$274)-1))+1)-INDEX(Tables!$F$260:$F$274,MAX(1,MIN(IFERROR(MATCH(U80,Tables!$E$260:$E$274,1),1),ROWS(Tables!$E$260:$E$274)-1))))/(INDEX(Tables!$E$260:$E$274,MAX(1,MIN(IFERROR(MATCH(U80,Tables!$E$260:$E$274,1),1),ROWS(Tables!$E$260:$E$274)-1))+1)-INDEX(Tables!$E$260:$E$274,MAX(1,MIN(IFERROR(MATCH(U80,Tables!$E$260:$E$274,1),1),ROWS(Tables!$E$260:$E$274)-1))))),(INDEX(Tables!$H$260:$H$274,MAX(1,MIN(IFERROR(MATCH(U80,Tables!$G$260:$G$274,1),1),ROWS(Tables!$G$260:$G$274)-1)))+(U80-INDEX(Tables!$G$260:$G$274,MAX(1,MIN(IFERROR(MATCH(U80,Tables!$G$260:$G$274,1),1),ROWS(Tables!$G$260:$G$274)-1))))*(INDEX(Tables!$H$260:$H$274,MAX(1,MIN(IFERROR(MATCH(U80,Tables!$G$260:$G$274,1),1),ROWS(Tables!$G$260:$G$274)-1))+1)-INDEX(Tables!$H$260:$H$274,MAX(1,MIN(IFERROR(MATCH(U80,Tables!$G$260:$G$274,1),1),ROWS(Tables!$G$260:$G$274)-1))))/(INDEX(Tables!$G$260:$G$274,MAX(1,MIN(IFERROR(MATCH(U80,Tables!$G$260:$G$274,1),1),ROWS(Tables!$G$260:$G$274)-1))+1)-INDEX(Tables!$G$260:$G$274,MAX(1,MIN(IFERROR(MATCH(U80,Tables!$G$260:$G$274,1),1),ROWS(Tables!$G$260:$G$274)-1))))))))</f>
        <v>1.3123750000000001</v>
      </c>
      <c r="AW80" s="181">
        <f t="shared" si="73"/>
        <v>1478.0687233506947</v>
      </c>
      <c r="AX80" s="181">
        <f t="shared" si="74"/>
        <v>2628.5714285714289</v>
      </c>
      <c r="AY80" s="181">
        <f t="shared" si="75"/>
        <v>6500.9708037511282</v>
      </c>
      <c r="AZ80" s="181">
        <f t="shared" si="76"/>
        <v>2741.1473470438855</v>
      </c>
      <c r="BA80" s="181">
        <f t="shared" si="77"/>
        <v>-100</v>
      </c>
      <c r="BB80" s="181">
        <f t="shared" si="78"/>
        <v>5735.0329652581477</v>
      </c>
      <c r="BC80" s="181">
        <f t="shared" si="79"/>
        <v>46800</v>
      </c>
      <c r="BD80" s="181">
        <f>VLOOKUP(V80&amp;" "&amp;J80,Tables!$A$152:$E$239,4,FALSE)</f>
        <v>12000</v>
      </c>
      <c r="BE80" s="181">
        <f>VLOOKUP(V80&amp;" "&amp;J80,Tables!$A$152:$E$239,5,FALSE)</f>
        <v>23000</v>
      </c>
      <c r="BF80" s="181">
        <f t="shared" si="80"/>
        <v>8640</v>
      </c>
      <c r="BG80" s="181">
        <f t="shared" si="81"/>
        <v>16560</v>
      </c>
      <c r="BH80" s="181">
        <f t="shared" si="82"/>
        <v>2678.5714285714284</v>
      </c>
      <c r="BI80" s="181">
        <f t="shared" si="83"/>
        <v>46800</v>
      </c>
      <c r="BJ80" s="181">
        <f t="shared" si="84"/>
        <v>5735.0329652581477</v>
      </c>
      <c r="BK80" s="181">
        <f t="shared" si="85"/>
        <v>46800</v>
      </c>
      <c r="BL80" s="181">
        <f t="shared" si="86"/>
        <v>1478.0687233506947</v>
      </c>
      <c r="BM80" s="181">
        <f t="shared" si="87"/>
        <v>8640</v>
      </c>
      <c r="BN80" s="181">
        <f t="shared" si="88"/>
        <v>2290.708724773825</v>
      </c>
      <c r="BO80" s="181">
        <f t="shared" si="89"/>
        <v>16560</v>
      </c>
      <c r="BP80" t="str">
        <f t="shared" si="90"/>
        <v>Pass</v>
      </c>
      <c r="BQ80" t="str">
        <f t="shared" si="91"/>
        <v>Pass</v>
      </c>
      <c r="BR80" t="str">
        <f t="shared" si="92"/>
        <v>Pass</v>
      </c>
      <c r="BS80" t="str">
        <f t="shared" si="93"/>
        <v>Pass</v>
      </c>
      <c r="BT80" t="str">
        <f t="shared" si="94"/>
        <v>Pass</v>
      </c>
      <c r="BU80" t="str">
        <f t="shared" si="95"/>
        <v>Girth Weld Stress</v>
      </c>
    </row>
    <row r="81" spans="1:73">
      <c r="A81" t="s">
        <v>673</v>
      </c>
      <c r="B81" s="181">
        <v>79</v>
      </c>
      <c r="C81" t="s">
        <v>594</v>
      </c>
      <c r="D81" s="181">
        <v>12</v>
      </c>
      <c r="E81" s="181">
        <v>0.193</v>
      </c>
      <c r="F81" t="s">
        <v>117</v>
      </c>
      <c r="G81" t="s">
        <v>119</v>
      </c>
      <c r="H81" t="s">
        <v>122</v>
      </c>
      <c r="I81" s="181">
        <v>1</v>
      </c>
      <c r="J81" t="s">
        <v>126</v>
      </c>
      <c r="K81" t="s">
        <v>129</v>
      </c>
      <c r="L81" s="181">
        <v>70</v>
      </c>
      <c r="M81" s="181">
        <v>100</v>
      </c>
      <c r="N81" t="s">
        <v>390</v>
      </c>
      <c r="O81" s="181">
        <v>120</v>
      </c>
      <c r="P81" s="181">
        <v>6</v>
      </c>
      <c r="Q81" s="181">
        <v>14.75</v>
      </c>
      <c r="R81" t="s">
        <v>417</v>
      </c>
      <c r="S81" t="s">
        <v>156</v>
      </c>
      <c r="T81" s="181">
        <v>70</v>
      </c>
      <c r="U81" s="181">
        <f>HLOOKUP(D81,'Highway Loading'!$C$155:$AD$156,2,FALSE)</f>
        <v>12.75</v>
      </c>
      <c r="V81" s="181">
        <f>IF(ISBLANK(G81),"",INDEX('Highway Loading'!$C$216:$AG$216,1,MATCH(G81,'Highway Loading'!$C$215:$AG$215,0)))</f>
        <v>65000</v>
      </c>
      <c r="W81" s="181">
        <f>INDEX('Highway Loading'!$I$245:$L$253,MATCH(H81,'Highway Loading'!$H$245:$H$253,0),MATCH(I81,'Highway Loading'!$I$244:$L$244,0))</f>
        <v>0.72</v>
      </c>
      <c r="X81" s="181">
        <f t="shared" si="64"/>
        <v>1</v>
      </c>
      <c r="Y81" s="181">
        <f>VLOOKUP(K81,'Highway Loading'!$B$283:$E$292,2,FALSE)</f>
        <v>29000000</v>
      </c>
      <c r="Z81" s="181">
        <f>VLOOKUP(K81,'Highway Loading'!$B$283:$E$292,3,FALSE)</f>
        <v>0.3</v>
      </c>
      <c r="AA81" s="181">
        <f>VLOOKUP(K81,'Highway Loading'!$B$283:$E$292,4,FALSE)</f>
        <v>6.4999999999999996E-6</v>
      </c>
      <c r="AB81" s="181">
        <f t="shared" si="65"/>
        <v>1</v>
      </c>
      <c r="AC81" s="181">
        <f>VLOOKUP(N81,'Highway Loading'!$B$256:$D$261,2,FALSE)</f>
        <v>1000</v>
      </c>
      <c r="AD81" s="181">
        <f>VLOOKUP(N81,'Highway Loading'!$B$256:$D$261,3,FALSE)</f>
        <v>10000</v>
      </c>
      <c r="AE81" s="181">
        <f>VLOOKUP(S81,'Highway Loading'!$B$340:$C$341,2,FALSE)</f>
        <v>10000</v>
      </c>
      <c r="AF81" s="181">
        <f t="shared" si="66"/>
        <v>1.5137254901960785E-2</v>
      </c>
      <c r="AG81" s="181">
        <f t="shared" si="67"/>
        <v>4.8813559322033901</v>
      </c>
      <c r="AH81" s="181">
        <f t="shared" si="68"/>
        <v>1.1568627450980393</v>
      </c>
      <c r="AI81" s="181">
        <f t="shared" si="69"/>
        <v>3303.1088082901551</v>
      </c>
      <c r="AJ81" s="181">
        <f t="shared" si="70"/>
        <v>46800</v>
      </c>
      <c r="AK81" s="181">
        <f>IF(AC81=200,(INDEX(Tables!$B$17:$B$38,MAX(1,MIN(IFERROR(MATCH(AF81,Tables!$A$17:$A$38,1),1),ROWS(Tables!$A$17:$A$38)-1)))+(AF81-INDEX(Tables!$A$17:$A$38,MAX(1,MIN(IFERROR(MATCH(AF81,Tables!$A$17:$A$38,1),1),ROWS(Tables!$A$17:$A$38)-1))))*(INDEX(Tables!$B$17:$B$38,MAX(1,MIN(IFERROR(MATCH(AF81,Tables!$A$17:$A$38,1),1),ROWS(Tables!$A$17:$A$38)-1))+1)-INDEX(Tables!$B$17:$B$38,MAX(1,MIN(IFERROR(MATCH(AF81,Tables!$A$17:$A$38,1),1),ROWS(Tables!$A$17:$A$38)-1))))/(INDEX(Tables!$A$17:$A$38,MAX(1,MIN(IFERROR(MATCH(AF81,Tables!$A$17:$A$38,1),1),ROWS(Tables!$A$17:$A$38)-1))+1)-INDEX(Tables!$A$17:$A$38,MAX(1,MIN(IFERROR(MATCH(AF81,Tables!$A$17:$A$38,1),1),ROWS(Tables!$A$17:$A$38)-1))))),IF(AC81=500,(INDEX(Tables!$D$17:$D$38,MAX(1,MIN(IFERROR(MATCH(AF81,Tables!$C$17:$C$38,1),1),ROWS(Tables!$C$17:$C$38)-1)))+(AF81-INDEX(Tables!$C$17:$C$38,MAX(1,MIN(IFERROR(MATCH(AF81,Tables!$C$17:$C$38,1),1),ROWS(Tables!$C$17:$C$38)-1))))*(INDEX(Tables!$D$17:$D$38,MAX(1,MIN(IFERROR(MATCH(AF81,Tables!$C$17:$C$38,1),1),ROWS(Tables!$C$17:$C$38)-1))+1)-INDEX(Tables!$D$17:$D$38,MAX(1,MIN(IFERROR(MATCH(AF81,Tables!$C$17:$C$38,1),1),ROWS(Tables!$C$17:$C$38)-1))))/(INDEX(Tables!$C$17:$C$38,MAX(1,MIN(IFERROR(MATCH(AF81,Tables!$C$17:$C$38,1),1),ROWS(Tables!$C$17:$C$38)-1))+1)-INDEX(Tables!$C$17:$C$38,MAX(1,MIN(IFERROR(MATCH(AF81,Tables!$C$17:$C$38,1),1),ROWS(Tables!$C$17:$C$38)-1))))),IF(AC81=1000,(INDEX(Tables!$F$17:$F$38,MAX(1,MIN(IFERROR(MATCH(AF81,Tables!$E$17:$E$38,1),1),ROWS(Tables!$E$17:$E$38)-1)))+(AF81-INDEX(Tables!$E$17:$E$38,MAX(1,MIN(IFERROR(MATCH(AF81,Tables!$E$17:$E$38,1),1),ROWS(Tables!$E$17:$E$38)-1))))*(INDEX(Tables!$F$17:$F$38,MAX(1,MIN(IFERROR(MATCH(AF81,Tables!$E$17:$E$38,1),1),ROWS(Tables!$E$17:$E$38)-1))+1)-INDEX(Tables!$F$17:$F$38,MAX(1,MIN(IFERROR(MATCH(AF81,Tables!$E$17:$E$38,1),1),ROWS(Tables!$E$17:$E$38)-1))))/(INDEX(Tables!$E$17:$E$38,MAX(1,MIN(IFERROR(MATCH(AF81,Tables!$E$17:$E$38,1),1),ROWS(Tables!$E$17:$E$38)-1))+1)-INDEX(Tables!$E$17:$E$38,MAX(1,MIN(IFERROR(MATCH(AF81,Tables!$E$17:$E$38,1),1),ROWS(Tables!$E$17:$E$38)-1))))),(INDEX(Tables!$H$17:$H$38,MAX(1,MIN(IFERROR(MATCH(AF81,Tables!$G$17:$G$38,1),1),ROWS(Tables!$G$17:$G$38)-1)))+(AF81-INDEX(Tables!$G$17:$G$38,MAX(1,MIN(IFERROR(MATCH(AF81,Tables!$G$17:$G$38,1),1),ROWS(Tables!$G$17:$G$38)-1))))*(INDEX(Tables!$H$17:$H$38,MAX(1,MIN(IFERROR(MATCH(AF81,Tables!$G$17:$G$38,1),1),ROWS(Tables!$G$17:$G$38)-1))+1)-INDEX(Tables!$H$17:$H$38,MAX(1,MIN(IFERROR(MATCH(AF81,Tables!$G$17:$G$38,1),1),ROWS(Tables!$G$17:$G$38)-1))))/(INDEX(Tables!$G$17:$G$38,MAX(1,MIN(IFERROR(MATCH(AF81,Tables!$G$17:$G$38,1),1),ROWS(Tables!$G$17:$G$38)-1))+1)-INDEX(Tables!$G$17:$G$38,MAX(1,MIN(IFERROR(MATCH(AF81,Tables!$G$17:$G$38,1),1),ROWS(Tables!$G$17:$G$38)-1))))))))</f>
        <v>3235.1960784313724</v>
      </c>
      <c r="AL81" s="181">
        <f>IF(AC81&lt;1000,(INDEX(Tables!$B$43:$B$76,MAX(1,MIN(IFERROR(MATCH(AG81,Tables!$A$43:$A$76,1),1),ROWS(Tables!$A$43:$A$76)-1)))+(AG81-INDEX(Tables!$A$43:$A$76,MAX(1,MIN(IFERROR(MATCH(AG81,Tables!$A$43:$A$76,1),1),ROWS(Tables!$A$43:$A$76)-1))))*(INDEX(Tables!$B$43:$B$76,MAX(1,MIN(IFERROR(MATCH(AG81,Tables!$A$43:$A$76,1),1),ROWS(Tables!$A$43:$A$76)-1))+1)-INDEX(Tables!$B$43:$B$76,MAX(1,MIN(IFERROR(MATCH(AG81,Tables!$A$43:$A$76,1),1),ROWS(Tables!$A$43:$A$76)-1))))/(INDEX(Tables!$A$43:$A$76,MAX(1,MIN(IFERROR(MATCH(AG81,Tables!$A$43:$A$76,1),1),ROWS(Tables!$A$43:$A$76)-1))+1)-INDEX(Tables!$A$43:$A$76,MAX(1,MIN(IFERROR(MATCH(AG81,Tables!$A$43:$A$76,1),1),ROWS(Tables!$A$43:$A$76)-1))))),(INDEX(Tables!$D$43:$D$76,MAX(1,MIN(IFERROR(MATCH(AG81,Tables!$C$43:$C$76,1),1),ROWS(Tables!$C$43:$C$76)-1)))+(AG81-INDEX(Tables!$C$43:$C$76,MAX(1,MIN(IFERROR(MATCH(AG81,Tables!$C$43:$C$76,1),1),ROWS(Tables!$C$43:$C$76)-1))))*(INDEX(Tables!$D$43:$D$76,MAX(1,MIN(IFERROR(MATCH(AG81,Tables!$C$43:$C$76,1),1),ROWS(Tables!$C$43:$C$76)-1))+1)-INDEX(Tables!$D$43:$D$76,MAX(1,MIN(IFERROR(MATCH(AG81,Tables!$C$43:$C$76,1),1),ROWS(Tables!$C$43:$C$76)-1))))/(INDEX(Tables!$C$43:$C$76,MAX(1,MIN(IFERROR(MATCH(AG81,Tables!$C$43:$C$76,1),1),ROWS(Tables!$C$43:$C$76)-1))+1)-INDEX(Tables!$C$43:$C$76,MAX(1,MIN(IFERROR(MATCH(AG81,Tables!$C$43:$C$76,1),1),ROWS(Tables!$C$43:$C$76)-1))))))</f>
        <v>0.95557627118644062</v>
      </c>
      <c r="AM81" s="181">
        <f>(INDEX(Tables!$B$80:$B$87,MAX(1,MIN(IFERROR(MATCH(AH81,Tables!$A$80:$A$87,1),1),ROWS(Tables!$A$80:$A$87)-1)))+(AH81-INDEX(Tables!$A$80:$A$87,MAX(1,MIN(IFERROR(MATCH(AH81,Tables!$A$80:$A$87,1),1),ROWS(Tables!$A$80:$A$87)-1))))*(INDEX(Tables!$B$80:$B$87,MAX(1,MIN(IFERROR(MATCH(AH81,Tables!$A$80:$A$87,1),1),ROWS(Tables!$A$80:$A$87)-1))+1)-INDEX(Tables!$B$80:$B$87,MAX(1,MIN(IFERROR(MATCH(AH81,Tables!$A$80:$A$87,1),1),ROWS(Tables!$A$80:$A$87)-1))))/(INDEX(Tables!$A$80:$A$87,MAX(1,MIN(IFERROR(MATCH(AH81,Tables!$A$80:$A$87,1),1),ROWS(Tables!$A$80:$A$87)-1))+1)-INDEX(Tables!$A$80:$A$87,MAX(1,MIN(IFERROR(MATCH(AH81,Tables!$A$80:$A$87,1),1),ROWS(Tables!$A$80:$A$87)-1)))))</f>
        <v>1.1041078431372553</v>
      </c>
      <c r="AN81" s="181">
        <f t="shared" si="71"/>
        <v>3022.2135746464178</v>
      </c>
      <c r="AO81" s="181">
        <f>(INDEX(Tables!$B$91:$B$94,MAX(1,MIN(IFERROR(MATCH(P81,Tables!$A$91:$A$94,1),1),ROWS(Tables!$A$91:$A$94)-1)))+(P81-INDEX(Tables!$A$91:$A$94,MAX(1,MIN(IFERROR(MATCH(P81,Tables!$A$91:$A$94,1),1),ROWS(Tables!$A$91:$A$94)-1))))*(INDEX(Tables!$B$91:$B$94,MAX(1,MIN(IFERROR(MATCH(P81,Tables!$A$91:$A$94,1),1),ROWS(Tables!$A$91:$A$94)-1))+1)-INDEX(Tables!$B$91:$B$94,MAX(1,MIN(IFERROR(MATCH(P81,Tables!$A$91:$A$94,1),1),ROWS(Tables!$A$91:$A$94)-1))))/(INDEX(Tables!$A$91:$A$94,MAX(1,MIN(IFERROR(MATCH(P81,Tables!$A$91:$A$94,1),1),ROWS(Tables!$A$91:$A$94)-1))+1)-INDEX(Tables!$A$91:$A$94,MAX(1,MIN(IFERROR(MATCH(P81,Tables!$A$91:$A$94,1),1),ROWS(Tables!$A$91:$A$94)-1)))))</f>
        <v>1.476219512195122</v>
      </c>
      <c r="AP81" s="181">
        <f>IF(AD81=5000,(INDEX(Tables!$B$99:$B$118,MAX(1,MIN(IFERROR(MATCH(AF81,Tables!$A$99:$A$118,1),1),ROWS(Tables!$A$99:$A$118)-1)))+(AF81-INDEX(Tables!$A$99:$A$118,MAX(1,MIN(IFERROR(MATCH(AF81,Tables!$A$99:$A$118,1),1),ROWS(Tables!$A$99:$A$118)-1))))*(INDEX(Tables!$B$99:$B$118,MAX(1,MIN(IFERROR(MATCH(AF81,Tables!$A$99:$A$118,1),1),ROWS(Tables!$A$99:$A$118)-1))+1)-INDEX(Tables!$B$99:$B$118,MAX(1,MIN(IFERROR(MATCH(AF81,Tables!$A$99:$A$118,1),1),ROWS(Tables!$A$99:$A$118)-1))))/(INDEX(Tables!$A$99:$A$118,MAX(1,MIN(IFERROR(MATCH(AF81,Tables!$A$99:$A$118,1),1),ROWS(Tables!$A$99:$A$118)-1))+1)-INDEX(Tables!$A$99:$A$118,MAX(1,MIN(IFERROR(MATCH(AF81,Tables!$A$99:$A$118,1),1),ROWS(Tables!$A$99:$A$118)-1))))),IF(AD81=10000,(INDEX(Tables!$D$99:$D$118,MAX(1,MIN(IFERROR(MATCH(AF81,Tables!$C$99:$C$118,1),1),ROWS(Tables!$C$99:$C$118)-1)))+(AF81-INDEX(Tables!$C$99:$C$118,MAX(1,MIN(IFERROR(MATCH(AF81,Tables!$C$99:$C$118,1),1),ROWS(Tables!$C$99:$C$118)-1))))*(INDEX(Tables!$D$99:$D$118,MAX(1,MIN(IFERROR(MATCH(AF81,Tables!$C$99:$C$118,1),1),ROWS(Tables!$C$99:$C$118)-1))+1)-INDEX(Tables!$D$99:$D$118,MAX(1,MIN(IFERROR(MATCH(AF81,Tables!$C$99:$C$118,1),1),ROWS(Tables!$C$99:$C$118)-1))))/(INDEX(Tables!$C$99:$C$118,MAX(1,MIN(IFERROR(MATCH(AF81,Tables!$C$99:$C$118,1),1),ROWS(Tables!$C$99:$C$118)-1))+1)-INDEX(Tables!$C$99:$C$118,MAX(1,MIN(IFERROR(MATCH(AF81,Tables!$C$99:$C$118,1),1),ROWS(Tables!$C$99:$C$118)-1))))),(INDEX(Tables!$F$99:$F$118,MAX(1,MIN(IFERROR(MATCH(AF81,Tables!$E$99:$E$118,1),1),ROWS(Tables!$E$99:$E$118)-1)))+(AF81-INDEX(Tables!$E$99:$E$118,MAX(1,MIN(IFERROR(MATCH(AF81,Tables!$E$99:$E$118,1),1),ROWS(Tables!$E$99:$E$118)-1))))*(INDEX(Tables!$F$99:$F$118,MAX(1,MIN(IFERROR(MATCH(AF81,Tables!$E$99:$E$118,1),1),ROWS(Tables!$E$99:$E$118)-1))+1)-INDEX(Tables!$F$99:$F$118,MAX(1,MIN(IFERROR(MATCH(AF81,Tables!$E$99:$E$118,1),1),ROWS(Tables!$E$99:$E$118)-1))))/(INDEX(Tables!$E$99:$E$118,MAX(1,MIN(IFERROR(MATCH(AF81,Tables!$E$99:$E$118,1),1),ROWS(Tables!$E$99:$E$118)-1))+1)-INDEX(Tables!$E$99:$E$118,MAX(1,MIN(IFERROR(MATCH(AF81,Tables!$E$99:$E$118,1),1),ROWS(Tables!$E$99:$E$118)-1)))))))</f>
        <v>14.719467653728158</v>
      </c>
      <c r="AQ81" s="181">
        <f>IF(P81&lt;6,(INDEX(Tables!$B$123:$B$138,MAX(1,MIN(IFERROR(MATCH(U81,Tables!$A$123:$A$138,1),1),ROWS(Tables!$A$123:$A$138)-1)))+(U81-INDEX(Tables!$A$123:$A$138,MAX(1,MIN(IFERROR(MATCH(U81,Tables!$A$123:$A$138,1),1),ROWS(Tables!$A$123:$A$138)-1))))*(INDEX(Tables!$B$123:$B$138,MAX(1,MIN(IFERROR(MATCH(U81,Tables!$A$123:$A$138,1),1),ROWS(Tables!$A$123:$A$138)-1))+1)-INDEX(Tables!$B$123:$B$138,MAX(1,MIN(IFERROR(MATCH(U81,Tables!$A$123:$A$138,1),1),ROWS(Tables!$A$123:$A$138)-1))))/(INDEX(Tables!$A$123:$A$138,MAX(1,MIN(IFERROR(MATCH(U81,Tables!$A$123:$A$138,1),1),ROWS(Tables!$A$123:$A$138)-1))+1)-INDEX(Tables!$A$123:$A$138,MAX(1,MIN(IFERROR(MATCH(U81,Tables!$A$123:$A$138,1),1),ROWS(Tables!$A$123:$A$138)-1))))),IF(P81&lt;8,(INDEX(Tables!$D$123:$D$138,MAX(1,MIN(IFERROR(MATCH(U81,Tables!$C$123:$C$138,1),1),ROWS(Tables!$C$123:$C$138)-1)))+(U81-INDEX(Tables!$C$123:$C$138,MAX(1,MIN(IFERROR(MATCH(U81,Tables!$C$123:$C$138,1),1),ROWS(Tables!$C$123:$C$138)-1))))*(INDEX(Tables!$D$123:$D$138,MAX(1,MIN(IFERROR(MATCH(U81,Tables!$C$123:$C$138,1),1),ROWS(Tables!$C$123:$C$138)-1))+1)-INDEX(Tables!$D$123:$D$138,MAX(1,MIN(IFERROR(MATCH(U81,Tables!$C$123:$C$138,1),1),ROWS(Tables!$C$123:$C$138)-1))))/(INDEX(Tables!$C$123:$C$138,MAX(1,MIN(IFERROR(MATCH(U81,Tables!$C$123:$C$138,1),1),ROWS(Tables!$C$123:$C$138)-1))+1)-INDEX(Tables!$C$123:$C$138,MAX(1,MIN(IFERROR(MATCH(U81,Tables!$C$123:$C$138,1),1),ROWS(Tables!$C$123:$C$138)-1))))),IF(P81&lt;10,(INDEX(Tables!$F$123:$F$138,MAX(1,MIN(IFERROR(MATCH(U81,Tables!$E$123:$E$138,1),1),ROWS(Tables!$E$123:$E$138)-1)))+(U81-INDEX(Tables!$E$123:$E$138,MAX(1,MIN(IFERROR(MATCH(U81,Tables!$E$123:$E$138,1),1),ROWS(Tables!$E$123:$E$138)-1))))*(INDEX(Tables!$F$123:$F$138,MAX(1,MIN(IFERROR(MATCH(U81,Tables!$E$123:$E$138,1),1),ROWS(Tables!$E$123:$E$138)-1))+1)-INDEX(Tables!$F$123:$F$138,MAX(1,MIN(IFERROR(MATCH(U81,Tables!$E$123:$E$138,1),1),ROWS(Tables!$E$123:$E$138)-1))))/(INDEX(Tables!$E$123:$E$138,MAX(1,MIN(IFERROR(MATCH(U81,Tables!$E$123:$E$138,1),1),ROWS(Tables!$E$123:$E$138)-1))+1)-INDEX(Tables!$E$123:$E$138,MAX(1,MIN(IFERROR(MATCH(U81,Tables!$E$123:$E$138,1),1),ROWS(Tables!$E$123:$E$138)-1))))),(INDEX(Tables!$H$123:$H$138,MAX(1,MIN(IFERROR(MATCH(U81,Tables!$G$123:$G$138,1),1),ROWS(Tables!$G$123:$G$138)-1)))+(U81-INDEX(Tables!$G$123:$G$138,MAX(1,MIN(IFERROR(MATCH(U81,Tables!$G$123:$G$138,1),1),ROWS(Tables!$G$123:$G$138)-1))))*(INDEX(Tables!$H$123:$H$138,MAX(1,MIN(IFERROR(MATCH(U81,Tables!$G$123:$G$138,1),1),ROWS(Tables!$G$123:$G$138)-1))+1)-INDEX(Tables!$H$123:$H$138,MAX(1,MIN(IFERROR(MATCH(U81,Tables!$G$123:$G$138,1),1),ROWS(Tables!$G$123:$G$138)-1))))/(INDEX(Tables!$G$123:$G$138,MAX(1,MIN(IFERROR(MATCH(U81,Tables!$G$123:$G$138,1),1),ROWS(Tables!$G$123:$G$138)-1))+1)-INDEX(Tables!$G$123:$G$138,MAX(1,MIN(IFERROR(MATCH(U81,Tables!$G$123:$G$138,1),1),ROWS(Tables!$G$123:$G$138)-1))))))))</f>
        <v>1.01675</v>
      </c>
      <c r="AR81" s="181">
        <f>IF(OR(P81&gt;=4,U81&gt;12),VLOOKUP(R81&amp;" "&amp;S81,Tables!$D$143:$F$148,2,FALSE),VLOOKUP(R81&amp;" "&amp;S81,Tables!$A$143:$C$148,2,FALSE))</f>
        <v>1.1000000000000001</v>
      </c>
      <c r="AS81" s="181">
        <f>IF(OR(P81&gt;=4,U81&gt;12),VLOOKUP(R81&amp;" "&amp;S81,Tables!$D$143:$F$148,3,FALSE),VLOOKUP(R81&amp;" "&amp;S81,Tables!$A$143:$C$148,3,FALSE))</f>
        <v>1</v>
      </c>
      <c r="AT81" s="181">
        <f t="shared" si="72"/>
        <v>1687.6695671711229</v>
      </c>
      <c r="AU81" s="181">
        <f>IF(AD81=5000,(INDEX(Tables!$B$244:$B$263,MAX(1,MIN(IFERROR(MATCH(AF81,Tables!$A$244:$A$263,1),1),ROWS(Tables!$A$244:$A$263)-1)))+(AF81-INDEX(Tables!$A$244:$A$263,MAX(1,MIN(IFERROR(MATCH(AF81,Tables!$A$244:$A$263,1),1),ROWS(Tables!$A$244:$A$263)-1))))*(INDEX(Tables!$B$244:$B$263,MAX(1,MIN(IFERROR(MATCH(AF81,Tables!$A$244:$A$263,1),1),ROWS(Tables!$A$244:$A$263)-1))+1)-INDEX(Tables!$B$244:$B$263,MAX(1,MIN(IFERROR(MATCH(AF81,Tables!$A$244:$A$263,1),1),ROWS(Tables!$A$244:$A$263)-1))))/(INDEX(Tables!$A$244:$A$263,MAX(1,MIN(IFERROR(MATCH(AF81,Tables!$A$244:$A$263,1),1),ROWS(Tables!$A$244:$A$263)-1))+1)-INDEX(Tables!$A$244:$A$263,MAX(1,MIN(IFERROR(MATCH(AF81,Tables!$A$244:$A$263,1),1),ROWS(Tables!$A$244:$A$263)-1))))),IF(AD81=10000,(INDEX(Tables!$D$244:$D$263,MAX(1,MIN(IFERROR(MATCH(AF81,Tables!$C$244:$C$263,1),1),ROWS(Tables!$C$244:$C$263)-1)))+(AF81-INDEX(Tables!$C$244:$C$263,MAX(1,MIN(IFERROR(MATCH(AF81,Tables!$C$244:$C$263,1),1),ROWS(Tables!$C$244:$C$263)-1))))*(INDEX(Tables!$D$244:$D$263,MAX(1,MIN(IFERROR(MATCH(AF81,Tables!$C$244:$C$263,1),1),ROWS(Tables!$C$244:$C$263)-1))+1)-INDEX(Tables!$D$244:$D$263,MAX(1,MIN(IFERROR(MATCH(AF81,Tables!$C$244:$C$263,1),1),ROWS(Tables!$C$244:$C$263)-1))))/(INDEX(Tables!$C$244:$C$263,MAX(1,MIN(IFERROR(MATCH(AF81,Tables!$C$244:$C$263,1),1),ROWS(Tables!$C$244:$C$263)-1))+1)-INDEX(Tables!$C$244:$C$263,MAX(1,MIN(IFERROR(MATCH(AF81,Tables!$C$244:$C$263,1),1),ROWS(Tables!$C$244:$C$263)-1))))),(INDEX(Tables!$F$244:$F$263,MAX(1,MIN(IFERROR(MATCH(AF81,Tables!$E$244:$E$263,1),1),ROWS(Tables!$E$244:$E$263)-1)))+(AF81-INDEX(Tables!$E$244:$E$263,MAX(1,MIN(IFERROR(MATCH(AF81,Tables!$E$244:$E$263,1),1),ROWS(Tables!$E$244:$E$263)-1))))*(INDEX(Tables!$F$244:$F$263,MAX(1,MIN(IFERROR(MATCH(AF81,Tables!$E$244:$E$263,1),1),ROWS(Tables!$E$244:$E$263)-1))+1)-INDEX(Tables!$F$244:$F$263,MAX(1,MIN(IFERROR(MATCH(AF81,Tables!$E$244:$E$263,1),1),ROWS(Tables!$E$244:$E$263)-1))))/(INDEX(Tables!$E$244:$E$263,MAX(1,MIN(IFERROR(MATCH(AF81,Tables!$E$244:$E$263,1),1),ROWS(Tables!$E$244:$E$263)-1))+1)-INDEX(Tables!$E$244:$E$263,MAX(1,MIN(IFERROR(MATCH(AF81,Tables!$E$244:$E$263,1),1),ROWS(Tables!$E$244:$E$263)-1)))))))</f>
        <v>9.9936039215686279</v>
      </c>
      <c r="AV81" s="181">
        <f>IF(P81&lt;6,(INDEX(Tables!$B$260:$B$274,MAX(1,MIN(IFERROR(MATCH(U81,Tables!$A$260:$A$274,1),1),ROWS(Tables!$A$260:$A$274)-1)))+(U81-INDEX(Tables!$A$260:$A$274,MAX(1,MIN(IFERROR(MATCH(U81,Tables!$A$260:$A$274,1),1),ROWS(Tables!$A$260:$A$274)-1))))*(INDEX(Tables!$B$260:$B$274,MAX(1,MIN(IFERROR(MATCH(U81,Tables!$A$260:$A$274,1),1),ROWS(Tables!$A$260:$A$274)-1))+1)-INDEX(Tables!$B$260:$B$274,MAX(1,MIN(IFERROR(MATCH(U81,Tables!$A$260:$A$274,1),1),ROWS(Tables!$A$260:$A$274)-1))))/(INDEX(Tables!$A$260:$A$274,MAX(1,MIN(IFERROR(MATCH(U81,Tables!$A$260:$A$274,1),1),ROWS(Tables!$A$260:$A$274)-1))+1)-INDEX(Tables!$A$260:$A$274,MAX(1,MIN(IFERROR(MATCH(U81,Tables!$A$260:$A$274,1),1),ROWS(Tables!$A$260:$A$274)-1))))),IF(P81&lt;8,(INDEX(Tables!$D$260:$D$274,MAX(1,MIN(IFERROR(MATCH(U81,Tables!$C$260:$C$274,1),1),ROWS(Tables!$C$260:$C$274)-1)))+(U81-INDEX(Tables!$C$260:$C$274,MAX(1,MIN(IFERROR(MATCH(U81,Tables!$C$260:$C$274,1),1),ROWS(Tables!$C$260:$C$274)-1))))*(INDEX(Tables!$D$260:$D$274,MAX(1,MIN(IFERROR(MATCH(U81,Tables!$C$260:$C$274,1),1),ROWS(Tables!$C$260:$C$274)-1))+1)-INDEX(Tables!$D$260:$D$274,MAX(1,MIN(IFERROR(MATCH(U81,Tables!$C$260:$C$274,1),1),ROWS(Tables!$C$260:$C$274)-1))))/(INDEX(Tables!$C$260:$C$274,MAX(1,MIN(IFERROR(MATCH(U81,Tables!$C$260:$C$274,1),1),ROWS(Tables!$C$260:$C$274)-1))+1)-INDEX(Tables!$C$260:$C$274,MAX(1,MIN(IFERROR(MATCH(U81,Tables!$C$260:$C$274,1),1),ROWS(Tables!$C$260:$C$274)-1))))),IF(P81&lt;10,(INDEX(Tables!$F$260:$F$274,MAX(1,MIN(IFERROR(MATCH(U81,Tables!$E$260:$E$274,1),1),ROWS(Tables!$E$260:$E$274)-1)))+(U81-INDEX(Tables!$E$260:$E$274,MAX(1,MIN(IFERROR(MATCH(U81,Tables!$E$260:$E$274,1),1),ROWS(Tables!$E$260:$E$274)-1))))*(INDEX(Tables!$F$260:$F$274,MAX(1,MIN(IFERROR(MATCH(U81,Tables!$E$260:$E$274,1),1),ROWS(Tables!$E$260:$E$274)-1))+1)-INDEX(Tables!$F$260:$F$274,MAX(1,MIN(IFERROR(MATCH(U81,Tables!$E$260:$E$274,1),1),ROWS(Tables!$E$260:$E$274)-1))))/(INDEX(Tables!$E$260:$E$274,MAX(1,MIN(IFERROR(MATCH(U81,Tables!$E$260:$E$274,1),1),ROWS(Tables!$E$260:$E$274)-1))+1)-INDEX(Tables!$E$260:$E$274,MAX(1,MIN(IFERROR(MATCH(U81,Tables!$E$260:$E$274,1),1),ROWS(Tables!$E$260:$E$274)-1))))),(INDEX(Tables!$H$260:$H$274,MAX(1,MIN(IFERROR(MATCH(U81,Tables!$G$260:$G$274,1),1),ROWS(Tables!$G$260:$G$274)-1)))+(U81-INDEX(Tables!$G$260:$G$274,MAX(1,MIN(IFERROR(MATCH(U81,Tables!$G$260:$G$274,1),1),ROWS(Tables!$G$260:$G$274)-1))))*(INDEX(Tables!$H$260:$H$274,MAX(1,MIN(IFERROR(MATCH(U81,Tables!$G$260:$G$274,1),1),ROWS(Tables!$G$260:$G$274)-1))+1)-INDEX(Tables!$H$260:$H$274,MAX(1,MIN(IFERROR(MATCH(U81,Tables!$G$260:$G$274,1),1),ROWS(Tables!$G$260:$G$274)-1))))/(INDEX(Tables!$G$260:$G$274,MAX(1,MIN(IFERROR(MATCH(U81,Tables!$G$260:$G$274,1),1),ROWS(Tables!$G$260:$G$274)-1))+1)-INDEX(Tables!$G$260:$G$274,MAX(1,MIN(IFERROR(MATCH(U81,Tables!$G$260:$G$274,1),1),ROWS(Tables!$G$260:$G$274)-1))))))))</f>
        <v>1.0024999999999999</v>
      </c>
      <c r="AW81" s="181">
        <f t="shared" si="73"/>
        <v>1129.7637838769579</v>
      </c>
      <c r="AX81" s="181">
        <f t="shared" si="74"/>
        <v>3253.1088082901556</v>
      </c>
      <c r="AY81" s="181">
        <f t="shared" si="75"/>
        <v>7962.9919501076965</v>
      </c>
      <c r="AZ81" s="181">
        <f t="shared" si="76"/>
        <v>3012.3604987579297</v>
      </c>
      <c r="BA81" s="181">
        <f t="shared" si="77"/>
        <v>-100</v>
      </c>
      <c r="BB81" s="181">
        <f t="shared" si="78"/>
        <v>7042.9886706150437</v>
      </c>
      <c r="BC81" s="181">
        <f t="shared" si="79"/>
        <v>46800</v>
      </c>
      <c r="BD81" s="181">
        <f>VLOOKUP(V81&amp;" "&amp;J81,Tables!$A$152:$E$239,4,FALSE)</f>
        <v>12000</v>
      </c>
      <c r="BE81" s="181">
        <f>VLOOKUP(V81&amp;" "&amp;J81,Tables!$A$152:$E$239,5,FALSE)</f>
        <v>23000</v>
      </c>
      <c r="BF81" s="181">
        <f t="shared" si="80"/>
        <v>8640</v>
      </c>
      <c r="BG81" s="181">
        <f t="shared" si="81"/>
        <v>16560</v>
      </c>
      <c r="BH81" s="181">
        <f t="shared" si="82"/>
        <v>3303.1088082901551</v>
      </c>
      <c r="BI81" s="181">
        <f t="shared" si="83"/>
        <v>46800</v>
      </c>
      <c r="BJ81" s="181">
        <f t="shared" si="84"/>
        <v>7042.9886706150437</v>
      </c>
      <c r="BK81" s="181">
        <f t="shared" si="85"/>
        <v>46800</v>
      </c>
      <c r="BL81" s="181">
        <f t="shared" si="86"/>
        <v>1129.7637838769579</v>
      </c>
      <c r="BM81" s="181">
        <f t="shared" si="87"/>
        <v>8640</v>
      </c>
      <c r="BN81" s="181">
        <f t="shared" si="88"/>
        <v>1687.6695671711229</v>
      </c>
      <c r="BO81" s="181">
        <f t="shared" si="89"/>
        <v>16560</v>
      </c>
      <c r="BP81" t="str">
        <f t="shared" si="90"/>
        <v>Pass</v>
      </c>
      <c r="BQ81" t="str">
        <f t="shared" si="91"/>
        <v>Pass</v>
      </c>
      <c r="BR81" t="str">
        <f t="shared" si="92"/>
        <v>Pass</v>
      </c>
      <c r="BS81" t="str">
        <f t="shared" si="93"/>
        <v>Pass</v>
      </c>
      <c r="BT81" t="str">
        <f t="shared" si="94"/>
        <v>Pass</v>
      </c>
      <c r="BU81" t="str">
        <f t="shared" si="95"/>
        <v>Effective Stress</v>
      </c>
    </row>
    <row r="82" spans="1:73">
      <c r="A82" t="s">
        <v>674</v>
      </c>
      <c r="B82" s="181">
        <v>80</v>
      </c>
      <c r="C82" t="s">
        <v>594</v>
      </c>
      <c r="D82" s="181">
        <v>16</v>
      </c>
      <c r="E82" s="181">
        <v>0.20100000000000001</v>
      </c>
      <c r="F82" t="s">
        <v>117</v>
      </c>
      <c r="G82" t="s">
        <v>119</v>
      </c>
      <c r="H82" t="s">
        <v>122</v>
      </c>
      <c r="I82" s="181">
        <v>1</v>
      </c>
      <c r="J82" t="s">
        <v>126</v>
      </c>
      <c r="K82" t="s">
        <v>129</v>
      </c>
      <c r="L82" s="181">
        <v>70</v>
      </c>
      <c r="M82" s="181">
        <v>100</v>
      </c>
      <c r="N82" t="s">
        <v>391</v>
      </c>
      <c r="O82" s="181">
        <v>120</v>
      </c>
      <c r="P82" s="181">
        <v>8</v>
      </c>
      <c r="Q82" s="181">
        <v>18</v>
      </c>
      <c r="R82" t="s">
        <v>417</v>
      </c>
      <c r="S82" t="s">
        <v>156</v>
      </c>
      <c r="T82" s="181">
        <v>70</v>
      </c>
      <c r="U82" s="181">
        <f>HLOOKUP(D82,'Highway Loading'!$C$155:$AD$156,2,FALSE)</f>
        <v>16</v>
      </c>
      <c r="V82" s="181">
        <f>IF(ISBLANK(G82),"",INDEX('Highway Loading'!$C$216:$AG$216,1,MATCH(G82,'Highway Loading'!$C$215:$AG$215,0)))</f>
        <v>65000</v>
      </c>
      <c r="W82" s="181">
        <f>INDEX('Highway Loading'!$I$245:$L$253,MATCH(H82,'Highway Loading'!$H$245:$H$253,0),MATCH(I82,'Highway Loading'!$I$244:$L$244,0))</f>
        <v>0.72</v>
      </c>
      <c r="X82" s="181">
        <f t="shared" si="64"/>
        <v>1</v>
      </c>
      <c r="Y82" s="181">
        <f>VLOOKUP(K82,'Highway Loading'!$B$283:$E$292,2,FALSE)</f>
        <v>29000000</v>
      </c>
      <c r="Z82" s="181">
        <f>VLOOKUP(K82,'Highway Loading'!$B$283:$E$292,3,FALSE)</f>
        <v>0.3</v>
      </c>
      <c r="AA82" s="181">
        <f>VLOOKUP(K82,'Highway Loading'!$B$283:$E$292,4,FALSE)</f>
        <v>6.4999999999999996E-6</v>
      </c>
      <c r="AB82" s="181">
        <f t="shared" si="65"/>
        <v>1</v>
      </c>
      <c r="AC82" s="181">
        <f>VLOOKUP(N82,'Highway Loading'!$B$256:$D$261,2,FALSE)</f>
        <v>1000</v>
      </c>
      <c r="AD82" s="181">
        <f>VLOOKUP(N82,'Highway Loading'!$B$256:$D$261,3,FALSE)</f>
        <v>10000</v>
      </c>
      <c r="AE82" s="181">
        <f>VLOOKUP(S82,'Highway Loading'!$B$340:$C$341,2,FALSE)</f>
        <v>10000</v>
      </c>
      <c r="AF82" s="181">
        <f t="shared" si="66"/>
        <v>1.2562500000000001E-2</v>
      </c>
      <c r="AG82" s="181">
        <f t="shared" si="67"/>
        <v>5.333333333333333</v>
      </c>
      <c r="AH82" s="181">
        <f t="shared" si="68"/>
        <v>1.125</v>
      </c>
      <c r="AI82" s="181">
        <f t="shared" si="69"/>
        <v>3980.0995024875619</v>
      </c>
      <c r="AJ82" s="181">
        <f t="shared" si="70"/>
        <v>46800</v>
      </c>
      <c r="AK82" s="181">
        <f>IF(AC82=200,(INDEX(Tables!$B$17:$B$38,MAX(1,MIN(IFERROR(MATCH(AF82,Tables!$A$17:$A$38,1),1),ROWS(Tables!$A$17:$A$38)-1)))+(AF82-INDEX(Tables!$A$17:$A$38,MAX(1,MIN(IFERROR(MATCH(AF82,Tables!$A$17:$A$38,1),1),ROWS(Tables!$A$17:$A$38)-1))))*(INDEX(Tables!$B$17:$B$38,MAX(1,MIN(IFERROR(MATCH(AF82,Tables!$A$17:$A$38,1),1),ROWS(Tables!$A$17:$A$38)-1))+1)-INDEX(Tables!$B$17:$B$38,MAX(1,MIN(IFERROR(MATCH(AF82,Tables!$A$17:$A$38,1),1),ROWS(Tables!$A$17:$A$38)-1))))/(INDEX(Tables!$A$17:$A$38,MAX(1,MIN(IFERROR(MATCH(AF82,Tables!$A$17:$A$38,1),1),ROWS(Tables!$A$17:$A$38)-1))+1)-INDEX(Tables!$A$17:$A$38,MAX(1,MIN(IFERROR(MATCH(AF82,Tables!$A$17:$A$38,1),1),ROWS(Tables!$A$17:$A$38)-1))))),IF(AC82=500,(INDEX(Tables!$D$17:$D$38,MAX(1,MIN(IFERROR(MATCH(AF82,Tables!$C$17:$C$38,1),1),ROWS(Tables!$C$17:$C$38)-1)))+(AF82-INDEX(Tables!$C$17:$C$38,MAX(1,MIN(IFERROR(MATCH(AF82,Tables!$C$17:$C$38,1),1),ROWS(Tables!$C$17:$C$38)-1))))*(INDEX(Tables!$D$17:$D$38,MAX(1,MIN(IFERROR(MATCH(AF82,Tables!$C$17:$C$38,1),1),ROWS(Tables!$C$17:$C$38)-1))+1)-INDEX(Tables!$D$17:$D$38,MAX(1,MIN(IFERROR(MATCH(AF82,Tables!$C$17:$C$38,1),1),ROWS(Tables!$C$17:$C$38)-1))))/(INDEX(Tables!$C$17:$C$38,MAX(1,MIN(IFERROR(MATCH(AF82,Tables!$C$17:$C$38,1),1),ROWS(Tables!$C$17:$C$38)-1))+1)-INDEX(Tables!$C$17:$C$38,MAX(1,MIN(IFERROR(MATCH(AF82,Tables!$C$17:$C$38,1),1),ROWS(Tables!$C$17:$C$38)-1))))),IF(AC82=1000,(INDEX(Tables!$F$17:$F$38,MAX(1,MIN(IFERROR(MATCH(AF82,Tables!$E$17:$E$38,1),1),ROWS(Tables!$E$17:$E$38)-1)))+(AF82-INDEX(Tables!$E$17:$E$38,MAX(1,MIN(IFERROR(MATCH(AF82,Tables!$E$17:$E$38,1),1),ROWS(Tables!$E$17:$E$38)-1))))*(INDEX(Tables!$F$17:$F$38,MAX(1,MIN(IFERROR(MATCH(AF82,Tables!$E$17:$E$38,1),1),ROWS(Tables!$E$17:$E$38)-1))+1)-INDEX(Tables!$F$17:$F$38,MAX(1,MIN(IFERROR(MATCH(AF82,Tables!$E$17:$E$38,1),1),ROWS(Tables!$E$17:$E$38)-1))))/(INDEX(Tables!$E$17:$E$38,MAX(1,MIN(IFERROR(MATCH(AF82,Tables!$E$17:$E$38,1),1),ROWS(Tables!$E$17:$E$38)-1))+1)-INDEX(Tables!$E$17:$E$38,MAX(1,MIN(IFERROR(MATCH(AF82,Tables!$E$17:$E$38,1),1),ROWS(Tables!$E$17:$E$38)-1))))),(INDEX(Tables!$H$17:$H$38,MAX(1,MIN(IFERROR(MATCH(AF82,Tables!$G$17:$G$38,1),1),ROWS(Tables!$G$17:$G$38)-1)))+(AF82-INDEX(Tables!$G$17:$G$38,MAX(1,MIN(IFERROR(MATCH(AF82,Tables!$G$17:$G$38,1),1),ROWS(Tables!$G$17:$G$38)-1))))*(INDEX(Tables!$H$17:$H$38,MAX(1,MIN(IFERROR(MATCH(AF82,Tables!$G$17:$G$38,1),1),ROWS(Tables!$G$17:$G$38)-1))+1)-INDEX(Tables!$H$17:$H$38,MAX(1,MIN(IFERROR(MATCH(AF82,Tables!$G$17:$G$38,1),1),ROWS(Tables!$G$17:$G$38)-1))))/(INDEX(Tables!$G$17:$G$38,MAX(1,MIN(IFERROR(MATCH(AF82,Tables!$G$17:$G$38,1),1),ROWS(Tables!$G$17:$G$38)-1))+1)-INDEX(Tables!$G$17:$G$38,MAX(1,MIN(IFERROR(MATCH(AF82,Tables!$G$17:$G$38,1),1),ROWS(Tables!$G$17:$G$38)-1))))))))</f>
        <v>3866.4749999999999</v>
      </c>
      <c r="AL82" s="181">
        <f>IF(AC82&lt;1000,(INDEX(Tables!$B$43:$B$76,MAX(1,MIN(IFERROR(MATCH(AG82,Tables!$A$43:$A$76,1),1),ROWS(Tables!$A$43:$A$76)-1)))+(AG82-INDEX(Tables!$A$43:$A$76,MAX(1,MIN(IFERROR(MATCH(AG82,Tables!$A$43:$A$76,1),1),ROWS(Tables!$A$43:$A$76)-1))))*(INDEX(Tables!$B$43:$B$76,MAX(1,MIN(IFERROR(MATCH(AG82,Tables!$A$43:$A$76,1),1),ROWS(Tables!$A$43:$A$76)-1))+1)-INDEX(Tables!$B$43:$B$76,MAX(1,MIN(IFERROR(MATCH(AG82,Tables!$A$43:$A$76,1),1),ROWS(Tables!$A$43:$A$76)-1))))/(INDEX(Tables!$A$43:$A$76,MAX(1,MIN(IFERROR(MATCH(AG82,Tables!$A$43:$A$76,1),1),ROWS(Tables!$A$43:$A$76)-1))+1)-INDEX(Tables!$A$43:$A$76,MAX(1,MIN(IFERROR(MATCH(AG82,Tables!$A$43:$A$76,1),1),ROWS(Tables!$A$43:$A$76)-1))))),(INDEX(Tables!$D$43:$D$76,MAX(1,MIN(IFERROR(MATCH(AG82,Tables!$C$43:$C$76,1),1),ROWS(Tables!$C$43:$C$76)-1)))+(AG82-INDEX(Tables!$C$43:$C$76,MAX(1,MIN(IFERROR(MATCH(AG82,Tables!$C$43:$C$76,1),1),ROWS(Tables!$C$43:$C$76)-1))))*(INDEX(Tables!$D$43:$D$76,MAX(1,MIN(IFERROR(MATCH(AG82,Tables!$C$43:$C$76,1),1),ROWS(Tables!$C$43:$C$76)-1))+1)-INDEX(Tables!$D$43:$D$76,MAX(1,MIN(IFERROR(MATCH(AG82,Tables!$C$43:$C$76,1),1),ROWS(Tables!$C$43:$C$76)-1))))/(INDEX(Tables!$C$43:$C$76,MAX(1,MIN(IFERROR(MATCH(AG82,Tables!$C$43:$C$76,1),1),ROWS(Tables!$C$43:$C$76)-1))+1)-INDEX(Tables!$C$43:$C$76,MAX(1,MIN(IFERROR(MATCH(AG82,Tables!$C$43:$C$76,1),1),ROWS(Tables!$C$43:$C$76)-1))))))</f>
        <v>0.98666666666666658</v>
      </c>
      <c r="AM82" s="181">
        <f>(INDEX(Tables!$B$80:$B$87,MAX(1,MIN(IFERROR(MATCH(AH82,Tables!$A$80:$A$87,1),1),ROWS(Tables!$A$80:$A$87)-1)))+(AH82-INDEX(Tables!$A$80:$A$87,MAX(1,MIN(IFERROR(MATCH(AH82,Tables!$A$80:$A$87,1),1),ROWS(Tables!$A$80:$A$87)-1))))*(INDEX(Tables!$B$80:$B$87,MAX(1,MIN(IFERROR(MATCH(AH82,Tables!$A$80:$A$87,1),1),ROWS(Tables!$A$80:$A$87)-1))+1)-INDEX(Tables!$B$80:$B$87,MAX(1,MIN(IFERROR(MATCH(AH82,Tables!$A$80:$A$87,1),1),ROWS(Tables!$A$80:$A$87)-1))))/(INDEX(Tables!$A$80:$A$87,MAX(1,MIN(IFERROR(MATCH(AH82,Tables!$A$80:$A$87,1),1),ROWS(Tables!$A$80:$A$87)-1))+1)-INDEX(Tables!$A$80:$A$87,MAX(1,MIN(IFERROR(MATCH(AH82,Tables!$A$80:$A$87,1),1),ROWS(Tables!$A$80:$A$87)-1)))))</f>
        <v>1.04345</v>
      </c>
      <c r="AN82" s="181">
        <f t="shared" si="71"/>
        <v>4422.9781787777774</v>
      </c>
      <c r="AO82" s="181">
        <f>(INDEX(Tables!$B$91:$B$94,MAX(1,MIN(IFERROR(MATCH(P82,Tables!$A$91:$A$94,1),1),ROWS(Tables!$A$91:$A$94)-1)))+(P82-INDEX(Tables!$A$91:$A$94,MAX(1,MIN(IFERROR(MATCH(P82,Tables!$A$91:$A$94,1),1),ROWS(Tables!$A$91:$A$94)-1))))*(INDEX(Tables!$B$91:$B$94,MAX(1,MIN(IFERROR(MATCH(P82,Tables!$A$91:$A$94,1),1),ROWS(Tables!$A$91:$A$94)-1))+1)-INDEX(Tables!$B$91:$B$94,MAX(1,MIN(IFERROR(MATCH(P82,Tables!$A$91:$A$94,1),1),ROWS(Tables!$A$91:$A$94)-1))))/(INDEX(Tables!$A$91:$A$94,MAX(1,MIN(IFERROR(MATCH(P82,Tables!$A$91:$A$94,1),1),ROWS(Tables!$A$91:$A$94)-1))+1)-INDEX(Tables!$A$91:$A$94,MAX(1,MIN(IFERROR(MATCH(P82,Tables!$A$91:$A$94,1),1),ROWS(Tables!$A$91:$A$94)-1)))))</f>
        <v>1.4152439024390244</v>
      </c>
      <c r="AP82" s="181">
        <f>IF(AD82=5000,(INDEX(Tables!$B$99:$B$118,MAX(1,MIN(IFERROR(MATCH(AF82,Tables!$A$99:$A$118,1),1),ROWS(Tables!$A$99:$A$118)-1)))+(AF82-INDEX(Tables!$A$99:$A$118,MAX(1,MIN(IFERROR(MATCH(AF82,Tables!$A$99:$A$118,1),1),ROWS(Tables!$A$99:$A$118)-1))))*(INDEX(Tables!$B$99:$B$118,MAX(1,MIN(IFERROR(MATCH(AF82,Tables!$A$99:$A$118,1),1),ROWS(Tables!$A$99:$A$118)-1))+1)-INDEX(Tables!$B$99:$B$118,MAX(1,MIN(IFERROR(MATCH(AF82,Tables!$A$99:$A$118,1),1),ROWS(Tables!$A$99:$A$118)-1))))/(INDEX(Tables!$A$99:$A$118,MAX(1,MIN(IFERROR(MATCH(AF82,Tables!$A$99:$A$118,1),1),ROWS(Tables!$A$99:$A$118)-1))+1)-INDEX(Tables!$A$99:$A$118,MAX(1,MIN(IFERROR(MATCH(AF82,Tables!$A$99:$A$118,1),1),ROWS(Tables!$A$99:$A$118)-1))))),IF(AD82=10000,(INDEX(Tables!$D$99:$D$118,MAX(1,MIN(IFERROR(MATCH(AF82,Tables!$C$99:$C$118,1),1),ROWS(Tables!$C$99:$C$118)-1)))+(AF82-INDEX(Tables!$C$99:$C$118,MAX(1,MIN(IFERROR(MATCH(AF82,Tables!$C$99:$C$118,1),1),ROWS(Tables!$C$99:$C$118)-1))))*(INDEX(Tables!$D$99:$D$118,MAX(1,MIN(IFERROR(MATCH(AF82,Tables!$C$99:$C$118,1),1),ROWS(Tables!$C$99:$C$118)-1))+1)-INDEX(Tables!$D$99:$D$118,MAX(1,MIN(IFERROR(MATCH(AF82,Tables!$C$99:$C$118,1),1),ROWS(Tables!$C$99:$C$118)-1))))/(INDEX(Tables!$C$99:$C$118,MAX(1,MIN(IFERROR(MATCH(AF82,Tables!$C$99:$C$118,1),1),ROWS(Tables!$C$99:$C$118)-1))+1)-INDEX(Tables!$C$99:$C$118,MAX(1,MIN(IFERROR(MATCH(AF82,Tables!$C$99:$C$118,1),1),ROWS(Tables!$C$99:$C$118)-1))))),(INDEX(Tables!$F$99:$F$118,MAX(1,MIN(IFERROR(MATCH(AF82,Tables!$E$99:$E$118,1),1),ROWS(Tables!$E$99:$E$118)-1)))+(AF82-INDEX(Tables!$E$99:$E$118,MAX(1,MIN(IFERROR(MATCH(AF82,Tables!$E$99:$E$118,1),1),ROWS(Tables!$E$99:$E$118)-1))))*(INDEX(Tables!$F$99:$F$118,MAX(1,MIN(IFERROR(MATCH(AF82,Tables!$E$99:$E$118,1),1),ROWS(Tables!$E$99:$E$118)-1))+1)-INDEX(Tables!$F$99:$F$118,MAX(1,MIN(IFERROR(MATCH(AF82,Tables!$E$99:$E$118,1),1),ROWS(Tables!$E$99:$E$118)-1))))/(INDEX(Tables!$E$99:$E$118,MAX(1,MIN(IFERROR(MATCH(AF82,Tables!$E$99:$E$118,1),1),ROWS(Tables!$E$99:$E$118)-1))+1)-INDEX(Tables!$E$99:$E$118,MAX(1,MIN(IFERROR(MATCH(AF82,Tables!$E$99:$E$118,1),1),ROWS(Tables!$E$99:$E$118)-1)))))))</f>
        <v>14.196524590163936</v>
      </c>
      <c r="AQ82" s="181">
        <f>IF(P82&lt;6,(INDEX(Tables!$B$123:$B$138,MAX(1,MIN(IFERROR(MATCH(U82,Tables!$A$123:$A$138,1),1),ROWS(Tables!$A$123:$A$138)-1)))+(U82-INDEX(Tables!$A$123:$A$138,MAX(1,MIN(IFERROR(MATCH(U82,Tables!$A$123:$A$138,1),1),ROWS(Tables!$A$123:$A$138)-1))))*(INDEX(Tables!$B$123:$B$138,MAX(1,MIN(IFERROR(MATCH(U82,Tables!$A$123:$A$138,1),1),ROWS(Tables!$A$123:$A$138)-1))+1)-INDEX(Tables!$B$123:$B$138,MAX(1,MIN(IFERROR(MATCH(U82,Tables!$A$123:$A$138,1),1),ROWS(Tables!$A$123:$A$138)-1))))/(INDEX(Tables!$A$123:$A$138,MAX(1,MIN(IFERROR(MATCH(U82,Tables!$A$123:$A$138,1),1),ROWS(Tables!$A$123:$A$138)-1))+1)-INDEX(Tables!$A$123:$A$138,MAX(1,MIN(IFERROR(MATCH(U82,Tables!$A$123:$A$138,1),1),ROWS(Tables!$A$123:$A$138)-1))))),IF(P82&lt;8,(INDEX(Tables!$D$123:$D$138,MAX(1,MIN(IFERROR(MATCH(U82,Tables!$C$123:$C$138,1),1),ROWS(Tables!$C$123:$C$138)-1)))+(U82-INDEX(Tables!$C$123:$C$138,MAX(1,MIN(IFERROR(MATCH(U82,Tables!$C$123:$C$138,1),1),ROWS(Tables!$C$123:$C$138)-1))))*(INDEX(Tables!$D$123:$D$138,MAX(1,MIN(IFERROR(MATCH(U82,Tables!$C$123:$C$138,1),1),ROWS(Tables!$C$123:$C$138)-1))+1)-INDEX(Tables!$D$123:$D$138,MAX(1,MIN(IFERROR(MATCH(U82,Tables!$C$123:$C$138,1),1),ROWS(Tables!$C$123:$C$138)-1))))/(INDEX(Tables!$C$123:$C$138,MAX(1,MIN(IFERROR(MATCH(U82,Tables!$C$123:$C$138,1),1),ROWS(Tables!$C$123:$C$138)-1))+1)-INDEX(Tables!$C$123:$C$138,MAX(1,MIN(IFERROR(MATCH(U82,Tables!$C$123:$C$138,1),1),ROWS(Tables!$C$123:$C$138)-1))))),IF(P82&lt;10,(INDEX(Tables!$F$123:$F$138,MAX(1,MIN(IFERROR(MATCH(U82,Tables!$E$123:$E$138,1),1),ROWS(Tables!$E$123:$E$138)-1)))+(U82-INDEX(Tables!$E$123:$E$138,MAX(1,MIN(IFERROR(MATCH(U82,Tables!$E$123:$E$138,1),1),ROWS(Tables!$E$123:$E$138)-1))))*(INDEX(Tables!$F$123:$F$138,MAX(1,MIN(IFERROR(MATCH(U82,Tables!$E$123:$E$138,1),1),ROWS(Tables!$E$123:$E$138)-1))+1)-INDEX(Tables!$F$123:$F$138,MAX(1,MIN(IFERROR(MATCH(U82,Tables!$E$123:$E$138,1),1),ROWS(Tables!$E$123:$E$138)-1))))/(INDEX(Tables!$E$123:$E$138,MAX(1,MIN(IFERROR(MATCH(U82,Tables!$E$123:$E$138,1),1),ROWS(Tables!$E$123:$E$138)-1))+1)-INDEX(Tables!$E$123:$E$138,MAX(1,MIN(IFERROR(MATCH(U82,Tables!$E$123:$E$138,1),1),ROWS(Tables!$E$123:$E$138)-1))))),(INDEX(Tables!$H$123:$H$138,MAX(1,MIN(IFERROR(MATCH(U82,Tables!$G$123:$G$138,1),1),ROWS(Tables!$G$123:$G$138)-1)))+(U82-INDEX(Tables!$G$123:$G$138,MAX(1,MIN(IFERROR(MATCH(U82,Tables!$G$123:$G$138,1),1),ROWS(Tables!$G$123:$G$138)-1))))*(INDEX(Tables!$H$123:$H$138,MAX(1,MIN(IFERROR(MATCH(U82,Tables!$G$123:$G$138,1),1),ROWS(Tables!$G$123:$G$138)-1))+1)-INDEX(Tables!$H$123:$H$138,MAX(1,MIN(IFERROR(MATCH(U82,Tables!$G$123:$G$138,1),1),ROWS(Tables!$G$123:$G$138)-1))))/(INDEX(Tables!$G$123:$G$138,MAX(1,MIN(IFERROR(MATCH(U82,Tables!$G$123:$G$138,1),1),ROWS(Tables!$G$123:$G$138)-1))+1)-INDEX(Tables!$G$123:$G$138,MAX(1,MIN(IFERROR(MATCH(U82,Tables!$G$123:$G$138,1),1),ROWS(Tables!$G$123:$G$138)-1))))))))</f>
        <v>0.79200000000000004</v>
      </c>
      <c r="AR82" s="181">
        <f>IF(OR(P82&gt;=4,U82&gt;12),VLOOKUP(R82&amp;" "&amp;S82,Tables!$D$143:$F$148,2,FALSE),VLOOKUP(R82&amp;" "&amp;S82,Tables!$A$143:$C$148,2,FALSE))</f>
        <v>1.1000000000000001</v>
      </c>
      <c r="AS82" s="181">
        <f>IF(OR(P82&gt;=4,U82&gt;12),VLOOKUP(R82&amp;" "&amp;S82,Tables!$D$143:$F$148,3,FALSE),VLOOKUP(R82&amp;" "&amp;S82,Tables!$A$143:$C$148,3,FALSE))</f>
        <v>1</v>
      </c>
      <c r="AT82" s="181">
        <f t="shared" si="72"/>
        <v>1215.5384641543387</v>
      </c>
      <c r="AU82" s="181">
        <f>IF(AD82=5000,(INDEX(Tables!$B$244:$B$263,MAX(1,MIN(IFERROR(MATCH(AF82,Tables!$A$244:$A$263,1),1),ROWS(Tables!$A$244:$A$263)-1)))+(AF82-INDEX(Tables!$A$244:$A$263,MAX(1,MIN(IFERROR(MATCH(AF82,Tables!$A$244:$A$263,1),1),ROWS(Tables!$A$244:$A$263)-1))))*(INDEX(Tables!$B$244:$B$263,MAX(1,MIN(IFERROR(MATCH(AF82,Tables!$A$244:$A$263,1),1),ROWS(Tables!$A$244:$A$263)-1))+1)-INDEX(Tables!$B$244:$B$263,MAX(1,MIN(IFERROR(MATCH(AF82,Tables!$A$244:$A$263,1),1),ROWS(Tables!$A$244:$A$263)-1))))/(INDEX(Tables!$A$244:$A$263,MAX(1,MIN(IFERROR(MATCH(AF82,Tables!$A$244:$A$263,1),1),ROWS(Tables!$A$244:$A$263)-1))+1)-INDEX(Tables!$A$244:$A$263,MAX(1,MIN(IFERROR(MATCH(AF82,Tables!$A$244:$A$263,1),1),ROWS(Tables!$A$244:$A$263)-1))))),IF(AD82=10000,(INDEX(Tables!$D$244:$D$263,MAX(1,MIN(IFERROR(MATCH(AF82,Tables!$C$244:$C$263,1),1),ROWS(Tables!$C$244:$C$263)-1)))+(AF82-INDEX(Tables!$C$244:$C$263,MAX(1,MIN(IFERROR(MATCH(AF82,Tables!$C$244:$C$263,1),1),ROWS(Tables!$C$244:$C$263)-1))))*(INDEX(Tables!$D$244:$D$263,MAX(1,MIN(IFERROR(MATCH(AF82,Tables!$C$244:$C$263,1),1),ROWS(Tables!$C$244:$C$263)-1))+1)-INDEX(Tables!$D$244:$D$263,MAX(1,MIN(IFERROR(MATCH(AF82,Tables!$C$244:$C$263,1),1),ROWS(Tables!$C$244:$C$263)-1))))/(INDEX(Tables!$C$244:$C$263,MAX(1,MIN(IFERROR(MATCH(AF82,Tables!$C$244:$C$263,1),1),ROWS(Tables!$C$244:$C$263)-1))+1)-INDEX(Tables!$C$244:$C$263,MAX(1,MIN(IFERROR(MATCH(AF82,Tables!$C$244:$C$263,1),1),ROWS(Tables!$C$244:$C$263)-1))))),(INDEX(Tables!$F$244:$F$263,MAX(1,MIN(IFERROR(MATCH(AF82,Tables!$E$244:$E$263,1),1),ROWS(Tables!$E$244:$E$263)-1)))+(AF82-INDEX(Tables!$E$244:$E$263,MAX(1,MIN(IFERROR(MATCH(AF82,Tables!$E$244:$E$263,1),1),ROWS(Tables!$E$244:$E$263)-1))))*(INDEX(Tables!$F$244:$F$263,MAX(1,MIN(IFERROR(MATCH(AF82,Tables!$E$244:$E$263,1),1),ROWS(Tables!$E$244:$E$263)-1))+1)-INDEX(Tables!$F$244:$F$263,MAX(1,MIN(IFERROR(MATCH(AF82,Tables!$E$244:$E$263,1),1),ROWS(Tables!$E$244:$E$263)-1))))/(INDEX(Tables!$E$244:$E$263,MAX(1,MIN(IFERROR(MATCH(AF82,Tables!$E$244:$E$263,1),1),ROWS(Tables!$E$244:$E$263)-1))+1)-INDEX(Tables!$E$244:$E$263,MAX(1,MIN(IFERROR(MATCH(AF82,Tables!$E$244:$E$263,1),1),ROWS(Tables!$E$244:$E$263)-1)))))))</f>
        <v>9.8737916666666656</v>
      </c>
      <c r="AV82" s="181">
        <f>IF(P82&lt;6,(INDEX(Tables!$B$260:$B$274,MAX(1,MIN(IFERROR(MATCH(U82,Tables!$A$260:$A$274,1),1),ROWS(Tables!$A$260:$A$274)-1)))+(U82-INDEX(Tables!$A$260:$A$274,MAX(1,MIN(IFERROR(MATCH(U82,Tables!$A$260:$A$274,1),1),ROWS(Tables!$A$260:$A$274)-1))))*(INDEX(Tables!$B$260:$B$274,MAX(1,MIN(IFERROR(MATCH(U82,Tables!$A$260:$A$274,1),1),ROWS(Tables!$A$260:$A$274)-1))+1)-INDEX(Tables!$B$260:$B$274,MAX(1,MIN(IFERROR(MATCH(U82,Tables!$A$260:$A$274,1),1),ROWS(Tables!$A$260:$A$274)-1))))/(INDEX(Tables!$A$260:$A$274,MAX(1,MIN(IFERROR(MATCH(U82,Tables!$A$260:$A$274,1),1),ROWS(Tables!$A$260:$A$274)-1))+1)-INDEX(Tables!$A$260:$A$274,MAX(1,MIN(IFERROR(MATCH(U82,Tables!$A$260:$A$274,1),1),ROWS(Tables!$A$260:$A$274)-1))))),IF(P82&lt;8,(INDEX(Tables!$D$260:$D$274,MAX(1,MIN(IFERROR(MATCH(U82,Tables!$C$260:$C$274,1),1),ROWS(Tables!$C$260:$C$274)-1)))+(U82-INDEX(Tables!$C$260:$C$274,MAX(1,MIN(IFERROR(MATCH(U82,Tables!$C$260:$C$274,1),1),ROWS(Tables!$C$260:$C$274)-1))))*(INDEX(Tables!$D$260:$D$274,MAX(1,MIN(IFERROR(MATCH(U82,Tables!$C$260:$C$274,1),1),ROWS(Tables!$C$260:$C$274)-1))+1)-INDEX(Tables!$D$260:$D$274,MAX(1,MIN(IFERROR(MATCH(U82,Tables!$C$260:$C$274,1),1),ROWS(Tables!$C$260:$C$274)-1))))/(INDEX(Tables!$C$260:$C$274,MAX(1,MIN(IFERROR(MATCH(U82,Tables!$C$260:$C$274,1),1),ROWS(Tables!$C$260:$C$274)-1))+1)-INDEX(Tables!$C$260:$C$274,MAX(1,MIN(IFERROR(MATCH(U82,Tables!$C$260:$C$274,1),1),ROWS(Tables!$C$260:$C$274)-1))))),IF(P82&lt;10,(INDEX(Tables!$F$260:$F$274,MAX(1,MIN(IFERROR(MATCH(U82,Tables!$E$260:$E$274,1),1),ROWS(Tables!$E$260:$E$274)-1)))+(U82-INDEX(Tables!$E$260:$E$274,MAX(1,MIN(IFERROR(MATCH(U82,Tables!$E$260:$E$274,1),1),ROWS(Tables!$E$260:$E$274)-1))))*(INDEX(Tables!$F$260:$F$274,MAX(1,MIN(IFERROR(MATCH(U82,Tables!$E$260:$E$274,1),1),ROWS(Tables!$E$260:$E$274)-1))+1)-INDEX(Tables!$F$260:$F$274,MAX(1,MIN(IFERROR(MATCH(U82,Tables!$E$260:$E$274,1),1),ROWS(Tables!$E$260:$E$274)-1))))/(INDEX(Tables!$E$260:$E$274,MAX(1,MIN(IFERROR(MATCH(U82,Tables!$E$260:$E$274,1),1),ROWS(Tables!$E$260:$E$274)-1))+1)-INDEX(Tables!$E$260:$E$274,MAX(1,MIN(IFERROR(MATCH(U82,Tables!$E$260:$E$274,1),1),ROWS(Tables!$E$260:$E$274)-1))))),(INDEX(Tables!$H$260:$H$274,MAX(1,MIN(IFERROR(MATCH(U82,Tables!$G$260:$G$274,1),1),ROWS(Tables!$G$260:$G$274)-1)))+(U82-INDEX(Tables!$G$260:$G$274,MAX(1,MIN(IFERROR(MATCH(U82,Tables!$G$260:$G$274,1),1),ROWS(Tables!$G$260:$G$274)-1))))*(INDEX(Tables!$H$260:$H$274,MAX(1,MIN(IFERROR(MATCH(U82,Tables!$G$260:$G$274,1),1),ROWS(Tables!$G$260:$G$274)-1))+1)-INDEX(Tables!$H$260:$H$274,MAX(1,MIN(IFERROR(MATCH(U82,Tables!$G$260:$G$274,1),1),ROWS(Tables!$G$260:$G$274)-1))))/(INDEX(Tables!$G$260:$G$274,MAX(1,MIN(IFERROR(MATCH(U82,Tables!$G$260:$G$274,1),1),ROWS(Tables!$G$260:$G$274)-1))+1)-INDEX(Tables!$G$260:$G$274,MAX(1,MIN(IFERROR(MATCH(U82,Tables!$G$260:$G$274,1),1),ROWS(Tables!$G$260:$G$274)-1))))))))</f>
        <v>0.84099999999999997</v>
      </c>
      <c r="AW82" s="181">
        <f t="shared" si="73"/>
        <v>897.72111623493254</v>
      </c>
      <c r="AX82" s="181">
        <f t="shared" si="74"/>
        <v>3930.0995024875615</v>
      </c>
      <c r="AY82" s="181">
        <f t="shared" si="75"/>
        <v>9568.6161454196772</v>
      </c>
      <c r="AZ82" s="181">
        <f t="shared" si="76"/>
        <v>3403.6444206145343</v>
      </c>
      <c r="BA82" s="181">
        <f t="shared" si="77"/>
        <v>-100</v>
      </c>
      <c r="BB82" s="181">
        <f t="shared" si="78"/>
        <v>8478.3411927457928</v>
      </c>
      <c r="BC82" s="181">
        <f t="shared" si="79"/>
        <v>46800</v>
      </c>
      <c r="BD82" s="181">
        <f>VLOOKUP(V82&amp;" "&amp;J82,Tables!$A$152:$E$239,4,FALSE)</f>
        <v>12000</v>
      </c>
      <c r="BE82" s="181">
        <f>VLOOKUP(V82&amp;" "&amp;J82,Tables!$A$152:$E$239,5,FALSE)</f>
        <v>23000</v>
      </c>
      <c r="BF82" s="181">
        <f t="shared" si="80"/>
        <v>8640</v>
      </c>
      <c r="BG82" s="181">
        <f t="shared" si="81"/>
        <v>16560</v>
      </c>
      <c r="BH82" s="181">
        <f t="shared" si="82"/>
        <v>3980.0995024875619</v>
      </c>
      <c r="BI82" s="181">
        <f t="shared" si="83"/>
        <v>46800</v>
      </c>
      <c r="BJ82" s="181">
        <f t="shared" si="84"/>
        <v>8478.3411927457928</v>
      </c>
      <c r="BK82" s="181">
        <f t="shared" si="85"/>
        <v>46800</v>
      </c>
      <c r="BL82" s="181">
        <f t="shared" si="86"/>
        <v>897.72111623493254</v>
      </c>
      <c r="BM82" s="181">
        <f t="shared" si="87"/>
        <v>8640</v>
      </c>
      <c r="BN82" s="181">
        <f t="shared" si="88"/>
        <v>1215.5384641543387</v>
      </c>
      <c r="BO82" s="181">
        <f t="shared" si="89"/>
        <v>16560</v>
      </c>
      <c r="BP82" t="str">
        <f t="shared" si="90"/>
        <v>Pass</v>
      </c>
      <c r="BQ82" t="str">
        <f t="shared" si="91"/>
        <v>Pass</v>
      </c>
      <c r="BR82" t="str">
        <f t="shared" si="92"/>
        <v>Pass</v>
      </c>
      <c r="BS82" t="str">
        <f t="shared" si="93"/>
        <v>Pass</v>
      </c>
      <c r="BT82" t="str">
        <f t="shared" si="94"/>
        <v>Pass</v>
      </c>
      <c r="BU82" t="str">
        <f t="shared" si="95"/>
        <v>Effective Stress</v>
      </c>
    </row>
    <row r="83" spans="1:73">
      <c r="A83" t="s">
        <v>675</v>
      </c>
      <c r="B83" s="181">
        <v>81</v>
      </c>
      <c r="C83" t="s">
        <v>594</v>
      </c>
      <c r="D83" s="181">
        <v>24</v>
      </c>
      <c r="E83" s="181">
        <v>0.26300000000000001</v>
      </c>
      <c r="F83" t="s">
        <v>117</v>
      </c>
      <c r="G83" t="s">
        <v>119</v>
      </c>
      <c r="H83" t="s">
        <v>122</v>
      </c>
      <c r="I83" s="181">
        <v>1</v>
      </c>
      <c r="J83" t="s">
        <v>126</v>
      </c>
      <c r="K83" t="s">
        <v>129</v>
      </c>
      <c r="L83" s="181">
        <v>70</v>
      </c>
      <c r="M83" s="181">
        <v>800</v>
      </c>
      <c r="N83" t="s">
        <v>391</v>
      </c>
      <c r="O83" s="181">
        <v>120</v>
      </c>
      <c r="P83" s="181">
        <v>10</v>
      </c>
      <c r="Q83" s="181">
        <v>26</v>
      </c>
      <c r="R83" t="s">
        <v>417</v>
      </c>
      <c r="S83" t="s">
        <v>156</v>
      </c>
      <c r="T83" s="181">
        <v>70</v>
      </c>
      <c r="U83" s="181">
        <f>HLOOKUP(D83,'Highway Loading'!$C$155:$AD$156,2,FALSE)</f>
        <v>24</v>
      </c>
      <c r="V83" s="181">
        <f>IF(ISBLANK(G83),"",INDEX('Highway Loading'!$C$216:$AG$216,1,MATCH(G83,'Highway Loading'!$C$215:$AG$215,0)))</f>
        <v>65000</v>
      </c>
      <c r="W83" s="181">
        <f>INDEX('Highway Loading'!$I$245:$L$253,MATCH(H83,'Highway Loading'!$H$245:$H$253,0),MATCH(I83,'Highway Loading'!$I$244:$L$244,0))</f>
        <v>0.72</v>
      </c>
      <c r="X83" s="181">
        <f t="shared" si="64"/>
        <v>1</v>
      </c>
      <c r="Y83" s="181">
        <f>VLOOKUP(K83,'Highway Loading'!$B$283:$E$292,2,FALSE)</f>
        <v>29000000</v>
      </c>
      <c r="Z83" s="181">
        <f>VLOOKUP(K83,'Highway Loading'!$B$283:$E$292,3,FALSE)</f>
        <v>0.3</v>
      </c>
      <c r="AA83" s="181">
        <f>VLOOKUP(K83,'Highway Loading'!$B$283:$E$292,4,FALSE)</f>
        <v>6.4999999999999996E-6</v>
      </c>
      <c r="AB83" s="181">
        <f t="shared" si="65"/>
        <v>1</v>
      </c>
      <c r="AC83" s="181">
        <f>VLOOKUP(N83,'Highway Loading'!$B$256:$D$261,2,FALSE)</f>
        <v>1000</v>
      </c>
      <c r="AD83" s="181">
        <f>VLOOKUP(N83,'Highway Loading'!$B$256:$D$261,3,FALSE)</f>
        <v>10000</v>
      </c>
      <c r="AE83" s="181">
        <f>VLOOKUP(S83,'Highway Loading'!$B$340:$C$341,2,FALSE)</f>
        <v>10000</v>
      </c>
      <c r="AF83" s="181">
        <f t="shared" si="66"/>
        <v>1.0958333333333334E-2</v>
      </c>
      <c r="AG83" s="181">
        <f t="shared" si="67"/>
        <v>4.615384615384615</v>
      </c>
      <c r="AH83" s="181">
        <f t="shared" si="68"/>
        <v>1.0833333333333333</v>
      </c>
      <c r="AI83" s="181">
        <f t="shared" si="69"/>
        <v>36501.901140684407</v>
      </c>
      <c r="AJ83" s="181">
        <f t="shared" si="70"/>
        <v>46800</v>
      </c>
      <c r="AK83" s="181">
        <f>IF(AC83=200,(INDEX(Tables!$B$17:$B$38,MAX(1,MIN(IFERROR(MATCH(AF83,Tables!$A$17:$A$38,1),1),ROWS(Tables!$A$17:$A$38)-1)))+(AF83-INDEX(Tables!$A$17:$A$38,MAX(1,MIN(IFERROR(MATCH(AF83,Tables!$A$17:$A$38,1),1),ROWS(Tables!$A$17:$A$38)-1))))*(INDEX(Tables!$B$17:$B$38,MAX(1,MIN(IFERROR(MATCH(AF83,Tables!$A$17:$A$38,1),1),ROWS(Tables!$A$17:$A$38)-1))+1)-INDEX(Tables!$B$17:$B$38,MAX(1,MIN(IFERROR(MATCH(AF83,Tables!$A$17:$A$38,1),1),ROWS(Tables!$A$17:$A$38)-1))))/(INDEX(Tables!$A$17:$A$38,MAX(1,MIN(IFERROR(MATCH(AF83,Tables!$A$17:$A$38,1),1),ROWS(Tables!$A$17:$A$38)-1))+1)-INDEX(Tables!$A$17:$A$38,MAX(1,MIN(IFERROR(MATCH(AF83,Tables!$A$17:$A$38,1),1),ROWS(Tables!$A$17:$A$38)-1))))),IF(AC83=500,(INDEX(Tables!$D$17:$D$38,MAX(1,MIN(IFERROR(MATCH(AF83,Tables!$C$17:$C$38,1),1),ROWS(Tables!$C$17:$C$38)-1)))+(AF83-INDEX(Tables!$C$17:$C$38,MAX(1,MIN(IFERROR(MATCH(AF83,Tables!$C$17:$C$38,1),1),ROWS(Tables!$C$17:$C$38)-1))))*(INDEX(Tables!$D$17:$D$38,MAX(1,MIN(IFERROR(MATCH(AF83,Tables!$C$17:$C$38,1),1),ROWS(Tables!$C$17:$C$38)-1))+1)-INDEX(Tables!$D$17:$D$38,MAX(1,MIN(IFERROR(MATCH(AF83,Tables!$C$17:$C$38,1),1),ROWS(Tables!$C$17:$C$38)-1))))/(INDEX(Tables!$C$17:$C$38,MAX(1,MIN(IFERROR(MATCH(AF83,Tables!$C$17:$C$38,1),1),ROWS(Tables!$C$17:$C$38)-1))+1)-INDEX(Tables!$C$17:$C$38,MAX(1,MIN(IFERROR(MATCH(AF83,Tables!$C$17:$C$38,1),1),ROWS(Tables!$C$17:$C$38)-1))))),IF(AC83=1000,(INDEX(Tables!$F$17:$F$38,MAX(1,MIN(IFERROR(MATCH(AF83,Tables!$E$17:$E$38,1),1),ROWS(Tables!$E$17:$E$38)-1)))+(AF83-INDEX(Tables!$E$17:$E$38,MAX(1,MIN(IFERROR(MATCH(AF83,Tables!$E$17:$E$38,1),1),ROWS(Tables!$E$17:$E$38)-1))))*(INDEX(Tables!$F$17:$F$38,MAX(1,MIN(IFERROR(MATCH(AF83,Tables!$E$17:$E$38,1),1),ROWS(Tables!$E$17:$E$38)-1))+1)-INDEX(Tables!$F$17:$F$38,MAX(1,MIN(IFERROR(MATCH(AF83,Tables!$E$17:$E$38,1),1),ROWS(Tables!$E$17:$E$38)-1))))/(INDEX(Tables!$E$17:$E$38,MAX(1,MIN(IFERROR(MATCH(AF83,Tables!$E$17:$E$38,1),1),ROWS(Tables!$E$17:$E$38)-1))+1)-INDEX(Tables!$E$17:$E$38,MAX(1,MIN(IFERROR(MATCH(AF83,Tables!$E$17:$E$38,1),1),ROWS(Tables!$E$17:$E$38)-1))))),(INDEX(Tables!$H$17:$H$38,MAX(1,MIN(IFERROR(MATCH(AF83,Tables!$G$17:$G$38,1),1),ROWS(Tables!$G$17:$G$38)-1)))+(AF83-INDEX(Tables!$G$17:$G$38,MAX(1,MIN(IFERROR(MATCH(AF83,Tables!$G$17:$G$38,1),1),ROWS(Tables!$G$17:$G$38)-1))))*(INDEX(Tables!$H$17:$H$38,MAX(1,MIN(IFERROR(MATCH(AF83,Tables!$G$17:$G$38,1),1),ROWS(Tables!$G$17:$G$38)-1))+1)-INDEX(Tables!$H$17:$H$38,MAX(1,MIN(IFERROR(MATCH(AF83,Tables!$G$17:$G$38,1),1),ROWS(Tables!$G$17:$G$38)-1))))/(INDEX(Tables!$G$17:$G$38,MAX(1,MIN(IFERROR(MATCH(AF83,Tables!$G$17:$G$38,1),1),ROWS(Tables!$G$17:$G$38)-1))+1)-INDEX(Tables!$G$17:$G$38,MAX(1,MIN(IFERROR(MATCH(AF83,Tables!$G$17:$G$38,1),1),ROWS(Tables!$G$17:$G$38)-1))))))))</f>
        <v>4262.4833333333336</v>
      </c>
      <c r="AL83" s="181">
        <f>IF(AC83&lt;1000,(INDEX(Tables!$B$43:$B$76,MAX(1,MIN(IFERROR(MATCH(AG83,Tables!$A$43:$A$76,1),1),ROWS(Tables!$A$43:$A$76)-1)))+(AG83-INDEX(Tables!$A$43:$A$76,MAX(1,MIN(IFERROR(MATCH(AG83,Tables!$A$43:$A$76,1),1),ROWS(Tables!$A$43:$A$76)-1))))*(INDEX(Tables!$B$43:$B$76,MAX(1,MIN(IFERROR(MATCH(AG83,Tables!$A$43:$A$76,1),1),ROWS(Tables!$A$43:$A$76)-1))+1)-INDEX(Tables!$B$43:$B$76,MAX(1,MIN(IFERROR(MATCH(AG83,Tables!$A$43:$A$76,1),1),ROWS(Tables!$A$43:$A$76)-1))))/(INDEX(Tables!$A$43:$A$76,MAX(1,MIN(IFERROR(MATCH(AG83,Tables!$A$43:$A$76,1),1),ROWS(Tables!$A$43:$A$76)-1))+1)-INDEX(Tables!$A$43:$A$76,MAX(1,MIN(IFERROR(MATCH(AG83,Tables!$A$43:$A$76,1),1),ROWS(Tables!$A$43:$A$76)-1))))),(INDEX(Tables!$D$43:$D$76,MAX(1,MIN(IFERROR(MATCH(AG83,Tables!$C$43:$C$76,1),1),ROWS(Tables!$C$43:$C$76)-1)))+(AG83-INDEX(Tables!$C$43:$C$76,MAX(1,MIN(IFERROR(MATCH(AG83,Tables!$C$43:$C$76,1),1),ROWS(Tables!$C$43:$C$76)-1))))*(INDEX(Tables!$D$43:$D$76,MAX(1,MIN(IFERROR(MATCH(AG83,Tables!$C$43:$C$76,1),1),ROWS(Tables!$C$43:$C$76)-1))+1)-INDEX(Tables!$D$43:$D$76,MAX(1,MIN(IFERROR(MATCH(AG83,Tables!$C$43:$C$76,1),1),ROWS(Tables!$C$43:$C$76)-1))))/(INDEX(Tables!$C$43:$C$76,MAX(1,MIN(IFERROR(MATCH(AG83,Tables!$C$43:$C$76,1),1),ROWS(Tables!$C$43:$C$76)-1))+1)-INDEX(Tables!$C$43:$C$76,MAX(1,MIN(IFERROR(MATCH(AG83,Tables!$C$43:$C$76,1),1),ROWS(Tables!$C$43:$C$76)-1))))))</f>
        <v>0.9366923076923076</v>
      </c>
      <c r="AM83" s="181">
        <f>(INDEX(Tables!$B$80:$B$87,MAX(1,MIN(IFERROR(MATCH(AH83,Tables!$A$80:$A$87,1),1),ROWS(Tables!$A$80:$A$87)-1)))+(AH83-INDEX(Tables!$A$80:$A$87,MAX(1,MIN(IFERROR(MATCH(AH83,Tables!$A$80:$A$87,1),1),ROWS(Tables!$A$80:$A$87)-1))))*(INDEX(Tables!$B$80:$B$87,MAX(1,MIN(IFERROR(MATCH(AH83,Tables!$A$80:$A$87,1),1),ROWS(Tables!$A$80:$A$87)-1))+1)-INDEX(Tables!$B$80:$B$87,MAX(1,MIN(IFERROR(MATCH(AH83,Tables!$A$80:$A$87,1),1),ROWS(Tables!$A$80:$A$87)-1))))/(INDEX(Tables!$A$80:$A$87,MAX(1,MIN(IFERROR(MATCH(AH83,Tables!$A$80:$A$87,1),1),ROWS(Tables!$A$80:$A$87)-1))+1)-INDEX(Tables!$A$80:$A$87,MAX(1,MIN(IFERROR(MATCH(AH83,Tables!$A$80:$A$87,1),1),ROWS(Tables!$A$80:$A$87)-1)))))</f>
        <v>0.96739999999999982</v>
      </c>
      <c r="AN83" s="181">
        <f t="shared" si="71"/>
        <v>6437.4590626499994</v>
      </c>
      <c r="AO83" s="181">
        <f>(INDEX(Tables!$B$91:$B$94,MAX(1,MIN(IFERROR(MATCH(P83,Tables!$A$91:$A$94,1),1),ROWS(Tables!$A$91:$A$94)-1)))+(P83-INDEX(Tables!$A$91:$A$94,MAX(1,MIN(IFERROR(MATCH(P83,Tables!$A$91:$A$94,1),1),ROWS(Tables!$A$91:$A$94)-1))))*(INDEX(Tables!$B$91:$B$94,MAX(1,MIN(IFERROR(MATCH(P83,Tables!$A$91:$A$94,1),1),ROWS(Tables!$A$91:$A$94)-1))+1)-INDEX(Tables!$B$91:$B$94,MAX(1,MIN(IFERROR(MATCH(P83,Tables!$A$91:$A$94,1),1),ROWS(Tables!$A$91:$A$94)-1))))/(INDEX(Tables!$A$91:$A$94,MAX(1,MIN(IFERROR(MATCH(P83,Tables!$A$91:$A$94,1),1),ROWS(Tables!$A$91:$A$94)-1))+1)-INDEX(Tables!$A$91:$A$94,MAX(1,MIN(IFERROR(MATCH(P83,Tables!$A$91:$A$94,1),1),ROWS(Tables!$A$91:$A$94)-1)))))</f>
        <v>1.3542682926829268</v>
      </c>
      <c r="AP83" s="181">
        <f>IF(AD83=5000,(INDEX(Tables!$B$99:$B$118,MAX(1,MIN(IFERROR(MATCH(AF83,Tables!$A$99:$A$118,1),1),ROWS(Tables!$A$99:$A$118)-1)))+(AF83-INDEX(Tables!$A$99:$A$118,MAX(1,MIN(IFERROR(MATCH(AF83,Tables!$A$99:$A$118,1),1),ROWS(Tables!$A$99:$A$118)-1))))*(INDEX(Tables!$B$99:$B$118,MAX(1,MIN(IFERROR(MATCH(AF83,Tables!$A$99:$A$118,1),1),ROWS(Tables!$A$99:$A$118)-1))+1)-INDEX(Tables!$B$99:$B$118,MAX(1,MIN(IFERROR(MATCH(AF83,Tables!$A$99:$A$118,1),1),ROWS(Tables!$A$99:$A$118)-1))))/(INDEX(Tables!$A$99:$A$118,MAX(1,MIN(IFERROR(MATCH(AF83,Tables!$A$99:$A$118,1),1),ROWS(Tables!$A$99:$A$118)-1))+1)-INDEX(Tables!$A$99:$A$118,MAX(1,MIN(IFERROR(MATCH(AF83,Tables!$A$99:$A$118,1),1),ROWS(Tables!$A$99:$A$118)-1))))),IF(AD83=10000,(INDEX(Tables!$D$99:$D$118,MAX(1,MIN(IFERROR(MATCH(AF83,Tables!$C$99:$C$118,1),1),ROWS(Tables!$C$99:$C$118)-1)))+(AF83-INDEX(Tables!$C$99:$C$118,MAX(1,MIN(IFERROR(MATCH(AF83,Tables!$C$99:$C$118,1),1),ROWS(Tables!$C$99:$C$118)-1))))*(INDEX(Tables!$D$99:$D$118,MAX(1,MIN(IFERROR(MATCH(AF83,Tables!$C$99:$C$118,1),1),ROWS(Tables!$C$99:$C$118)-1))+1)-INDEX(Tables!$D$99:$D$118,MAX(1,MIN(IFERROR(MATCH(AF83,Tables!$C$99:$C$118,1),1),ROWS(Tables!$C$99:$C$118)-1))))/(INDEX(Tables!$C$99:$C$118,MAX(1,MIN(IFERROR(MATCH(AF83,Tables!$C$99:$C$118,1),1),ROWS(Tables!$C$99:$C$118)-1))+1)-INDEX(Tables!$C$99:$C$118,MAX(1,MIN(IFERROR(MATCH(AF83,Tables!$C$99:$C$118,1),1),ROWS(Tables!$C$99:$C$118)-1))))),(INDEX(Tables!$F$99:$F$118,MAX(1,MIN(IFERROR(MATCH(AF83,Tables!$E$99:$E$118,1),1),ROWS(Tables!$E$99:$E$118)-1)))+(AF83-INDEX(Tables!$E$99:$E$118,MAX(1,MIN(IFERROR(MATCH(AF83,Tables!$E$99:$E$118,1),1),ROWS(Tables!$E$99:$E$118)-1))))*(INDEX(Tables!$F$99:$F$118,MAX(1,MIN(IFERROR(MATCH(AF83,Tables!$E$99:$E$118,1),1),ROWS(Tables!$E$99:$E$118)-1))+1)-INDEX(Tables!$F$99:$F$118,MAX(1,MIN(IFERROR(MATCH(AF83,Tables!$E$99:$E$118,1),1),ROWS(Tables!$E$99:$E$118)-1))))/(INDEX(Tables!$E$99:$E$118,MAX(1,MIN(IFERROR(MATCH(AF83,Tables!$E$99:$E$118,1),1),ROWS(Tables!$E$99:$E$118)-1))+1)-INDEX(Tables!$E$99:$E$118,MAX(1,MIN(IFERROR(MATCH(AF83,Tables!$E$99:$E$118,1),1),ROWS(Tables!$E$99:$E$118)-1)))))))</f>
        <v>13.297525555555557</v>
      </c>
      <c r="AQ83" s="181">
        <f>IF(P83&lt;6,(INDEX(Tables!$B$123:$B$138,MAX(1,MIN(IFERROR(MATCH(U83,Tables!$A$123:$A$138,1),1),ROWS(Tables!$A$123:$A$138)-1)))+(U83-INDEX(Tables!$A$123:$A$138,MAX(1,MIN(IFERROR(MATCH(U83,Tables!$A$123:$A$138,1),1),ROWS(Tables!$A$123:$A$138)-1))))*(INDEX(Tables!$B$123:$B$138,MAX(1,MIN(IFERROR(MATCH(U83,Tables!$A$123:$A$138,1),1),ROWS(Tables!$A$123:$A$138)-1))+1)-INDEX(Tables!$B$123:$B$138,MAX(1,MIN(IFERROR(MATCH(U83,Tables!$A$123:$A$138,1),1),ROWS(Tables!$A$123:$A$138)-1))))/(INDEX(Tables!$A$123:$A$138,MAX(1,MIN(IFERROR(MATCH(U83,Tables!$A$123:$A$138,1),1),ROWS(Tables!$A$123:$A$138)-1))+1)-INDEX(Tables!$A$123:$A$138,MAX(1,MIN(IFERROR(MATCH(U83,Tables!$A$123:$A$138,1),1),ROWS(Tables!$A$123:$A$138)-1))))),IF(P83&lt;8,(INDEX(Tables!$D$123:$D$138,MAX(1,MIN(IFERROR(MATCH(U83,Tables!$C$123:$C$138,1),1),ROWS(Tables!$C$123:$C$138)-1)))+(U83-INDEX(Tables!$C$123:$C$138,MAX(1,MIN(IFERROR(MATCH(U83,Tables!$C$123:$C$138,1),1),ROWS(Tables!$C$123:$C$138)-1))))*(INDEX(Tables!$D$123:$D$138,MAX(1,MIN(IFERROR(MATCH(U83,Tables!$C$123:$C$138,1),1),ROWS(Tables!$C$123:$C$138)-1))+1)-INDEX(Tables!$D$123:$D$138,MAX(1,MIN(IFERROR(MATCH(U83,Tables!$C$123:$C$138,1),1),ROWS(Tables!$C$123:$C$138)-1))))/(INDEX(Tables!$C$123:$C$138,MAX(1,MIN(IFERROR(MATCH(U83,Tables!$C$123:$C$138,1),1),ROWS(Tables!$C$123:$C$138)-1))+1)-INDEX(Tables!$C$123:$C$138,MAX(1,MIN(IFERROR(MATCH(U83,Tables!$C$123:$C$138,1),1),ROWS(Tables!$C$123:$C$138)-1))))),IF(P83&lt;10,(INDEX(Tables!$F$123:$F$138,MAX(1,MIN(IFERROR(MATCH(U83,Tables!$E$123:$E$138,1),1),ROWS(Tables!$E$123:$E$138)-1)))+(U83-INDEX(Tables!$E$123:$E$138,MAX(1,MIN(IFERROR(MATCH(U83,Tables!$E$123:$E$138,1),1),ROWS(Tables!$E$123:$E$138)-1))))*(INDEX(Tables!$F$123:$F$138,MAX(1,MIN(IFERROR(MATCH(U83,Tables!$E$123:$E$138,1),1),ROWS(Tables!$E$123:$E$138)-1))+1)-INDEX(Tables!$F$123:$F$138,MAX(1,MIN(IFERROR(MATCH(U83,Tables!$E$123:$E$138,1),1),ROWS(Tables!$E$123:$E$138)-1))))/(INDEX(Tables!$E$123:$E$138,MAX(1,MIN(IFERROR(MATCH(U83,Tables!$E$123:$E$138,1),1),ROWS(Tables!$E$123:$E$138)-1))+1)-INDEX(Tables!$E$123:$E$138,MAX(1,MIN(IFERROR(MATCH(U83,Tables!$E$123:$E$138,1),1),ROWS(Tables!$E$123:$E$138)-1))))),(INDEX(Tables!$H$123:$H$138,MAX(1,MIN(IFERROR(MATCH(U83,Tables!$G$123:$G$138,1),1),ROWS(Tables!$G$123:$G$138)-1)))+(U83-INDEX(Tables!$G$123:$G$138,MAX(1,MIN(IFERROR(MATCH(U83,Tables!$G$123:$G$138,1),1),ROWS(Tables!$G$123:$G$138)-1))))*(INDEX(Tables!$H$123:$H$138,MAX(1,MIN(IFERROR(MATCH(U83,Tables!$G$123:$G$138,1),1),ROWS(Tables!$G$123:$G$138)-1))+1)-INDEX(Tables!$H$123:$H$138,MAX(1,MIN(IFERROR(MATCH(U83,Tables!$G$123:$G$138,1),1),ROWS(Tables!$G$123:$G$138)-1))))/(INDEX(Tables!$G$123:$G$138,MAX(1,MIN(IFERROR(MATCH(U83,Tables!$G$123:$G$138,1),1),ROWS(Tables!$G$123:$G$138)-1))+1)-INDEX(Tables!$G$123:$G$138,MAX(1,MIN(IFERROR(MATCH(U83,Tables!$G$123:$G$138,1),1),ROWS(Tables!$G$123:$G$138)-1))))))))</f>
        <v>0.57750000000000001</v>
      </c>
      <c r="AR83" s="181">
        <f>IF(OR(P83&gt;=4,U83&gt;12),VLOOKUP(R83&amp;" "&amp;S83,Tables!$D$143:$F$148,2,FALSE),VLOOKUP(R83&amp;" "&amp;S83,Tables!$A$143:$C$148,2,FALSE))</f>
        <v>1.1000000000000001</v>
      </c>
      <c r="AS83" s="181">
        <f>IF(OR(P83&gt;=4,U83&gt;12),VLOOKUP(R83&amp;" "&amp;S83,Tables!$D$143:$F$148,3,FALSE),VLOOKUP(R83&amp;" "&amp;S83,Tables!$A$143:$C$148,3,FALSE))</f>
        <v>1</v>
      </c>
      <c r="AT83" s="181">
        <f t="shared" si="72"/>
        <v>794.43382263970068</v>
      </c>
      <c r="AU83" s="181">
        <f>IF(AD83=5000,(INDEX(Tables!$B$244:$B$263,MAX(1,MIN(IFERROR(MATCH(AF83,Tables!$A$244:$A$263,1),1),ROWS(Tables!$A$244:$A$263)-1)))+(AF83-INDEX(Tables!$A$244:$A$263,MAX(1,MIN(IFERROR(MATCH(AF83,Tables!$A$244:$A$263,1),1),ROWS(Tables!$A$244:$A$263)-1))))*(INDEX(Tables!$B$244:$B$263,MAX(1,MIN(IFERROR(MATCH(AF83,Tables!$A$244:$A$263,1),1),ROWS(Tables!$A$244:$A$263)-1))+1)-INDEX(Tables!$B$244:$B$263,MAX(1,MIN(IFERROR(MATCH(AF83,Tables!$A$244:$A$263,1),1),ROWS(Tables!$A$244:$A$263)-1))))/(INDEX(Tables!$A$244:$A$263,MAX(1,MIN(IFERROR(MATCH(AF83,Tables!$A$244:$A$263,1),1),ROWS(Tables!$A$244:$A$263)-1))+1)-INDEX(Tables!$A$244:$A$263,MAX(1,MIN(IFERROR(MATCH(AF83,Tables!$A$244:$A$263,1),1),ROWS(Tables!$A$244:$A$263)-1))))),IF(AD83=10000,(INDEX(Tables!$D$244:$D$263,MAX(1,MIN(IFERROR(MATCH(AF83,Tables!$C$244:$C$263,1),1),ROWS(Tables!$C$244:$C$263)-1)))+(AF83-INDEX(Tables!$C$244:$C$263,MAX(1,MIN(IFERROR(MATCH(AF83,Tables!$C$244:$C$263,1),1),ROWS(Tables!$C$244:$C$263)-1))))*(INDEX(Tables!$D$244:$D$263,MAX(1,MIN(IFERROR(MATCH(AF83,Tables!$C$244:$C$263,1),1),ROWS(Tables!$C$244:$C$263)-1))+1)-INDEX(Tables!$D$244:$D$263,MAX(1,MIN(IFERROR(MATCH(AF83,Tables!$C$244:$C$263,1),1),ROWS(Tables!$C$244:$C$263)-1))))/(INDEX(Tables!$C$244:$C$263,MAX(1,MIN(IFERROR(MATCH(AF83,Tables!$C$244:$C$263,1),1),ROWS(Tables!$C$244:$C$263)-1))+1)-INDEX(Tables!$C$244:$C$263,MAX(1,MIN(IFERROR(MATCH(AF83,Tables!$C$244:$C$263,1),1),ROWS(Tables!$C$244:$C$263)-1))))),(INDEX(Tables!$F$244:$F$263,MAX(1,MIN(IFERROR(MATCH(AF83,Tables!$E$244:$E$263,1),1),ROWS(Tables!$E$244:$E$263)-1)))+(AF83-INDEX(Tables!$E$244:$E$263,MAX(1,MIN(IFERROR(MATCH(AF83,Tables!$E$244:$E$263,1),1),ROWS(Tables!$E$244:$E$263)-1))))*(INDEX(Tables!$F$244:$F$263,MAX(1,MIN(IFERROR(MATCH(AF83,Tables!$E$244:$E$263,1),1),ROWS(Tables!$E$244:$E$263)-1))+1)-INDEX(Tables!$F$244:$F$263,MAX(1,MIN(IFERROR(MATCH(AF83,Tables!$E$244:$E$263,1),1),ROWS(Tables!$E$244:$E$263)-1))))/(INDEX(Tables!$E$244:$E$263,MAX(1,MIN(IFERROR(MATCH(AF83,Tables!$E$244:$E$263,1),1),ROWS(Tables!$E$244:$E$263)-1))+1)-INDEX(Tables!$E$244:$E$263,MAX(1,MIN(IFERROR(MATCH(AF83,Tables!$E$244:$E$263,1),1),ROWS(Tables!$E$244:$E$263)-1)))))))</f>
        <v>9.7907314814814814</v>
      </c>
      <c r="AV83" s="181">
        <f>IF(P83&lt;6,(INDEX(Tables!$B$260:$B$274,MAX(1,MIN(IFERROR(MATCH(U83,Tables!$A$260:$A$274,1),1),ROWS(Tables!$A$260:$A$274)-1)))+(U83-INDEX(Tables!$A$260:$A$274,MAX(1,MIN(IFERROR(MATCH(U83,Tables!$A$260:$A$274,1),1),ROWS(Tables!$A$260:$A$274)-1))))*(INDEX(Tables!$B$260:$B$274,MAX(1,MIN(IFERROR(MATCH(U83,Tables!$A$260:$A$274,1),1),ROWS(Tables!$A$260:$A$274)-1))+1)-INDEX(Tables!$B$260:$B$274,MAX(1,MIN(IFERROR(MATCH(U83,Tables!$A$260:$A$274,1),1),ROWS(Tables!$A$260:$A$274)-1))))/(INDEX(Tables!$A$260:$A$274,MAX(1,MIN(IFERROR(MATCH(U83,Tables!$A$260:$A$274,1),1),ROWS(Tables!$A$260:$A$274)-1))+1)-INDEX(Tables!$A$260:$A$274,MAX(1,MIN(IFERROR(MATCH(U83,Tables!$A$260:$A$274,1),1),ROWS(Tables!$A$260:$A$274)-1))))),IF(P83&lt;8,(INDEX(Tables!$D$260:$D$274,MAX(1,MIN(IFERROR(MATCH(U83,Tables!$C$260:$C$274,1),1),ROWS(Tables!$C$260:$C$274)-1)))+(U83-INDEX(Tables!$C$260:$C$274,MAX(1,MIN(IFERROR(MATCH(U83,Tables!$C$260:$C$274,1),1),ROWS(Tables!$C$260:$C$274)-1))))*(INDEX(Tables!$D$260:$D$274,MAX(1,MIN(IFERROR(MATCH(U83,Tables!$C$260:$C$274,1),1),ROWS(Tables!$C$260:$C$274)-1))+1)-INDEX(Tables!$D$260:$D$274,MAX(1,MIN(IFERROR(MATCH(U83,Tables!$C$260:$C$274,1),1),ROWS(Tables!$C$260:$C$274)-1))))/(INDEX(Tables!$C$260:$C$274,MAX(1,MIN(IFERROR(MATCH(U83,Tables!$C$260:$C$274,1),1),ROWS(Tables!$C$260:$C$274)-1))+1)-INDEX(Tables!$C$260:$C$274,MAX(1,MIN(IFERROR(MATCH(U83,Tables!$C$260:$C$274,1),1),ROWS(Tables!$C$260:$C$274)-1))))),IF(P83&lt;10,(INDEX(Tables!$F$260:$F$274,MAX(1,MIN(IFERROR(MATCH(U83,Tables!$E$260:$E$274,1),1),ROWS(Tables!$E$260:$E$274)-1)))+(U83-INDEX(Tables!$E$260:$E$274,MAX(1,MIN(IFERROR(MATCH(U83,Tables!$E$260:$E$274,1),1),ROWS(Tables!$E$260:$E$274)-1))))*(INDEX(Tables!$F$260:$F$274,MAX(1,MIN(IFERROR(MATCH(U83,Tables!$E$260:$E$274,1),1),ROWS(Tables!$E$260:$E$274)-1))+1)-INDEX(Tables!$F$260:$F$274,MAX(1,MIN(IFERROR(MATCH(U83,Tables!$E$260:$E$274,1),1),ROWS(Tables!$E$260:$E$274)-1))))/(INDEX(Tables!$E$260:$E$274,MAX(1,MIN(IFERROR(MATCH(U83,Tables!$E$260:$E$274,1),1),ROWS(Tables!$E$260:$E$274)-1))+1)-INDEX(Tables!$E$260:$E$274,MAX(1,MIN(IFERROR(MATCH(U83,Tables!$E$260:$E$274,1),1),ROWS(Tables!$E$260:$E$274)-1))))),(INDEX(Tables!$H$260:$H$274,MAX(1,MIN(IFERROR(MATCH(U83,Tables!$G$260:$G$274,1),1),ROWS(Tables!$G$260:$G$274)-1)))+(U83-INDEX(Tables!$G$260:$G$274,MAX(1,MIN(IFERROR(MATCH(U83,Tables!$G$260:$G$274,1),1),ROWS(Tables!$G$260:$G$274)-1))))*(INDEX(Tables!$H$260:$H$274,MAX(1,MIN(IFERROR(MATCH(U83,Tables!$G$260:$G$274,1),1),ROWS(Tables!$G$260:$G$274)-1))+1)-INDEX(Tables!$H$260:$H$274,MAX(1,MIN(IFERROR(MATCH(U83,Tables!$G$260:$G$274,1),1),ROWS(Tables!$G$260:$G$274)-1))))/(INDEX(Tables!$G$260:$G$274,MAX(1,MIN(IFERROR(MATCH(U83,Tables!$G$260:$G$274,1),1),ROWS(Tables!$G$260:$G$274)-1))+1)-INDEX(Tables!$G$260:$G$274,MAX(1,MIN(IFERROR(MATCH(U83,Tables!$G$260:$G$274,1),1),ROWS(Tables!$G$260:$G$274)-1))))))))</f>
        <v>0.64533333333333331</v>
      </c>
      <c r="AW83" s="181">
        <f t="shared" si="73"/>
        <v>653.63325789776343</v>
      </c>
      <c r="AX83" s="181">
        <f t="shared" si="74"/>
        <v>36101.901140684407</v>
      </c>
      <c r="AY83" s="181">
        <f t="shared" si="75"/>
        <v>43333.794025974108</v>
      </c>
      <c r="AZ83" s="181">
        <f t="shared" si="76"/>
        <v>13415.441318898085</v>
      </c>
      <c r="BA83" s="181">
        <f t="shared" si="77"/>
        <v>-800</v>
      </c>
      <c r="BB83" s="181">
        <f t="shared" si="78"/>
        <v>39019.087481149181</v>
      </c>
      <c r="BC83" s="181">
        <f t="shared" si="79"/>
        <v>46800</v>
      </c>
      <c r="BD83" s="181">
        <f>VLOOKUP(V83&amp;" "&amp;J83,Tables!$A$152:$E$239,4,FALSE)</f>
        <v>12000</v>
      </c>
      <c r="BE83" s="181">
        <f>VLOOKUP(V83&amp;" "&amp;J83,Tables!$A$152:$E$239,5,FALSE)</f>
        <v>23000</v>
      </c>
      <c r="BF83" s="181">
        <f t="shared" si="80"/>
        <v>8640</v>
      </c>
      <c r="BG83" s="181">
        <f t="shared" si="81"/>
        <v>16560</v>
      </c>
      <c r="BH83" s="181">
        <f t="shared" si="82"/>
        <v>36501.901140684407</v>
      </c>
      <c r="BI83" s="181">
        <f t="shared" si="83"/>
        <v>46800</v>
      </c>
      <c r="BJ83" s="181">
        <f t="shared" si="84"/>
        <v>39019.087481149181</v>
      </c>
      <c r="BK83" s="181">
        <f t="shared" si="85"/>
        <v>46800</v>
      </c>
      <c r="BL83" s="181">
        <f t="shared" si="86"/>
        <v>653.63325789776343</v>
      </c>
      <c r="BM83" s="181">
        <f t="shared" si="87"/>
        <v>8640</v>
      </c>
      <c r="BN83" s="181">
        <f t="shared" si="88"/>
        <v>794.43382263970068</v>
      </c>
      <c r="BO83" s="181">
        <f t="shared" si="89"/>
        <v>16560</v>
      </c>
      <c r="BP83" t="str">
        <f t="shared" si="90"/>
        <v>Pass</v>
      </c>
      <c r="BQ83" t="str">
        <f t="shared" si="91"/>
        <v>Pass</v>
      </c>
      <c r="BR83" t="str">
        <f t="shared" si="92"/>
        <v>Pass</v>
      </c>
      <c r="BS83" t="str">
        <f t="shared" si="93"/>
        <v>Pass</v>
      </c>
      <c r="BT83" t="str">
        <f t="shared" si="94"/>
        <v>Pass</v>
      </c>
      <c r="BU83" t="str">
        <f t="shared" si="95"/>
        <v>Effective Stress</v>
      </c>
    </row>
    <row r="84" spans="1:73">
      <c r="A84" t="s">
        <v>676</v>
      </c>
      <c r="B84" s="181">
        <v>82</v>
      </c>
      <c r="C84" t="s">
        <v>594</v>
      </c>
      <c r="D84" s="181">
        <v>36</v>
      </c>
      <c r="E84" s="181">
        <v>0.32500000000000001</v>
      </c>
      <c r="F84" t="s">
        <v>117</v>
      </c>
      <c r="G84" t="s">
        <v>119</v>
      </c>
      <c r="H84" t="s">
        <v>122</v>
      </c>
      <c r="I84" s="181">
        <v>1</v>
      </c>
      <c r="J84" t="s">
        <v>126</v>
      </c>
      <c r="K84" t="s">
        <v>129</v>
      </c>
      <c r="L84" s="181">
        <v>70</v>
      </c>
      <c r="M84" s="181">
        <v>800</v>
      </c>
      <c r="N84" t="s">
        <v>391</v>
      </c>
      <c r="O84" s="181">
        <v>120</v>
      </c>
      <c r="P84" s="181">
        <v>14</v>
      </c>
      <c r="Q84" s="181">
        <v>38</v>
      </c>
      <c r="R84" t="s">
        <v>417</v>
      </c>
      <c r="S84" t="s">
        <v>156</v>
      </c>
      <c r="T84" s="181">
        <v>70</v>
      </c>
      <c r="U84" s="181">
        <f>HLOOKUP(D84,'Highway Loading'!$C$155:$AD$156,2,FALSE)</f>
        <v>36</v>
      </c>
      <c r="V84" s="181">
        <f>IF(ISBLANK(G84),"",INDEX('Highway Loading'!$C$216:$AG$216,1,MATCH(G84,'Highway Loading'!$C$215:$AG$215,0)))</f>
        <v>65000</v>
      </c>
      <c r="W84" s="181">
        <f>INDEX('Highway Loading'!$I$245:$L$253,MATCH(H84,'Highway Loading'!$H$245:$H$253,0),MATCH(I84,'Highway Loading'!$I$244:$L$244,0))</f>
        <v>0.72</v>
      </c>
      <c r="X84" s="181">
        <f t="shared" si="64"/>
        <v>1</v>
      </c>
      <c r="Y84" s="181">
        <f>VLOOKUP(K84,'Highway Loading'!$B$283:$E$292,2,FALSE)</f>
        <v>29000000</v>
      </c>
      <c r="Z84" s="181">
        <f>VLOOKUP(K84,'Highway Loading'!$B$283:$E$292,3,FALSE)</f>
        <v>0.3</v>
      </c>
      <c r="AA84" s="181">
        <f>VLOOKUP(K84,'Highway Loading'!$B$283:$E$292,4,FALSE)</f>
        <v>6.4999999999999996E-6</v>
      </c>
      <c r="AB84" s="181">
        <f t="shared" si="65"/>
        <v>1</v>
      </c>
      <c r="AC84" s="181">
        <f>VLOOKUP(N84,'Highway Loading'!$B$256:$D$261,2,FALSE)</f>
        <v>1000</v>
      </c>
      <c r="AD84" s="181">
        <f>VLOOKUP(N84,'Highway Loading'!$B$256:$D$261,3,FALSE)</f>
        <v>10000</v>
      </c>
      <c r="AE84" s="181">
        <f>VLOOKUP(S84,'Highway Loading'!$B$340:$C$341,2,FALSE)</f>
        <v>10000</v>
      </c>
      <c r="AF84" s="181">
        <f t="shared" si="66"/>
        <v>9.0277777777777787E-3</v>
      </c>
      <c r="AG84" s="181">
        <f t="shared" si="67"/>
        <v>4.4210526315789478</v>
      </c>
      <c r="AH84" s="181">
        <f t="shared" si="68"/>
        <v>1.0555555555555556</v>
      </c>
      <c r="AI84" s="181">
        <f t="shared" si="69"/>
        <v>44307.692307692305</v>
      </c>
      <c r="AJ84" s="181">
        <f t="shared" si="70"/>
        <v>46800</v>
      </c>
      <c r="AK84" s="181">
        <f>IF(AC84=200,(INDEX(Tables!$B$17:$B$38,MAX(1,MIN(IFERROR(MATCH(AF84,Tables!$A$17:$A$38,1),1),ROWS(Tables!$A$17:$A$38)-1)))+(AF84-INDEX(Tables!$A$17:$A$38,MAX(1,MIN(IFERROR(MATCH(AF84,Tables!$A$17:$A$38,1),1),ROWS(Tables!$A$17:$A$38)-1))))*(INDEX(Tables!$B$17:$B$38,MAX(1,MIN(IFERROR(MATCH(AF84,Tables!$A$17:$A$38,1),1),ROWS(Tables!$A$17:$A$38)-1))+1)-INDEX(Tables!$B$17:$B$38,MAX(1,MIN(IFERROR(MATCH(AF84,Tables!$A$17:$A$38,1),1),ROWS(Tables!$A$17:$A$38)-1))))/(INDEX(Tables!$A$17:$A$38,MAX(1,MIN(IFERROR(MATCH(AF84,Tables!$A$17:$A$38,1),1),ROWS(Tables!$A$17:$A$38)-1))+1)-INDEX(Tables!$A$17:$A$38,MAX(1,MIN(IFERROR(MATCH(AF84,Tables!$A$17:$A$38,1),1),ROWS(Tables!$A$17:$A$38)-1))))),IF(AC84=500,(INDEX(Tables!$D$17:$D$38,MAX(1,MIN(IFERROR(MATCH(AF84,Tables!$C$17:$C$38,1),1),ROWS(Tables!$C$17:$C$38)-1)))+(AF84-INDEX(Tables!$C$17:$C$38,MAX(1,MIN(IFERROR(MATCH(AF84,Tables!$C$17:$C$38,1),1),ROWS(Tables!$C$17:$C$38)-1))))*(INDEX(Tables!$D$17:$D$38,MAX(1,MIN(IFERROR(MATCH(AF84,Tables!$C$17:$C$38,1),1),ROWS(Tables!$C$17:$C$38)-1))+1)-INDEX(Tables!$D$17:$D$38,MAX(1,MIN(IFERROR(MATCH(AF84,Tables!$C$17:$C$38,1),1),ROWS(Tables!$C$17:$C$38)-1))))/(INDEX(Tables!$C$17:$C$38,MAX(1,MIN(IFERROR(MATCH(AF84,Tables!$C$17:$C$38,1),1),ROWS(Tables!$C$17:$C$38)-1))+1)-INDEX(Tables!$C$17:$C$38,MAX(1,MIN(IFERROR(MATCH(AF84,Tables!$C$17:$C$38,1),1),ROWS(Tables!$C$17:$C$38)-1))))),IF(AC84=1000,(INDEX(Tables!$F$17:$F$38,MAX(1,MIN(IFERROR(MATCH(AF84,Tables!$E$17:$E$38,1),1),ROWS(Tables!$E$17:$E$38)-1)))+(AF84-INDEX(Tables!$E$17:$E$38,MAX(1,MIN(IFERROR(MATCH(AF84,Tables!$E$17:$E$38,1),1),ROWS(Tables!$E$17:$E$38)-1))))*(INDEX(Tables!$F$17:$F$38,MAX(1,MIN(IFERROR(MATCH(AF84,Tables!$E$17:$E$38,1),1),ROWS(Tables!$E$17:$E$38)-1))+1)-INDEX(Tables!$F$17:$F$38,MAX(1,MIN(IFERROR(MATCH(AF84,Tables!$E$17:$E$38,1),1),ROWS(Tables!$E$17:$E$38)-1))))/(INDEX(Tables!$E$17:$E$38,MAX(1,MIN(IFERROR(MATCH(AF84,Tables!$E$17:$E$38,1),1),ROWS(Tables!$E$17:$E$38)-1))+1)-INDEX(Tables!$E$17:$E$38,MAX(1,MIN(IFERROR(MATCH(AF84,Tables!$E$17:$E$38,1),1),ROWS(Tables!$E$17:$E$38)-1))))),(INDEX(Tables!$H$17:$H$38,MAX(1,MIN(IFERROR(MATCH(AF84,Tables!$G$17:$G$38,1),1),ROWS(Tables!$G$17:$G$38)-1)))+(AF84-INDEX(Tables!$G$17:$G$38,MAX(1,MIN(IFERROR(MATCH(AF84,Tables!$G$17:$G$38,1),1),ROWS(Tables!$G$17:$G$38)-1))))*(INDEX(Tables!$H$17:$H$38,MAX(1,MIN(IFERROR(MATCH(AF84,Tables!$G$17:$G$38,1),1),ROWS(Tables!$G$17:$G$38)-1))+1)-INDEX(Tables!$H$17:$H$38,MAX(1,MIN(IFERROR(MATCH(AF84,Tables!$G$17:$G$38,1),1),ROWS(Tables!$G$17:$G$38)-1))))/(INDEX(Tables!$G$17:$G$38,MAX(1,MIN(IFERROR(MATCH(AF84,Tables!$G$17:$G$38,1),1),ROWS(Tables!$G$17:$G$38)-1))+1)-INDEX(Tables!$G$17:$G$38,MAX(1,MIN(IFERROR(MATCH(AF84,Tables!$G$17:$G$38,1),1),ROWS(Tables!$G$17:$G$38)-1))))))))</f>
        <v>4874.5555555555557</v>
      </c>
      <c r="AL84" s="181">
        <f>IF(AC84&lt;1000,(INDEX(Tables!$B$43:$B$76,MAX(1,MIN(IFERROR(MATCH(AG84,Tables!$A$43:$A$76,1),1),ROWS(Tables!$A$43:$A$76)-1)))+(AG84-INDEX(Tables!$A$43:$A$76,MAX(1,MIN(IFERROR(MATCH(AG84,Tables!$A$43:$A$76,1),1),ROWS(Tables!$A$43:$A$76)-1))))*(INDEX(Tables!$B$43:$B$76,MAX(1,MIN(IFERROR(MATCH(AG84,Tables!$A$43:$A$76,1),1),ROWS(Tables!$A$43:$A$76)-1))+1)-INDEX(Tables!$B$43:$B$76,MAX(1,MIN(IFERROR(MATCH(AG84,Tables!$A$43:$A$76,1),1),ROWS(Tables!$A$43:$A$76)-1))))/(INDEX(Tables!$A$43:$A$76,MAX(1,MIN(IFERROR(MATCH(AG84,Tables!$A$43:$A$76,1),1),ROWS(Tables!$A$43:$A$76)-1))+1)-INDEX(Tables!$A$43:$A$76,MAX(1,MIN(IFERROR(MATCH(AG84,Tables!$A$43:$A$76,1),1),ROWS(Tables!$A$43:$A$76)-1))))),(INDEX(Tables!$D$43:$D$76,MAX(1,MIN(IFERROR(MATCH(AG84,Tables!$C$43:$C$76,1),1),ROWS(Tables!$C$43:$C$76)-1)))+(AG84-INDEX(Tables!$C$43:$C$76,MAX(1,MIN(IFERROR(MATCH(AG84,Tables!$C$43:$C$76,1),1),ROWS(Tables!$C$43:$C$76)-1))))*(INDEX(Tables!$D$43:$D$76,MAX(1,MIN(IFERROR(MATCH(AG84,Tables!$C$43:$C$76,1),1),ROWS(Tables!$C$43:$C$76)-1))+1)-INDEX(Tables!$D$43:$D$76,MAX(1,MIN(IFERROR(MATCH(AG84,Tables!$C$43:$C$76,1),1),ROWS(Tables!$C$43:$C$76)-1))))/(INDEX(Tables!$C$43:$C$76,MAX(1,MIN(IFERROR(MATCH(AG84,Tables!$C$43:$C$76,1),1),ROWS(Tables!$C$43:$C$76)-1))+1)-INDEX(Tables!$C$43:$C$76,MAX(1,MIN(IFERROR(MATCH(AG84,Tables!$C$43:$C$76,1),1),ROWS(Tables!$C$43:$C$76)-1))))))</f>
        <v>0.92289473684210532</v>
      </c>
      <c r="AM84" s="181">
        <f>(INDEX(Tables!$B$80:$B$87,MAX(1,MIN(IFERROR(MATCH(AH84,Tables!$A$80:$A$87,1),1),ROWS(Tables!$A$80:$A$87)-1)))+(AH84-INDEX(Tables!$A$80:$A$87,MAX(1,MIN(IFERROR(MATCH(AH84,Tables!$A$80:$A$87,1),1),ROWS(Tables!$A$80:$A$87)-1))))*(INDEX(Tables!$B$80:$B$87,MAX(1,MIN(IFERROR(MATCH(AH84,Tables!$A$80:$A$87,1),1),ROWS(Tables!$A$80:$A$87)-1))+1)-INDEX(Tables!$B$80:$B$87,MAX(1,MIN(IFERROR(MATCH(AH84,Tables!$A$80:$A$87,1),1),ROWS(Tables!$A$80:$A$87)-1))))/(INDEX(Tables!$A$80:$A$87,MAX(1,MIN(IFERROR(MATCH(AH84,Tables!$A$80:$A$87,1),1),ROWS(Tables!$A$80:$A$87)-1))+1)-INDEX(Tables!$A$80:$A$87,MAX(1,MIN(IFERROR(MATCH(AH84,Tables!$A$80:$A$87,1),1),ROWS(Tables!$A$80:$A$87)-1)))))</f>
        <v>0.91873333333333329</v>
      </c>
      <c r="AN84" s="181">
        <f t="shared" si="71"/>
        <v>10332.767944722224</v>
      </c>
      <c r="AO84" s="181">
        <f>(INDEX(Tables!$B$91:$B$94,MAX(1,MIN(IFERROR(MATCH(P84,Tables!$A$91:$A$94,1),1),ROWS(Tables!$A$91:$A$94)-1)))+(P84-INDEX(Tables!$A$91:$A$94,MAX(1,MIN(IFERROR(MATCH(P84,Tables!$A$91:$A$94,1),1),ROWS(Tables!$A$91:$A$94)-1))))*(INDEX(Tables!$B$91:$B$94,MAX(1,MIN(IFERROR(MATCH(P84,Tables!$A$91:$A$94,1),1),ROWS(Tables!$A$91:$A$94)-1))+1)-INDEX(Tables!$B$91:$B$94,MAX(1,MIN(IFERROR(MATCH(P84,Tables!$A$91:$A$94,1),1),ROWS(Tables!$A$91:$A$94)-1))))/(INDEX(Tables!$A$91:$A$94,MAX(1,MIN(IFERROR(MATCH(P84,Tables!$A$91:$A$94,1),1),ROWS(Tables!$A$91:$A$94)-1))+1)-INDEX(Tables!$A$91:$A$94,MAX(1,MIN(IFERROR(MATCH(P84,Tables!$A$91:$A$94,1),1),ROWS(Tables!$A$91:$A$94)-1)))))</f>
        <v>1.2323170731707318</v>
      </c>
      <c r="AP84" s="181">
        <f>IF(AD84=5000,(INDEX(Tables!$B$99:$B$118,MAX(1,MIN(IFERROR(MATCH(AF84,Tables!$A$99:$A$118,1),1),ROWS(Tables!$A$99:$A$118)-1)))+(AF84-INDEX(Tables!$A$99:$A$118,MAX(1,MIN(IFERROR(MATCH(AF84,Tables!$A$99:$A$118,1),1),ROWS(Tables!$A$99:$A$118)-1))))*(INDEX(Tables!$B$99:$B$118,MAX(1,MIN(IFERROR(MATCH(AF84,Tables!$A$99:$A$118,1),1),ROWS(Tables!$A$99:$A$118)-1))+1)-INDEX(Tables!$B$99:$B$118,MAX(1,MIN(IFERROR(MATCH(AF84,Tables!$A$99:$A$118,1),1),ROWS(Tables!$A$99:$A$118)-1))))/(INDEX(Tables!$A$99:$A$118,MAX(1,MIN(IFERROR(MATCH(AF84,Tables!$A$99:$A$118,1),1),ROWS(Tables!$A$99:$A$118)-1))+1)-INDEX(Tables!$A$99:$A$118,MAX(1,MIN(IFERROR(MATCH(AF84,Tables!$A$99:$A$118,1),1),ROWS(Tables!$A$99:$A$118)-1))))),IF(AD84=10000,(INDEX(Tables!$D$99:$D$118,MAX(1,MIN(IFERROR(MATCH(AF84,Tables!$C$99:$C$118,1),1),ROWS(Tables!$C$99:$C$118)-1)))+(AF84-INDEX(Tables!$C$99:$C$118,MAX(1,MIN(IFERROR(MATCH(AF84,Tables!$C$99:$C$118,1),1),ROWS(Tables!$C$99:$C$118)-1))))*(INDEX(Tables!$D$99:$D$118,MAX(1,MIN(IFERROR(MATCH(AF84,Tables!$C$99:$C$118,1),1),ROWS(Tables!$C$99:$C$118)-1))+1)-INDEX(Tables!$D$99:$D$118,MAX(1,MIN(IFERROR(MATCH(AF84,Tables!$C$99:$C$118,1),1),ROWS(Tables!$C$99:$C$118)-1))))/(INDEX(Tables!$C$99:$C$118,MAX(1,MIN(IFERROR(MATCH(AF84,Tables!$C$99:$C$118,1),1),ROWS(Tables!$C$99:$C$118)-1))+1)-INDEX(Tables!$C$99:$C$118,MAX(1,MIN(IFERROR(MATCH(AF84,Tables!$C$99:$C$118,1),1),ROWS(Tables!$C$99:$C$118)-1))))),(INDEX(Tables!$F$99:$F$118,MAX(1,MIN(IFERROR(MATCH(AF84,Tables!$E$99:$E$118,1),1),ROWS(Tables!$E$99:$E$118)-1)))+(AF84-INDEX(Tables!$E$99:$E$118,MAX(1,MIN(IFERROR(MATCH(AF84,Tables!$E$99:$E$118,1),1),ROWS(Tables!$E$99:$E$118)-1))))*(INDEX(Tables!$F$99:$F$118,MAX(1,MIN(IFERROR(MATCH(AF84,Tables!$E$99:$E$118,1),1),ROWS(Tables!$E$99:$E$118)-1))+1)-INDEX(Tables!$F$99:$F$118,MAX(1,MIN(IFERROR(MATCH(AF84,Tables!$E$99:$E$118,1),1),ROWS(Tables!$E$99:$E$118)-1))))/(INDEX(Tables!$E$99:$E$118,MAX(1,MIN(IFERROR(MATCH(AF84,Tables!$E$99:$E$118,1),1),ROWS(Tables!$E$99:$E$118)-1))+1)-INDEX(Tables!$E$99:$E$118,MAX(1,MIN(IFERROR(MATCH(AF84,Tables!$E$99:$E$118,1),1),ROWS(Tables!$E$99:$E$118)-1)))))))</f>
        <v>11.770785529715763</v>
      </c>
      <c r="AQ84" s="181">
        <f>IF(P84&lt;6,(INDEX(Tables!$B$123:$B$138,MAX(1,MIN(IFERROR(MATCH(U84,Tables!$A$123:$A$138,1),1),ROWS(Tables!$A$123:$A$138)-1)))+(U84-INDEX(Tables!$A$123:$A$138,MAX(1,MIN(IFERROR(MATCH(U84,Tables!$A$123:$A$138,1),1),ROWS(Tables!$A$123:$A$138)-1))))*(INDEX(Tables!$B$123:$B$138,MAX(1,MIN(IFERROR(MATCH(U84,Tables!$A$123:$A$138,1),1),ROWS(Tables!$A$123:$A$138)-1))+1)-INDEX(Tables!$B$123:$B$138,MAX(1,MIN(IFERROR(MATCH(U84,Tables!$A$123:$A$138,1),1),ROWS(Tables!$A$123:$A$138)-1))))/(INDEX(Tables!$A$123:$A$138,MAX(1,MIN(IFERROR(MATCH(U84,Tables!$A$123:$A$138,1),1),ROWS(Tables!$A$123:$A$138)-1))+1)-INDEX(Tables!$A$123:$A$138,MAX(1,MIN(IFERROR(MATCH(U84,Tables!$A$123:$A$138,1),1),ROWS(Tables!$A$123:$A$138)-1))))),IF(P84&lt;8,(INDEX(Tables!$D$123:$D$138,MAX(1,MIN(IFERROR(MATCH(U84,Tables!$C$123:$C$138,1),1),ROWS(Tables!$C$123:$C$138)-1)))+(U84-INDEX(Tables!$C$123:$C$138,MAX(1,MIN(IFERROR(MATCH(U84,Tables!$C$123:$C$138,1),1),ROWS(Tables!$C$123:$C$138)-1))))*(INDEX(Tables!$D$123:$D$138,MAX(1,MIN(IFERROR(MATCH(U84,Tables!$C$123:$C$138,1),1),ROWS(Tables!$C$123:$C$138)-1))+1)-INDEX(Tables!$D$123:$D$138,MAX(1,MIN(IFERROR(MATCH(U84,Tables!$C$123:$C$138,1),1),ROWS(Tables!$C$123:$C$138)-1))))/(INDEX(Tables!$C$123:$C$138,MAX(1,MIN(IFERROR(MATCH(U84,Tables!$C$123:$C$138,1),1),ROWS(Tables!$C$123:$C$138)-1))+1)-INDEX(Tables!$C$123:$C$138,MAX(1,MIN(IFERROR(MATCH(U84,Tables!$C$123:$C$138,1),1),ROWS(Tables!$C$123:$C$138)-1))))),IF(P84&lt;10,(INDEX(Tables!$F$123:$F$138,MAX(1,MIN(IFERROR(MATCH(U84,Tables!$E$123:$E$138,1),1),ROWS(Tables!$E$123:$E$138)-1)))+(U84-INDEX(Tables!$E$123:$E$138,MAX(1,MIN(IFERROR(MATCH(U84,Tables!$E$123:$E$138,1),1),ROWS(Tables!$E$123:$E$138)-1))))*(INDEX(Tables!$F$123:$F$138,MAX(1,MIN(IFERROR(MATCH(U84,Tables!$E$123:$E$138,1),1),ROWS(Tables!$E$123:$E$138)-1))+1)-INDEX(Tables!$F$123:$F$138,MAX(1,MIN(IFERROR(MATCH(U84,Tables!$E$123:$E$138,1),1),ROWS(Tables!$E$123:$E$138)-1))))/(INDEX(Tables!$E$123:$E$138,MAX(1,MIN(IFERROR(MATCH(U84,Tables!$E$123:$E$138,1),1),ROWS(Tables!$E$123:$E$138)-1))+1)-INDEX(Tables!$E$123:$E$138,MAX(1,MIN(IFERROR(MATCH(U84,Tables!$E$123:$E$138,1),1),ROWS(Tables!$E$123:$E$138)-1))))),(INDEX(Tables!$H$123:$H$138,MAX(1,MIN(IFERROR(MATCH(U84,Tables!$G$123:$G$138,1),1),ROWS(Tables!$G$123:$G$138)-1)))+(U84-INDEX(Tables!$G$123:$G$138,MAX(1,MIN(IFERROR(MATCH(U84,Tables!$G$123:$G$138,1),1),ROWS(Tables!$G$123:$G$138)-1))))*(INDEX(Tables!$H$123:$H$138,MAX(1,MIN(IFERROR(MATCH(U84,Tables!$G$123:$G$138,1),1),ROWS(Tables!$G$123:$G$138)-1))+1)-INDEX(Tables!$H$123:$H$138,MAX(1,MIN(IFERROR(MATCH(U84,Tables!$G$123:$G$138,1),1),ROWS(Tables!$G$123:$G$138)-1))))/(INDEX(Tables!$G$123:$G$138,MAX(1,MIN(IFERROR(MATCH(U84,Tables!$G$123:$G$138,1),1),ROWS(Tables!$G$123:$G$138)-1))+1)-INDEX(Tables!$G$123:$G$138,MAX(1,MIN(IFERROR(MATCH(U84,Tables!$G$123:$G$138,1),1),ROWS(Tables!$G$123:$G$138)-1))))))))</f>
        <v>0.50060000000000004</v>
      </c>
      <c r="AR84" s="181">
        <f>IF(OR(P84&gt;=4,U84&gt;12),VLOOKUP(R84&amp;" "&amp;S84,Tables!$D$143:$F$148,2,FALSE),VLOOKUP(R84&amp;" "&amp;S84,Tables!$A$143:$C$148,2,FALSE))</f>
        <v>1.1000000000000001</v>
      </c>
      <c r="AS84" s="181">
        <f>IF(OR(P84&gt;=4,U84&gt;12),VLOOKUP(R84&amp;" "&amp;S84,Tables!$D$143:$F$148,3,FALSE),VLOOKUP(R84&amp;" "&amp;S84,Tables!$A$143:$C$148,3,FALSE))</f>
        <v>1</v>
      </c>
      <c r="AT84" s="181">
        <f t="shared" si="72"/>
        <v>554.68822982478935</v>
      </c>
      <c r="AU84" s="181">
        <f>IF(AD84=5000,(INDEX(Tables!$B$244:$B$263,MAX(1,MIN(IFERROR(MATCH(AF84,Tables!$A$244:$A$263,1),1),ROWS(Tables!$A$244:$A$263)-1)))+(AF84-INDEX(Tables!$A$244:$A$263,MAX(1,MIN(IFERROR(MATCH(AF84,Tables!$A$244:$A$263,1),1),ROWS(Tables!$A$244:$A$263)-1))))*(INDEX(Tables!$B$244:$B$263,MAX(1,MIN(IFERROR(MATCH(AF84,Tables!$A$244:$A$263,1),1),ROWS(Tables!$A$244:$A$263)-1))+1)-INDEX(Tables!$B$244:$B$263,MAX(1,MIN(IFERROR(MATCH(AF84,Tables!$A$244:$A$263,1),1),ROWS(Tables!$A$244:$A$263)-1))))/(INDEX(Tables!$A$244:$A$263,MAX(1,MIN(IFERROR(MATCH(AF84,Tables!$A$244:$A$263,1),1),ROWS(Tables!$A$244:$A$263)-1))+1)-INDEX(Tables!$A$244:$A$263,MAX(1,MIN(IFERROR(MATCH(AF84,Tables!$A$244:$A$263,1),1),ROWS(Tables!$A$244:$A$263)-1))))),IF(AD84=10000,(INDEX(Tables!$D$244:$D$263,MAX(1,MIN(IFERROR(MATCH(AF84,Tables!$C$244:$C$263,1),1),ROWS(Tables!$C$244:$C$263)-1)))+(AF84-INDEX(Tables!$C$244:$C$263,MAX(1,MIN(IFERROR(MATCH(AF84,Tables!$C$244:$C$263,1),1),ROWS(Tables!$C$244:$C$263)-1))))*(INDEX(Tables!$D$244:$D$263,MAX(1,MIN(IFERROR(MATCH(AF84,Tables!$C$244:$C$263,1),1),ROWS(Tables!$C$244:$C$263)-1))+1)-INDEX(Tables!$D$244:$D$263,MAX(1,MIN(IFERROR(MATCH(AF84,Tables!$C$244:$C$263,1),1),ROWS(Tables!$C$244:$C$263)-1))))/(INDEX(Tables!$C$244:$C$263,MAX(1,MIN(IFERROR(MATCH(AF84,Tables!$C$244:$C$263,1),1),ROWS(Tables!$C$244:$C$263)-1))+1)-INDEX(Tables!$C$244:$C$263,MAX(1,MIN(IFERROR(MATCH(AF84,Tables!$C$244:$C$263,1),1),ROWS(Tables!$C$244:$C$263)-1))))),(INDEX(Tables!$F$244:$F$263,MAX(1,MIN(IFERROR(MATCH(AF84,Tables!$E$244:$E$263,1),1),ROWS(Tables!$E$244:$E$263)-1)))+(AF84-INDEX(Tables!$E$244:$E$263,MAX(1,MIN(IFERROR(MATCH(AF84,Tables!$E$244:$E$263,1),1),ROWS(Tables!$E$244:$E$263)-1))))*(INDEX(Tables!$F$244:$F$263,MAX(1,MIN(IFERROR(MATCH(AF84,Tables!$E$244:$E$263,1),1),ROWS(Tables!$E$244:$E$263)-1))+1)-INDEX(Tables!$F$244:$F$263,MAX(1,MIN(IFERROR(MATCH(AF84,Tables!$E$244:$E$263,1),1),ROWS(Tables!$E$244:$E$263)-1))))/(INDEX(Tables!$E$244:$E$263,MAX(1,MIN(IFERROR(MATCH(AF84,Tables!$E$244:$E$263,1),1),ROWS(Tables!$E$244:$E$263)-1))+1)-INDEX(Tables!$E$244:$E$263,MAX(1,MIN(IFERROR(MATCH(AF84,Tables!$E$244:$E$263,1),1),ROWS(Tables!$E$244:$E$263)-1)))))))</f>
        <v>9.7669999999999995</v>
      </c>
      <c r="AV84" s="181">
        <f>IF(P84&lt;6,(INDEX(Tables!$B$260:$B$274,MAX(1,MIN(IFERROR(MATCH(U84,Tables!$A$260:$A$274,1),1),ROWS(Tables!$A$260:$A$274)-1)))+(U84-INDEX(Tables!$A$260:$A$274,MAX(1,MIN(IFERROR(MATCH(U84,Tables!$A$260:$A$274,1),1),ROWS(Tables!$A$260:$A$274)-1))))*(INDEX(Tables!$B$260:$B$274,MAX(1,MIN(IFERROR(MATCH(U84,Tables!$A$260:$A$274,1),1),ROWS(Tables!$A$260:$A$274)-1))+1)-INDEX(Tables!$B$260:$B$274,MAX(1,MIN(IFERROR(MATCH(U84,Tables!$A$260:$A$274,1),1),ROWS(Tables!$A$260:$A$274)-1))))/(INDEX(Tables!$A$260:$A$274,MAX(1,MIN(IFERROR(MATCH(U84,Tables!$A$260:$A$274,1),1),ROWS(Tables!$A$260:$A$274)-1))+1)-INDEX(Tables!$A$260:$A$274,MAX(1,MIN(IFERROR(MATCH(U84,Tables!$A$260:$A$274,1),1),ROWS(Tables!$A$260:$A$274)-1))))),IF(P84&lt;8,(INDEX(Tables!$D$260:$D$274,MAX(1,MIN(IFERROR(MATCH(U84,Tables!$C$260:$C$274,1),1),ROWS(Tables!$C$260:$C$274)-1)))+(U84-INDEX(Tables!$C$260:$C$274,MAX(1,MIN(IFERROR(MATCH(U84,Tables!$C$260:$C$274,1),1),ROWS(Tables!$C$260:$C$274)-1))))*(INDEX(Tables!$D$260:$D$274,MAX(1,MIN(IFERROR(MATCH(U84,Tables!$C$260:$C$274,1),1),ROWS(Tables!$C$260:$C$274)-1))+1)-INDEX(Tables!$D$260:$D$274,MAX(1,MIN(IFERROR(MATCH(U84,Tables!$C$260:$C$274,1),1),ROWS(Tables!$C$260:$C$274)-1))))/(INDEX(Tables!$C$260:$C$274,MAX(1,MIN(IFERROR(MATCH(U84,Tables!$C$260:$C$274,1),1),ROWS(Tables!$C$260:$C$274)-1))+1)-INDEX(Tables!$C$260:$C$274,MAX(1,MIN(IFERROR(MATCH(U84,Tables!$C$260:$C$274,1),1),ROWS(Tables!$C$260:$C$274)-1))))),IF(P84&lt;10,(INDEX(Tables!$F$260:$F$274,MAX(1,MIN(IFERROR(MATCH(U84,Tables!$E$260:$E$274,1),1),ROWS(Tables!$E$260:$E$274)-1)))+(U84-INDEX(Tables!$E$260:$E$274,MAX(1,MIN(IFERROR(MATCH(U84,Tables!$E$260:$E$274,1),1),ROWS(Tables!$E$260:$E$274)-1))))*(INDEX(Tables!$F$260:$F$274,MAX(1,MIN(IFERROR(MATCH(U84,Tables!$E$260:$E$274,1),1),ROWS(Tables!$E$260:$E$274)-1))+1)-INDEX(Tables!$F$260:$F$274,MAX(1,MIN(IFERROR(MATCH(U84,Tables!$E$260:$E$274,1),1),ROWS(Tables!$E$260:$E$274)-1))))/(INDEX(Tables!$E$260:$E$274,MAX(1,MIN(IFERROR(MATCH(U84,Tables!$E$260:$E$274,1),1),ROWS(Tables!$E$260:$E$274)-1))+1)-INDEX(Tables!$E$260:$E$274,MAX(1,MIN(IFERROR(MATCH(U84,Tables!$E$260:$E$274,1),1),ROWS(Tables!$E$260:$E$274)-1))))),(INDEX(Tables!$H$260:$H$274,MAX(1,MIN(IFERROR(MATCH(U84,Tables!$G$260:$G$274,1),1),ROWS(Tables!$G$260:$G$274)-1)))+(U84-INDEX(Tables!$G$260:$G$274,MAX(1,MIN(IFERROR(MATCH(U84,Tables!$G$260:$G$274,1),1),ROWS(Tables!$G$260:$G$274)-1))))*(INDEX(Tables!$H$260:$H$274,MAX(1,MIN(IFERROR(MATCH(U84,Tables!$G$260:$G$274,1),1),ROWS(Tables!$G$260:$G$274)-1))+1)-INDEX(Tables!$H$260:$H$274,MAX(1,MIN(IFERROR(MATCH(U84,Tables!$G$260:$G$274,1),1),ROWS(Tables!$G$260:$G$274)-1))))/(INDEX(Tables!$G$260:$G$274,MAX(1,MIN(IFERROR(MATCH(U84,Tables!$G$260:$G$274,1),1),ROWS(Tables!$G$260:$G$274)-1))+1)-INDEX(Tables!$G$260:$G$274,MAX(1,MIN(IFERROR(MATCH(U84,Tables!$G$260:$G$274,1),1),ROWS(Tables!$G$260:$G$274)-1))))))))</f>
        <v>0.51828571428571424</v>
      </c>
      <c r="AW84" s="181">
        <f t="shared" si="73"/>
        <v>476.52214125774293</v>
      </c>
      <c r="AX84" s="181">
        <f t="shared" si="74"/>
        <v>43907.692307692298</v>
      </c>
      <c r="AY84" s="181">
        <f t="shared" si="75"/>
        <v>54795.14848223931</v>
      </c>
      <c r="AZ84" s="181">
        <f t="shared" si="76"/>
        <v>16748.660216982098</v>
      </c>
      <c r="BA84" s="181">
        <f t="shared" si="77"/>
        <v>-800</v>
      </c>
      <c r="BB84" s="181">
        <f t="shared" si="78"/>
        <v>49225.558805826069</v>
      </c>
      <c r="BC84" s="181">
        <f t="shared" si="79"/>
        <v>46800</v>
      </c>
      <c r="BD84" s="181">
        <f>VLOOKUP(V84&amp;" "&amp;J84,Tables!$A$152:$E$239,4,FALSE)</f>
        <v>12000</v>
      </c>
      <c r="BE84" s="181">
        <f>VLOOKUP(V84&amp;" "&amp;J84,Tables!$A$152:$E$239,5,FALSE)</f>
        <v>23000</v>
      </c>
      <c r="BF84" s="181">
        <f t="shared" si="80"/>
        <v>8640</v>
      </c>
      <c r="BG84" s="181">
        <f t="shared" si="81"/>
        <v>16560</v>
      </c>
      <c r="BH84" s="181">
        <f t="shared" si="82"/>
        <v>44307.692307692305</v>
      </c>
      <c r="BI84" s="181">
        <f t="shared" si="83"/>
        <v>46800</v>
      </c>
      <c r="BJ84" s="181">
        <f t="shared" si="84"/>
        <v>49225.558805826069</v>
      </c>
      <c r="BK84" s="181">
        <f t="shared" si="85"/>
        <v>46800</v>
      </c>
      <c r="BL84" s="181">
        <f t="shared" si="86"/>
        <v>476.52214125774293</v>
      </c>
      <c r="BM84" s="181">
        <f t="shared" si="87"/>
        <v>8640</v>
      </c>
      <c r="BN84" s="181">
        <f t="shared" si="88"/>
        <v>554.68822982478935</v>
      </c>
      <c r="BO84" s="181">
        <f t="shared" si="89"/>
        <v>16560</v>
      </c>
      <c r="BP84" t="str">
        <f t="shared" si="90"/>
        <v>Pass</v>
      </c>
      <c r="BQ84" t="str">
        <f t="shared" si="91"/>
        <v>Fail</v>
      </c>
      <c r="BR84" t="str">
        <f t="shared" si="92"/>
        <v>Pass</v>
      </c>
      <c r="BS84" t="str">
        <f t="shared" si="93"/>
        <v>Pass</v>
      </c>
      <c r="BT84" t="str">
        <f t="shared" si="94"/>
        <v>Fail</v>
      </c>
      <c r="BU84" t="str">
        <f t="shared" si="95"/>
        <v>Effective Stress</v>
      </c>
    </row>
    <row r="85" spans="1:73">
      <c r="A85" t="s">
        <v>677</v>
      </c>
      <c r="B85" s="181">
        <v>83</v>
      </c>
      <c r="C85" t="s">
        <v>594</v>
      </c>
      <c r="D85" s="181">
        <v>48</v>
      </c>
      <c r="E85" s="181">
        <v>0.38800000000000001</v>
      </c>
      <c r="F85" t="s">
        <v>117</v>
      </c>
      <c r="G85" t="s">
        <v>119</v>
      </c>
      <c r="H85" t="s">
        <v>122</v>
      </c>
      <c r="I85" s="181">
        <v>1</v>
      </c>
      <c r="J85" t="s">
        <v>126</v>
      </c>
      <c r="K85" t="s">
        <v>129</v>
      </c>
      <c r="L85" s="181">
        <v>70</v>
      </c>
      <c r="M85" s="181">
        <v>800</v>
      </c>
      <c r="N85" t="s">
        <v>391</v>
      </c>
      <c r="O85" s="181">
        <v>120</v>
      </c>
      <c r="P85" s="181">
        <v>30</v>
      </c>
      <c r="Q85" s="181">
        <v>50</v>
      </c>
      <c r="R85" t="s">
        <v>417</v>
      </c>
      <c r="S85" t="s">
        <v>156</v>
      </c>
      <c r="T85" s="181">
        <v>70</v>
      </c>
      <c r="U85" s="181">
        <f>HLOOKUP(D85,'Highway Loading'!$C$155:$AD$156,2,FALSE)</f>
        <v>48</v>
      </c>
      <c r="V85" s="181">
        <f>IF(ISBLANK(G85),"",INDEX('Highway Loading'!$C$216:$AG$216,1,MATCH(G85,'Highway Loading'!$C$215:$AG$215,0)))</f>
        <v>65000</v>
      </c>
      <c r="W85" s="181">
        <f>INDEX('Highway Loading'!$I$245:$L$253,MATCH(H85,'Highway Loading'!$H$245:$H$253,0),MATCH(I85,'Highway Loading'!$I$244:$L$244,0))</f>
        <v>0.72</v>
      </c>
      <c r="X85" s="181">
        <f t="shared" si="64"/>
        <v>1</v>
      </c>
      <c r="Y85" s="181">
        <f>VLOOKUP(K85,'Highway Loading'!$B$283:$E$292,2,FALSE)</f>
        <v>29000000</v>
      </c>
      <c r="Z85" s="181">
        <f>VLOOKUP(K85,'Highway Loading'!$B$283:$E$292,3,FALSE)</f>
        <v>0.3</v>
      </c>
      <c r="AA85" s="181">
        <f>VLOOKUP(K85,'Highway Loading'!$B$283:$E$292,4,FALSE)</f>
        <v>6.4999999999999996E-6</v>
      </c>
      <c r="AB85" s="181">
        <f t="shared" si="65"/>
        <v>1</v>
      </c>
      <c r="AC85" s="181">
        <f>VLOOKUP(N85,'Highway Loading'!$B$256:$D$261,2,FALSE)</f>
        <v>1000</v>
      </c>
      <c r="AD85" s="181">
        <f>VLOOKUP(N85,'Highway Loading'!$B$256:$D$261,3,FALSE)</f>
        <v>10000</v>
      </c>
      <c r="AE85" s="181">
        <f>VLOOKUP(S85,'Highway Loading'!$B$340:$C$341,2,FALSE)</f>
        <v>10000</v>
      </c>
      <c r="AF85" s="181">
        <f t="shared" si="66"/>
        <v>8.083333333333333E-3</v>
      </c>
      <c r="AG85" s="181">
        <f t="shared" si="67"/>
        <v>7.2</v>
      </c>
      <c r="AH85" s="181">
        <f t="shared" si="68"/>
        <v>1.0416666666666667</v>
      </c>
      <c r="AI85" s="181">
        <f t="shared" si="69"/>
        <v>49484.536082474224</v>
      </c>
      <c r="AJ85" s="181">
        <f t="shared" si="70"/>
        <v>46800</v>
      </c>
      <c r="AK85" s="181">
        <f>IF(AC85=200,(INDEX(Tables!$B$17:$B$38,MAX(1,MIN(IFERROR(MATCH(AF85,Tables!$A$17:$A$38,1),1),ROWS(Tables!$A$17:$A$38)-1)))+(AF85-INDEX(Tables!$A$17:$A$38,MAX(1,MIN(IFERROR(MATCH(AF85,Tables!$A$17:$A$38,1),1),ROWS(Tables!$A$17:$A$38)-1))))*(INDEX(Tables!$B$17:$B$38,MAX(1,MIN(IFERROR(MATCH(AF85,Tables!$A$17:$A$38,1),1),ROWS(Tables!$A$17:$A$38)-1))+1)-INDEX(Tables!$B$17:$B$38,MAX(1,MIN(IFERROR(MATCH(AF85,Tables!$A$17:$A$38,1),1),ROWS(Tables!$A$17:$A$38)-1))))/(INDEX(Tables!$A$17:$A$38,MAX(1,MIN(IFERROR(MATCH(AF85,Tables!$A$17:$A$38,1),1),ROWS(Tables!$A$17:$A$38)-1))+1)-INDEX(Tables!$A$17:$A$38,MAX(1,MIN(IFERROR(MATCH(AF85,Tables!$A$17:$A$38,1),1),ROWS(Tables!$A$17:$A$38)-1))))),IF(AC85=500,(INDEX(Tables!$D$17:$D$38,MAX(1,MIN(IFERROR(MATCH(AF85,Tables!$C$17:$C$38,1),1),ROWS(Tables!$C$17:$C$38)-1)))+(AF85-INDEX(Tables!$C$17:$C$38,MAX(1,MIN(IFERROR(MATCH(AF85,Tables!$C$17:$C$38,1),1),ROWS(Tables!$C$17:$C$38)-1))))*(INDEX(Tables!$D$17:$D$38,MAX(1,MIN(IFERROR(MATCH(AF85,Tables!$C$17:$C$38,1),1),ROWS(Tables!$C$17:$C$38)-1))+1)-INDEX(Tables!$D$17:$D$38,MAX(1,MIN(IFERROR(MATCH(AF85,Tables!$C$17:$C$38,1),1),ROWS(Tables!$C$17:$C$38)-1))))/(INDEX(Tables!$C$17:$C$38,MAX(1,MIN(IFERROR(MATCH(AF85,Tables!$C$17:$C$38,1),1),ROWS(Tables!$C$17:$C$38)-1))+1)-INDEX(Tables!$C$17:$C$38,MAX(1,MIN(IFERROR(MATCH(AF85,Tables!$C$17:$C$38,1),1),ROWS(Tables!$C$17:$C$38)-1))))),IF(AC85=1000,(INDEX(Tables!$F$17:$F$38,MAX(1,MIN(IFERROR(MATCH(AF85,Tables!$E$17:$E$38,1),1),ROWS(Tables!$E$17:$E$38)-1)))+(AF85-INDEX(Tables!$E$17:$E$38,MAX(1,MIN(IFERROR(MATCH(AF85,Tables!$E$17:$E$38,1),1),ROWS(Tables!$E$17:$E$38)-1))))*(INDEX(Tables!$F$17:$F$38,MAX(1,MIN(IFERROR(MATCH(AF85,Tables!$E$17:$E$38,1),1),ROWS(Tables!$E$17:$E$38)-1))+1)-INDEX(Tables!$F$17:$F$38,MAX(1,MIN(IFERROR(MATCH(AF85,Tables!$E$17:$E$38,1),1),ROWS(Tables!$E$17:$E$38)-1))))/(INDEX(Tables!$E$17:$E$38,MAX(1,MIN(IFERROR(MATCH(AF85,Tables!$E$17:$E$38,1),1),ROWS(Tables!$E$17:$E$38)-1))+1)-INDEX(Tables!$E$17:$E$38,MAX(1,MIN(IFERROR(MATCH(AF85,Tables!$E$17:$E$38,1),1),ROWS(Tables!$E$17:$E$38)-1))))),(INDEX(Tables!$H$17:$H$38,MAX(1,MIN(IFERROR(MATCH(AF85,Tables!$G$17:$G$38,1),1),ROWS(Tables!$G$17:$G$38)-1)))+(AF85-INDEX(Tables!$G$17:$G$38,MAX(1,MIN(IFERROR(MATCH(AF85,Tables!$G$17:$G$38,1),1),ROWS(Tables!$G$17:$G$38)-1))))*(INDEX(Tables!$H$17:$H$38,MAX(1,MIN(IFERROR(MATCH(AF85,Tables!$G$17:$G$38,1),1),ROWS(Tables!$G$17:$G$38)-1))+1)-INDEX(Tables!$H$17:$H$38,MAX(1,MIN(IFERROR(MATCH(AF85,Tables!$G$17:$G$38,1),1),ROWS(Tables!$G$17:$G$38)-1))))/(INDEX(Tables!$G$17:$G$38,MAX(1,MIN(IFERROR(MATCH(AF85,Tables!$G$17:$G$38,1),1),ROWS(Tables!$G$17:$G$38)-1))+1)-INDEX(Tables!$G$17:$G$38,MAX(1,MIN(IFERROR(MATCH(AF85,Tables!$G$17:$G$38,1),1),ROWS(Tables!$G$17:$G$38)-1))))))))</f>
        <v>5266.3333333333339</v>
      </c>
      <c r="AL85" s="181">
        <f>IF(AC85&lt;1000,(INDEX(Tables!$B$43:$B$76,MAX(1,MIN(IFERROR(MATCH(AG85,Tables!$A$43:$A$76,1),1),ROWS(Tables!$A$43:$A$76)-1)))+(AG85-INDEX(Tables!$A$43:$A$76,MAX(1,MIN(IFERROR(MATCH(AG85,Tables!$A$43:$A$76,1),1),ROWS(Tables!$A$43:$A$76)-1))))*(INDEX(Tables!$B$43:$B$76,MAX(1,MIN(IFERROR(MATCH(AG85,Tables!$A$43:$A$76,1),1),ROWS(Tables!$A$43:$A$76)-1))+1)-INDEX(Tables!$B$43:$B$76,MAX(1,MIN(IFERROR(MATCH(AG85,Tables!$A$43:$A$76,1),1),ROWS(Tables!$A$43:$A$76)-1))))/(INDEX(Tables!$A$43:$A$76,MAX(1,MIN(IFERROR(MATCH(AG85,Tables!$A$43:$A$76,1),1),ROWS(Tables!$A$43:$A$76)-1))+1)-INDEX(Tables!$A$43:$A$76,MAX(1,MIN(IFERROR(MATCH(AG85,Tables!$A$43:$A$76,1),1),ROWS(Tables!$A$43:$A$76)-1))))),(INDEX(Tables!$D$43:$D$76,MAX(1,MIN(IFERROR(MATCH(AG85,Tables!$C$43:$C$76,1),1),ROWS(Tables!$C$43:$C$76)-1)))+(AG85-INDEX(Tables!$C$43:$C$76,MAX(1,MIN(IFERROR(MATCH(AG85,Tables!$C$43:$C$76,1),1),ROWS(Tables!$C$43:$C$76)-1))))*(INDEX(Tables!$D$43:$D$76,MAX(1,MIN(IFERROR(MATCH(AG85,Tables!$C$43:$C$76,1),1),ROWS(Tables!$C$43:$C$76)-1))+1)-INDEX(Tables!$D$43:$D$76,MAX(1,MIN(IFERROR(MATCH(AG85,Tables!$C$43:$C$76,1),1),ROWS(Tables!$C$43:$C$76)-1))))/(INDEX(Tables!$C$43:$C$76,MAX(1,MIN(IFERROR(MATCH(AG85,Tables!$C$43:$C$76,1),1),ROWS(Tables!$C$43:$C$76)-1))+1)-INDEX(Tables!$C$43:$C$76,MAX(1,MIN(IFERROR(MATCH(AG85,Tables!$C$43:$C$76,1),1),ROWS(Tables!$C$43:$C$76)-1))))))</f>
        <v>1.0784</v>
      </c>
      <c r="AM85" s="181">
        <f>(INDEX(Tables!$B$80:$B$87,MAX(1,MIN(IFERROR(MATCH(AH85,Tables!$A$80:$A$87,1),1),ROWS(Tables!$A$80:$A$87)-1)))+(AH85-INDEX(Tables!$A$80:$A$87,MAX(1,MIN(IFERROR(MATCH(AH85,Tables!$A$80:$A$87,1),1),ROWS(Tables!$A$80:$A$87)-1))))*(INDEX(Tables!$B$80:$B$87,MAX(1,MIN(IFERROR(MATCH(AH85,Tables!$A$80:$A$87,1),1),ROWS(Tables!$A$80:$A$87)-1))+1)-INDEX(Tables!$B$80:$B$87,MAX(1,MIN(IFERROR(MATCH(AH85,Tables!$A$80:$A$87,1),1),ROWS(Tables!$A$80:$A$87)-1))))/(INDEX(Tables!$A$80:$A$87,MAX(1,MIN(IFERROR(MATCH(AH85,Tables!$A$80:$A$87,1),1),ROWS(Tables!$A$80:$A$87)-1))+1)-INDEX(Tables!$A$80:$A$87,MAX(1,MIN(IFERROR(MATCH(AH85,Tables!$A$80:$A$87,1),1),ROWS(Tables!$A$80:$A$87)-1)))))</f>
        <v>0.89595000000000002</v>
      </c>
      <c r="AN85" s="181">
        <f t="shared" si="71"/>
        <v>16960.972212800003</v>
      </c>
      <c r="AO85" s="181">
        <f>(INDEX(Tables!$B$91:$B$94,MAX(1,MIN(IFERROR(MATCH(P85,Tables!$A$91:$A$94,1),1),ROWS(Tables!$A$91:$A$94)-1)))+(P85-INDEX(Tables!$A$91:$A$94,MAX(1,MIN(IFERROR(MATCH(P85,Tables!$A$91:$A$94,1),1),ROWS(Tables!$A$91:$A$94)-1))))*(INDEX(Tables!$B$91:$B$94,MAX(1,MIN(IFERROR(MATCH(P85,Tables!$A$91:$A$94,1),1),ROWS(Tables!$A$91:$A$94)-1))+1)-INDEX(Tables!$B$91:$B$94,MAX(1,MIN(IFERROR(MATCH(P85,Tables!$A$91:$A$94,1),1),ROWS(Tables!$A$91:$A$94)-1))))/(INDEX(Tables!$A$91:$A$94,MAX(1,MIN(IFERROR(MATCH(P85,Tables!$A$91:$A$94,1),1),ROWS(Tables!$A$91:$A$94)-1))+1)-INDEX(Tables!$A$91:$A$94,MAX(1,MIN(IFERROR(MATCH(P85,Tables!$A$91:$A$94,1),1),ROWS(Tables!$A$91:$A$94)-1)))))</f>
        <v>1</v>
      </c>
      <c r="AP85" s="181">
        <f>IF(AD85=5000,(INDEX(Tables!$B$99:$B$118,MAX(1,MIN(IFERROR(MATCH(AF85,Tables!$A$99:$A$118,1),1),ROWS(Tables!$A$99:$A$118)-1)))+(AF85-INDEX(Tables!$A$99:$A$118,MAX(1,MIN(IFERROR(MATCH(AF85,Tables!$A$99:$A$118,1),1),ROWS(Tables!$A$99:$A$118)-1))))*(INDEX(Tables!$B$99:$B$118,MAX(1,MIN(IFERROR(MATCH(AF85,Tables!$A$99:$A$118,1),1),ROWS(Tables!$A$99:$A$118)-1))+1)-INDEX(Tables!$B$99:$B$118,MAX(1,MIN(IFERROR(MATCH(AF85,Tables!$A$99:$A$118,1),1),ROWS(Tables!$A$99:$A$118)-1))))/(INDEX(Tables!$A$99:$A$118,MAX(1,MIN(IFERROR(MATCH(AF85,Tables!$A$99:$A$118,1),1),ROWS(Tables!$A$99:$A$118)-1))+1)-INDEX(Tables!$A$99:$A$118,MAX(1,MIN(IFERROR(MATCH(AF85,Tables!$A$99:$A$118,1),1),ROWS(Tables!$A$99:$A$118)-1))))),IF(AD85=10000,(INDEX(Tables!$D$99:$D$118,MAX(1,MIN(IFERROR(MATCH(AF85,Tables!$C$99:$C$118,1),1),ROWS(Tables!$C$99:$C$118)-1)))+(AF85-INDEX(Tables!$C$99:$C$118,MAX(1,MIN(IFERROR(MATCH(AF85,Tables!$C$99:$C$118,1),1),ROWS(Tables!$C$99:$C$118)-1))))*(INDEX(Tables!$D$99:$D$118,MAX(1,MIN(IFERROR(MATCH(AF85,Tables!$C$99:$C$118,1),1),ROWS(Tables!$C$99:$C$118)-1))+1)-INDEX(Tables!$D$99:$D$118,MAX(1,MIN(IFERROR(MATCH(AF85,Tables!$C$99:$C$118,1),1),ROWS(Tables!$C$99:$C$118)-1))))/(INDEX(Tables!$C$99:$C$118,MAX(1,MIN(IFERROR(MATCH(AF85,Tables!$C$99:$C$118,1),1),ROWS(Tables!$C$99:$C$118)-1))+1)-INDEX(Tables!$C$99:$C$118,MAX(1,MIN(IFERROR(MATCH(AF85,Tables!$C$99:$C$118,1),1),ROWS(Tables!$C$99:$C$118)-1))))),(INDEX(Tables!$F$99:$F$118,MAX(1,MIN(IFERROR(MATCH(AF85,Tables!$E$99:$E$118,1),1),ROWS(Tables!$E$99:$E$118)-1)))+(AF85-INDEX(Tables!$E$99:$E$118,MAX(1,MIN(IFERROR(MATCH(AF85,Tables!$E$99:$E$118,1),1),ROWS(Tables!$E$99:$E$118)-1))))*(INDEX(Tables!$F$99:$F$118,MAX(1,MIN(IFERROR(MATCH(AF85,Tables!$E$99:$E$118,1),1),ROWS(Tables!$E$99:$E$118)-1))+1)-INDEX(Tables!$F$99:$F$118,MAX(1,MIN(IFERROR(MATCH(AF85,Tables!$E$99:$E$118,1),1),ROWS(Tables!$E$99:$E$118)-1))))/(INDEX(Tables!$E$99:$E$118,MAX(1,MIN(IFERROR(MATCH(AF85,Tables!$E$99:$E$118,1),1),ROWS(Tables!$E$99:$E$118)-1))+1)-INDEX(Tables!$E$99:$E$118,MAX(1,MIN(IFERROR(MATCH(AF85,Tables!$E$99:$E$118,1),1),ROWS(Tables!$E$99:$E$118)-1)))))))</f>
        <v>10.99765891472868</v>
      </c>
      <c r="AQ85" s="181">
        <f>IF(P85&lt;6,(INDEX(Tables!$B$123:$B$138,MAX(1,MIN(IFERROR(MATCH(U85,Tables!$A$123:$A$138,1),1),ROWS(Tables!$A$123:$A$138)-1)))+(U85-INDEX(Tables!$A$123:$A$138,MAX(1,MIN(IFERROR(MATCH(U85,Tables!$A$123:$A$138,1),1),ROWS(Tables!$A$123:$A$138)-1))))*(INDEX(Tables!$B$123:$B$138,MAX(1,MIN(IFERROR(MATCH(U85,Tables!$A$123:$A$138,1),1),ROWS(Tables!$A$123:$A$138)-1))+1)-INDEX(Tables!$B$123:$B$138,MAX(1,MIN(IFERROR(MATCH(U85,Tables!$A$123:$A$138,1),1),ROWS(Tables!$A$123:$A$138)-1))))/(INDEX(Tables!$A$123:$A$138,MAX(1,MIN(IFERROR(MATCH(U85,Tables!$A$123:$A$138,1),1),ROWS(Tables!$A$123:$A$138)-1))+1)-INDEX(Tables!$A$123:$A$138,MAX(1,MIN(IFERROR(MATCH(U85,Tables!$A$123:$A$138,1),1),ROWS(Tables!$A$123:$A$138)-1))))),IF(P85&lt;8,(INDEX(Tables!$D$123:$D$138,MAX(1,MIN(IFERROR(MATCH(U85,Tables!$C$123:$C$138,1),1),ROWS(Tables!$C$123:$C$138)-1)))+(U85-INDEX(Tables!$C$123:$C$138,MAX(1,MIN(IFERROR(MATCH(U85,Tables!$C$123:$C$138,1),1),ROWS(Tables!$C$123:$C$138)-1))))*(INDEX(Tables!$D$123:$D$138,MAX(1,MIN(IFERROR(MATCH(U85,Tables!$C$123:$C$138,1),1),ROWS(Tables!$C$123:$C$138)-1))+1)-INDEX(Tables!$D$123:$D$138,MAX(1,MIN(IFERROR(MATCH(U85,Tables!$C$123:$C$138,1),1),ROWS(Tables!$C$123:$C$138)-1))))/(INDEX(Tables!$C$123:$C$138,MAX(1,MIN(IFERROR(MATCH(U85,Tables!$C$123:$C$138,1),1),ROWS(Tables!$C$123:$C$138)-1))+1)-INDEX(Tables!$C$123:$C$138,MAX(1,MIN(IFERROR(MATCH(U85,Tables!$C$123:$C$138,1),1),ROWS(Tables!$C$123:$C$138)-1))))),IF(P85&lt;10,(INDEX(Tables!$F$123:$F$138,MAX(1,MIN(IFERROR(MATCH(U85,Tables!$E$123:$E$138,1),1),ROWS(Tables!$E$123:$E$138)-1)))+(U85-INDEX(Tables!$E$123:$E$138,MAX(1,MIN(IFERROR(MATCH(U85,Tables!$E$123:$E$138,1),1),ROWS(Tables!$E$123:$E$138)-1))))*(INDEX(Tables!$F$123:$F$138,MAX(1,MIN(IFERROR(MATCH(U85,Tables!$E$123:$E$138,1),1),ROWS(Tables!$E$123:$E$138)-1))+1)-INDEX(Tables!$F$123:$F$138,MAX(1,MIN(IFERROR(MATCH(U85,Tables!$E$123:$E$138,1),1),ROWS(Tables!$E$123:$E$138)-1))))/(INDEX(Tables!$E$123:$E$138,MAX(1,MIN(IFERROR(MATCH(U85,Tables!$E$123:$E$138,1),1),ROWS(Tables!$E$123:$E$138)-1))+1)-INDEX(Tables!$E$123:$E$138,MAX(1,MIN(IFERROR(MATCH(U85,Tables!$E$123:$E$138,1),1),ROWS(Tables!$E$123:$E$138)-1))))),(INDEX(Tables!$H$123:$H$138,MAX(1,MIN(IFERROR(MATCH(U85,Tables!$G$123:$G$138,1),1),ROWS(Tables!$G$123:$G$138)-1)))+(U85-INDEX(Tables!$G$123:$G$138,MAX(1,MIN(IFERROR(MATCH(U85,Tables!$G$123:$G$138,1),1),ROWS(Tables!$G$123:$G$138)-1))))*(INDEX(Tables!$H$123:$H$138,MAX(1,MIN(IFERROR(MATCH(U85,Tables!$G$123:$G$138,1),1),ROWS(Tables!$G$123:$G$138)-1))+1)-INDEX(Tables!$H$123:$H$138,MAX(1,MIN(IFERROR(MATCH(U85,Tables!$G$123:$G$138,1),1),ROWS(Tables!$G$123:$G$138)-1))))/(INDEX(Tables!$G$123:$G$138,MAX(1,MIN(IFERROR(MATCH(U85,Tables!$G$123:$G$138,1),1),ROWS(Tables!$G$123:$G$138)-1))+1)-INDEX(Tables!$G$123:$G$138,MAX(1,MIN(IFERROR(MATCH(U85,Tables!$G$123:$G$138,1),1),ROWS(Tables!$G$123:$G$138)-1))))))))</f>
        <v>0.46899999999999997</v>
      </c>
      <c r="AR85" s="181">
        <f>IF(OR(P85&gt;=4,U85&gt;12),VLOOKUP(R85&amp;" "&amp;S85,Tables!$D$143:$F$148,2,FALSE),VLOOKUP(R85&amp;" "&amp;S85,Tables!$A$143:$C$148,2,FALSE))</f>
        <v>1.1000000000000001</v>
      </c>
      <c r="AS85" s="181">
        <f>IF(OR(P85&gt;=4,U85&gt;12),VLOOKUP(R85&amp;" "&amp;S85,Tables!$D$143:$F$148,3,FALSE),VLOOKUP(R85&amp;" "&amp;S85,Tables!$A$143:$C$148,3,FALSE))</f>
        <v>1</v>
      </c>
      <c r="AT85" s="181">
        <f t="shared" si="72"/>
        <v>394.00640514642538</v>
      </c>
      <c r="AU85" s="181">
        <f>IF(AD85=5000,(INDEX(Tables!$B$244:$B$263,MAX(1,MIN(IFERROR(MATCH(AF85,Tables!$A$244:$A$263,1),1),ROWS(Tables!$A$244:$A$263)-1)))+(AF85-INDEX(Tables!$A$244:$A$263,MAX(1,MIN(IFERROR(MATCH(AF85,Tables!$A$244:$A$263,1),1),ROWS(Tables!$A$244:$A$263)-1))))*(INDEX(Tables!$B$244:$B$263,MAX(1,MIN(IFERROR(MATCH(AF85,Tables!$A$244:$A$263,1),1),ROWS(Tables!$A$244:$A$263)-1))+1)-INDEX(Tables!$B$244:$B$263,MAX(1,MIN(IFERROR(MATCH(AF85,Tables!$A$244:$A$263,1),1),ROWS(Tables!$A$244:$A$263)-1))))/(INDEX(Tables!$A$244:$A$263,MAX(1,MIN(IFERROR(MATCH(AF85,Tables!$A$244:$A$263,1),1),ROWS(Tables!$A$244:$A$263)-1))+1)-INDEX(Tables!$A$244:$A$263,MAX(1,MIN(IFERROR(MATCH(AF85,Tables!$A$244:$A$263,1),1),ROWS(Tables!$A$244:$A$263)-1))))),IF(AD85=10000,(INDEX(Tables!$D$244:$D$263,MAX(1,MIN(IFERROR(MATCH(AF85,Tables!$C$244:$C$263,1),1),ROWS(Tables!$C$244:$C$263)-1)))+(AF85-INDEX(Tables!$C$244:$C$263,MAX(1,MIN(IFERROR(MATCH(AF85,Tables!$C$244:$C$263,1),1),ROWS(Tables!$C$244:$C$263)-1))))*(INDEX(Tables!$D$244:$D$263,MAX(1,MIN(IFERROR(MATCH(AF85,Tables!$C$244:$C$263,1),1),ROWS(Tables!$C$244:$C$263)-1))+1)-INDEX(Tables!$D$244:$D$263,MAX(1,MIN(IFERROR(MATCH(AF85,Tables!$C$244:$C$263,1),1),ROWS(Tables!$C$244:$C$263)-1))))/(INDEX(Tables!$C$244:$C$263,MAX(1,MIN(IFERROR(MATCH(AF85,Tables!$C$244:$C$263,1),1),ROWS(Tables!$C$244:$C$263)-1))+1)-INDEX(Tables!$C$244:$C$263,MAX(1,MIN(IFERROR(MATCH(AF85,Tables!$C$244:$C$263,1),1),ROWS(Tables!$C$244:$C$263)-1))))),(INDEX(Tables!$F$244:$F$263,MAX(1,MIN(IFERROR(MATCH(AF85,Tables!$E$244:$E$263,1),1),ROWS(Tables!$E$244:$E$263)-1)))+(AF85-INDEX(Tables!$E$244:$E$263,MAX(1,MIN(IFERROR(MATCH(AF85,Tables!$E$244:$E$263,1),1),ROWS(Tables!$E$244:$E$263)-1))))*(INDEX(Tables!$F$244:$F$263,MAX(1,MIN(IFERROR(MATCH(AF85,Tables!$E$244:$E$263,1),1),ROWS(Tables!$E$244:$E$263)-1))+1)-INDEX(Tables!$F$244:$F$263,MAX(1,MIN(IFERROR(MATCH(AF85,Tables!$E$244:$E$263,1),1),ROWS(Tables!$E$244:$E$263)-1))))/(INDEX(Tables!$E$244:$E$263,MAX(1,MIN(IFERROR(MATCH(AF85,Tables!$E$244:$E$263,1),1),ROWS(Tables!$E$244:$E$263)-1))+1)-INDEX(Tables!$E$244:$E$263,MAX(1,MIN(IFERROR(MATCH(AF85,Tables!$E$244:$E$263,1),1),ROWS(Tables!$E$244:$E$263)-1)))))))</f>
        <v>9.7669999999999995</v>
      </c>
      <c r="AV85" s="181">
        <f>IF(P85&lt;6,(INDEX(Tables!$B$260:$B$274,MAX(1,MIN(IFERROR(MATCH(U85,Tables!$A$260:$A$274,1),1),ROWS(Tables!$A$260:$A$274)-1)))+(U85-INDEX(Tables!$A$260:$A$274,MAX(1,MIN(IFERROR(MATCH(U85,Tables!$A$260:$A$274,1),1),ROWS(Tables!$A$260:$A$274)-1))))*(INDEX(Tables!$B$260:$B$274,MAX(1,MIN(IFERROR(MATCH(U85,Tables!$A$260:$A$274,1),1),ROWS(Tables!$A$260:$A$274)-1))+1)-INDEX(Tables!$B$260:$B$274,MAX(1,MIN(IFERROR(MATCH(U85,Tables!$A$260:$A$274,1),1),ROWS(Tables!$A$260:$A$274)-1))))/(INDEX(Tables!$A$260:$A$274,MAX(1,MIN(IFERROR(MATCH(U85,Tables!$A$260:$A$274,1),1),ROWS(Tables!$A$260:$A$274)-1))+1)-INDEX(Tables!$A$260:$A$274,MAX(1,MIN(IFERROR(MATCH(U85,Tables!$A$260:$A$274,1),1),ROWS(Tables!$A$260:$A$274)-1))))),IF(P85&lt;8,(INDEX(Tables!$D$260:$D$274,MAX(1,MIN(IFERROR(MATCH(U85,Tables!$C$260:$C$274,1),1),ROWS(Tables!$C$260:$C$274)-1)))+(U85-INDEX(Tables!$C$260:$C$274,MAX(1,MIN(IFERROR(MATCH(U85,Tables!$C$260:$C$274,1),1),ROWS(Tables!$C$260:$C$274)-1))))*(INDEX(Tables!$D$260:$D$274,MAX(1,MIN(IFERROR(MATCH(U85,Tables!$C$260:$C$274,1),1),ROWS(Tables!$C$260:$C$274)-1))+1)-INDEX(Tables!$D$260:$D$274,MAX(1,MIN(IFERROR(MATCH(U85,Tables!$C$260:$C$274,1),1),ROWS(Tables!$C$260:$C$274)-1))))/(INDEX(Tables!$C$260:$C$274,MAX(1,MIN(IFERROR(MATCH(U85,Tables!$C$260:$C$274,1),1),ROWS(Tables!$C$260:$C$274)-1))+1)-INDEX(Tables!$C$260:$C$274,MAX(1,MIN(IFERROR(MATCH(U85,Tables!$C$260:$C$274,1),1),ROWS(Tables!$C$260:$C$274)-1))))),IF(P85&lt;10,(INDEX(Tables!$F$260:$F$274,MAX(1,MIN(IFERROR(MATCH(U85,Tables!$E$260:$E$274,1),1),ROWS(Tables!$E$260:$E$274)-1)))+(U85-INDEX(Tables!$E$260:$E$274,MAX(1,MIN(IFERROR(MATCH(U85,Tables!$E$260:$E$274,1),1),ROWS(Tables!$E$260:$E$274)-1))))*(INDEX(Tables!$F$260:$F$274,MAX(1,MIN(IFERROR(MATCH(U85,Tables!$E$260:$E$274,1),1),ROWS(Tables!$E$260:$E$274)-1))+1)-INDEX(Tables!$F$260:$F$274,MAX(1,MIN(IFERROR(MATCH(U85,Tables!$E$260:$E$274,1),1),ROWS(Tables!$E$260:$E$274)-1))))/(INDEX(Tables!$E$260:$E$274,MAX(1,MIN(IFERROR(MATCH(U85,Tables!$E$260:$E$274,1),1),ROWS(Tables!$E$260:$E$274)-1))+1)-INDEX(Tables!$E$260:$E$274,MAX(1,MIN(IFERROR(MATCH(U85,Tables!$E$260:$E$274,1),1),ROWS(Tables!$E$260:$E$274)-1))))),(INDEX(Tables!$H$260:$H$274,MAX(1,MIN(IFERROR(MATCH(U85,Tables!$G$260:$G$274,1),1),ROWS(Tables!$G$260:$G$274)-1)))+(U85-INDEX(Tables!$G$260:$G$274,MAX(1,MIN(IFERROR(MATCH(U85,Tables!$G$260:$G$274,1),1),ROWS(Tables!$G$260:$G$274)-1))))*(INDEX(Tables!$H$260:$H$274,MAX(1,MIN(IFERROR(MATCH(U85,Tables!$G$260:$G$274,1),1),ROWS(Tables!$G$260:$G$274)-1))+1)-INDEX(Tables!$H$260:$H$274,MAX(1,MIN(IFERROR(MATCH(U85,Tables!$G$260:$G$274,1),1),ROWS(Tables!$G$260:$G$274)-1))))/(INDEX(Tables!$G$260:$G$274,MAX(1,MIN(IFERROR(MATCH(U85,Tables!$G$260:$G$274,1),1),ROWS(Tables!$G$260:$G$274)-1))+1)-INDEX(Tables!$G$260:$G$274,MAX(1,MIN(IFERROR(MATCH(U85,Tables!$G$260:$G$274,1),1),ROWS(Tables!$G$260:$G$274)-1))))))))</f>
        <v>0.45700000000000002</v>
      </c>
      <c r="AW85" s="181">
        <f t="shared" si="73"/>
        <v>340.96325694444448</v>
      </c>
      <c r="AX85" s="181">
        <f t="shared" si="74"/>
        <v>49084.536082474224</v>
      </c>
      <c r="AY85" s="181">
        <f t="shared" si="75"/>
        <v>66439.514700420652</v>
      </c>
      <c r="AZ85" s="181">
        <f t="shared" si="76"/>
        <v>20154.615745526709</v>
      </c>
      <c r="BA85" s="181">
        <f t="shared" si="77"/>
        <v>-800</v>
      </c>
      <c r="BB85" s="181">
        <f t="shared" si="78"/>
        <v>59592.533632391831</v>
      </c>
      <c r="BC85" s="181">
        <f t="shared" si="79"/>
        <v>46800</v>
      </c>
      <c r="BD85" s="181">
        <f>VLOOKUP(V85&amp;" "&amp;J85,Tables!$A$152:$E$239,4,FALSE)</f>
        <v>12000</v>
      </c>
      <c r="BE85" s="181">
        <f>VLOOKUP(V85&amp;" "&amp;J85,Tables!$A$152:$E$239,5,FALSE)</f>
        <v>23000</v>
      </c>
      <c r="BF85" s="181">
        <f t="shared" si="80"/>
        <v>8640</v>
      </c>
      <c r="BG85" s="181">
        <f t="shared" si="81"/>
        <v>16560</v>
      </c>
      <c r="BH85" s="181">
        <f t="shared" si="82"/>
        <v>49484.536082474224</v>
      </c>
      <c r="BI85" s="181">
        <f t="shared" si="83"/>
        <v>46800</v>
      </c>
      <c r="BJ85" s="181">
        <f t="shared" si="84"/>
        <v>59592.533632391831</v>
      </c>
      <c r="BK85" s="181">
        <f t="shared" si="85"/>
        <v>46800</v>
      </c>
      <c r="BL85" s="181">
        <f t="shared" si="86"/>
        <v>340.96325694444448</v>
      </c>
      <c r="BM85" s="181">
        <f t="shared" si="87"/>
        <v>8640</v>
      </c>
      <c r="BN85" s="181">
        <f t="shared" si="88"/>
        <v>394.00640514642538</v>
      </c>
      <c r="BO85" s="181">
        <f t="shared" si="89"/>
        <v>16560</v>
      </c>
      <c r="BP85" t="str">
        <f t="shared" si="90"/>
        <v>Fail</v>
      </c>
      <c r="BQ85" t="str">
        <f t="shared" si="91"/>
        <v>Fail</v>
      </c>
      <c r="BR85" t="str">
        <f t="shared" si="92"/>
        <v>Pass</v>
      </c>
      <c r="BS85" t="str">
        <f t="shared" si="93"/>
        <v>Pass</v>
      </c>
      <c r="BT85" t="str">
        <f t="shared" si="94"/>
        <v>Fail</v>
      </c>
      <c r="BU85" t="str">
        <f t="shared" si="95"/>
        <v>Effective Stress</v>
      </c>
    </row>
    <row r="86" spans="1:73">
      <c r="A86" t="s">
        <v>678</v>
      </c>
      <c r="B86" s="181">
        <v>84</v>
      </c>
      <c r="C86" t="s">
        <v>594</v>
      </c>
      <c r="D86" s="181">
        <v>6</v>
      </c>
      <c r="E86" s="181">
        <v>0.13400000000000001</v>
      </c>
      <c r="F86" t="s">
        <v>117</v>
      </c>
      <c r="G86" t="s">
        <v>119</v>
      </c>
      <c r="H86" t="s">
        <v>122</v>
      </c>
      <c r="I86" s="181">
        <v>1</v>
      </c>
      <c r="J86" t="s">
        <v>126</v>
      </c>
      <c r="K86" t="s">
        <v>129</v>
      </c>
      <c r="L86" s="181">
        <v>70</v>
      </c>
      <c r="M86" s="181">
        <v>1000</v>
      </c>
      <c r="N86" t="s">
        <v>391</v>
      </c>
      <c r="O86" s="181">
        <v>120</v>
      </c>
      <c r="P86" s="181">
        <v>1</v>
      </c>
      <c r="Q86" s="181">
        <v>8.625</v>
      </c>
      <c r="R86" t="s">
        <v>154</v>
      </c>
      <c r="S86" t="s">
        <v>156</v>
      </c>
      <c r="T86" s="181">
        <v>70</v>
      </c>
      <c r="U86" s="181">
        <f>HLOOKUP(D86,'Highway Loading'!$C$155:$AD$156,2,FALSE)</f>
        <v>6.625</v>
      </c>
      <c r="V86" s="181">
        <f>IF(ISBLANK(G86),"",INDEX('Highway Loading'!$C$216:$AG$216,1,MATCH(G86,'Highway Loading'!$C$215:$AG$215,0)))</f>
        <v>65000</v>
      </c>
      <c r="W86" s="181">
        <f>INDEX('Highway Loading'!$I$245:$L$253,MATCH(H86,'Highway Loading'!$H$245:$H$253,0),MATCH(I86,'Highway Loading'!$I$244:$L$244,0))</f>
        <v>0.72</v>
      </c>
      <c r="X86" s="181">
        <f t="shared" si="64"/>
        <v>1</v>
      </c>
      <c r="Y86" s="181">
        <f>VLOOKUP(K86,'Highway Loading'!$B$283:$E$292,2,FALSE)</f>
        <v>29000000</v>
      </c>
      <c r="Z86" s="181">
        <f>VLOOKUP(K86,'Highway Loading'!$B$283:$E$292,3,FALSE)</f>
        <v>0.3</v>
      </c>
      <c r="AA86" s="181">
        <f>VLOOKUP(K86,'Highway Loading'!$B$283:$E$292,4,FALSE)</f>
        <v>6.4999999999999996E-6</v>
      </c>
      <c r="AB86" s="181">
        <f t="shared" si="65"/>
        <v>1</v>
      </c>
      <c r="AC86" s="181">
        <f>VLOOKUP(N86,'Highway Loading'!$B$256:$D$261,2,FALSE)</f>
        <v>1000</v>
      </c>
      <c r="AD86" s="181">
        <f>VLOOKUP(N86,'Highway Loading'!$B$256:$D$261,3,FALSE)</f>
        <v>10000</v>
      </c>
      <c r="AE86" s="181">
        <f>VLOOKUP(S86,'Highway Loading'!$B$340:$C$341,2,FALSE)</f>
        <v>10000</v>
      </c>
      <c r="AF86" s="181">
        <f t="shared" si="66"/>
        <v>2.0226415094339624E-2</v>
      </c>
      <c r="AG86" s="181">
        <f t="shared" si="67"/>
        <v>1.3913043478260869</v>
      </c>
      <c r="AH86" s="181">
        <f t="shared" si="68"/>
        <v>1.3018867924528301</v>
      </c>
      <c r="AI86" s="181">
        <f t="shared" si="69"/>
        <v>24720.149253731342</v>
      </c>
      <c r="AJ86" s="181">
        <f t="shared" si="70"/>
        <v>46800</v>
      </c>
      <c r="AK86" s="181">
        <f>IF(AC86=200,(INDEX(Tables!$B$17:$B$38,MAX(1,MIN(IFERROR(MATCH(AF86,Tables!$A$17:$A$38,1),1),ROWS(Tables!$A$17:$A$38)-1)))+(AF86-INDEX(Tables!$A$17:$A$38,MAX(1,MIN(IFERROR(MATCH(AF86,Tables!$A$17:$A$38,1),1),ROWS(Tables!$A$17:$A$38)-1))))*(INDEX(Tables!$B$17:$B$38,MAX(1,MIN(IFERROR(MATCH(AF86,Tables!$A$17:$A$38,1),1),ROWS(Tables!$A$17:$A$38)-1))+1)-INDEX(Tables!$B$17:$B$38,MAX(1,MIN(IFERROR(MATCH(AF86,Tables!$A$17:$A$38,1),1),ROWS(Tables!$A$17:$A$38)-1))))/(INDEX(Tables!$A$17:$A$38,MAX(1,MIN(IFERROR(MATCH(AF86,Tables!$A$17:$A$38,1),1),ROWS(Tables!$A$17:$A$38)-1))+1)-INDEX(Tables!$A$17:$A$38,MAX(1,MIN(IFERROR(MATCH(AF86,Tables!$A$17:$A$38,1),1),ROWS(Tables!$A$17:$A$38)-1))))),IF(AC86=500,(INDEX(Tables!$D$17:$D$38,MAX(1,MIN(IFERROR(MATCH(AF86,Tables!$C$17:$C$38,1),1),ROWS(Tables!$C$17:$C$38)-1)))+(AF86-INDEX(Tables!$C$17:$C$38,MAX(1,MIN(IFERROR(MATCH(AF86,Tables!$C$17:$C$38,1),1),ROWS(Tables!$C$17:$C$38)-1))))*(INDEX(Tables!$D$17:$D$38,MAX(1,MIN(IFERROR(MATCH(AF86,Tables!$C$17:$C$38,1),1),ROWS(Tables!$C$17:$C$38)-1))+1)-INDEX(Tables!$D$17:$D$38,MAX(1,MIN(IFERROR(MATCH(AF86,Tables!$C$17:$C$38,1),1),ROWS(Tables!$C$17:$C$38)-1))))/(INDEX(Tables!$C$17:$C$38,MAX(1,MIN(IFERROR(MATCH(AF86,Tables!$C$17:$C$38,1),1),ROWS(Tables!$C$17:$C$38)-1))+1)-INDEX(Tables!$C$17:$C$38,MAX(1,MIN(IFERROR(MATCH(AF86,Tables!$C$17:$C$38,1),1),ROWS(Tables!$C$17:$C$38)-1))))),IF(AC86=1000,(INDEX(Tables!$F$17:$F$38,MAX(1,MIN(IFERROR(MATCH(AF86,Tables!$E$17:$E$38,1),1),ROWS(Tables!$E$17:$E$38)-1)))+(AF86-INDEX(Tables!$E$17:$E$38,MAX(1,MIN(IFERROR(MATCH(AF86,Tables!$E$17:$E$38,1),1),ROWS(Tables!$E$17:$E$38)-1))))*(INDEX(Tables!$F$17:$F$38,MAX(1,MIN(IFERROR(MATCH(AF86,Tables!$E$17:$E$38,1),1),ROWS(Tables!$E$17:$E$38)-1))+1)-INDEX(Tables!$F$17:$F$38,MAX(1,MIN(IFERROR(MATCH(AF86,Tables!$E$17:$E$38,1),1),ROWS(Tables!$E$17:$E$38)-1))))/(INDEX(Tables!$E$17:$E$38,MAX(1,MIN(IFERROR(MATCH(AF86,Tables!$E$17:$E$38,1),1),ROWS(Tables!$E$17:$E$38)-1))+1)-INDEX(Tables!$E$17:$E$38,MAX(1,MIN(IFERROR(MATCH(AF86,Tables!$E$17:$E$38,1),1),ROWS(Tables!$E$17:$E$38)-1))))),(INDEX(Tables!$H$17:$H$38,MAX(1,MIN(IFERROR(MATCH(AF86,Tables!$G$17:$G$38,1),1),ROWS(Tables!$G$17:$G$38)-1)))+(AF86-INDEX(Tables!$G$17:$G$38,MAX(1,MIN(IFERROR(MATCH(AF86,Tables!$G$17:$G$38,1),1),ROWS(Tables!$G$17:$G$38)-1))))*(INDEX(Tables!$H$17:$H$38,MAX(1,MIN(IFERROR(MATCH(AF86,Tables!$G$17:$G$38,1),1),ROWS(Tables!$G$17:$G$38)-1))+1)-INDEX(Tables!$H$17:$H$38,MAX(1,MIN(IFERROR(MATCH(AF86,Tables!$G$17:$G$38,1),1),ROWS(Tables!$G$17:$G$38)-1))))/(INDEX(Tables!$G$17:$G$38,MAX(1,MIN(IFERROR(MATCH(AF86,Tables!$G$17:$G$38,1),1),ROWS(Tables!$G$17:$G$38)-1))+1)-INDEX(Tables!$G$17:$G$38,MAX(1,MIN(IFERROR(MATCH(AF86,Tables!$G$17:$G$38,1),1),ROWS(Tables!$G$17:$G$38)-1))))))))</f>
        <v>2258.1735849056604</v>
      </c>
      <c r="AL86" s="181">
        <f>IF(AC86&lt;1000,(INDEX(Tables!$B$43:$B$76,MAX(1,MIN(IFERROR(MATCH(AG86,Tables!$A$43:$A$76,1),1),ROWS(Tables!$A$43:$A$76)-1)))+(AG86-INDEX(Tables!$A$43:$A$76,MAX(1,MIN(IFERROR(MATCH(AG86,Tables!$A$43:$A$76,1),1),ROWS(Tables!$A$43:$A$76)-1))))*(INDEX(Tables!$B$43:$B$76,MAX(1,MIN(IFERROR(MATCH(AG86,Tables!$A$43:$A$76,1),1),ROWS(Tables!$A$43:$A$76)-1))+1)-INDEX(Tables!$B$43:$B$76,MAX(1,MIN(IFERROR(MATCH(AG86,Tables!$A$43:$A$76,1),1),ROWS(Tables!$A$43:$A$76)-1))))/(INDEX(Tables!$A$43:$A$76,MAX(1,MIN(IFERROR(MATCH(AG86,Tables!$A$43:$A$76,1),1),ROWS(Tables!$A$43:$A$76)-1))+1)-INDEX(Tables!$A$43:$A$76,MAX(1,MIN(IFERROR(MATCH(AG86,Tables!$A$43:$A$76,1),1),ROWS(Tables!$A$43:$A$76)-1))))),(INDEX(Tables!$D$43:$D$76,MAX(1,MIN(IFERROR(MATCH(AG86,Tables!$C$43:$C$76,1),1),ROWS(Tables!$C$43:$C$76)-1)))+(AG86-INDEX(Tables!$C$43:$C$76,MAX(1,MIN(IFERROR(MATCH(AG86,Tables!$C$43:$C$76,1),1),ROWS(Tables!$C$43:$C$76)-1))))*(INDEX(Tables!$D$43:$D$76,MAX(1,MIN(IFERROR(MATCH(AG86,Tables!$C$43:$C$76,1),1),ROWS(Tables!$C$43:$C$76)-1))+1)-INDEX(Tables!$D$43:$D$76,MAX(1,MIN(IFERROR(MATCH(AG86,Tables!$C$43:$C$76,1),1),ROWS(Tables!$C$43:$C$76)-1))))/(INDEX(Tables!$C$43:$C$76,MAX(1,MIN(IFERROR(MATCH(AG86,Tables!$C$43:$C$76,1),1),ROWS(Tables!$C$43:$C$76)-1))+1)-INDEX(Tables!$C$43:$C$76,MAX(1,MIN(IFERROR(MATCH(AG86,Tables!$C$43:$C$76,1),1),ROWS(Tables!$C$43:$C$76)-1))))))</f>
        <v>0.44230434782608696</v>
      </c>
      <c r="AM86" s="181">
        <f>(INDEX(Tables!$B$80:$B$87,MAX(1,MIN(IFERROR(MATCH(AH86,Tables!$A$80:$A$87,1),1),ROWS(Tables!$A$80:$A$87)-1)))+(AH86-INDEX(Tables!$A$80:$A$87,MAX(1,MIN(IFERROR(MATCH(AH86,Tables!$A$80:$A$87,1),1),ROWS(Tables!$A$80:$A$87)-1))))*(INDEX(Tables!$B$80:$B$87,MAX(1,MIN(IFERROR(MATCH(AH86,Tables!$A$80:$A$87,1),1),ROWS(Tables!$A$80:$A$87)-1))+1)-INDEX(Tables!$B$80:$B$87,MAX(1,MIN(IFERROR(MATCH(AH86,Tables!$A$80:$A$87,1),1),ROWS(Tables!$A$80:$A$87)-1))))/(INDEX(Tables!$A$80:$A$87,MAX(1,MIN(IFERROR(MATCH(AH86,Tables!$A$80:$A$87,1),1),ROWS(Tables!$A$80:$A$87)-1))+1)-INDEX(Tables!$A$80:$A$87,MAX(1,MIN(IFERROR(MATCH(AH86,Tables!$A$80:$A$87,1),1),ROWS(Tables!$A$80:$A$87)-1)))))</f>
        <v>1.403996226415094</v>
      </c>
      <c r="AN86" s="181">
        <f t="shared" si="71"/>
        <v>645.16063758092685</v>
      </c>
      <c r="AO86" s="181">
        <f>(INDEX(Tables!$B$91:$B$94,MAX(1,MIN(IFERROR(MATCH(P86,Tables!$A$91:$A$94,1),1),ROWS(Tables!$A$91:$A$94)-1)))+(P86-INDEX(Tables!$A$91:$A$94,MAX(1,MIN(IFERROR(MATCH(P86,Tables!$A$91:$A$94,1),1),ROWS(Tables!$A$91:$A$94)-1))))*(INDEX(Tables!$B$91:$B$94,MAX(1,MIN(IFERROR(MATCH(P86,Tables!$A$91:$A$94,1),1),ROWS(Tables!$A$91:$A$94)-1))+1)-INDEX(Tables!$B$91:$B$94,MAX(1,MIN(IFERROR(MATCH(P86,Tables!$A$91:$A$94,1),1),ROWS(Tables!$A$91:$A$94)-1))))/(INDEX(Tables!$A$91:$A$94,MAX(1,MIN(IFERROR(MATCH(P86,Tables!$A$91:$A$94,1),1),ROWS(Tables!$A$91:$A$94)-1))+1)-INDEX(Tables!$A$91:$A$94,MAX(1,MIN(IFERROR(MATCH(P86,Tables!$A$91:$A$94,1),1),ROWS(Tables!$A$91:$A$94)-1)))))</f>
        <v>1.5</v>
      </c>
      <c r="AP86" s="181">
        <f>IF(AD86=5000,(INDEX(Tables!$B$99:$B$118,MAX(1,MIN(IFERROR(MATCH(AF86,Tables!$A$99:$A$118,1),1),ROWS(Tables!$A$99:$A$118)-1)))+(AF86-INDEX(Tables!$A$99:$A$118,MAX(1,MIN(IFERROR(MATCH(AF86,Tables!$A$99:$A$118,1),1),ROWS(Tables!$A$99:$A$118)-1))))*(INDEX(Tables!$B$99:$B$118,MAX(1,MIN(IFERROR(MATCH(AF86,Tables!$A$99:$A$118,1),1),ROWS(Tables!$A$99:$A$118)-1))+1)-INDEX(Tables!$B$99:$B$118,MAX(1,MIN(IFERROR(MATCH(AF86,Tables!$A$99:$A$118,1),1),ROWS(Tables!$A$99:$A$118)-1))))/(INDEX(Tables!$A$99:$A$118,MAX(1,MIN(IFERROR(MATCH(AF86,Tables!$A$99:$A$118,1),1),ROWS(Tables!$A$99:$A$118)-1))+1)-INDEX(Tables!$A$99:$A$118,MAX(1,MIN(IFERROR(MATCH(AF86,Tables!$A$99:$A$118,1),1),ROWS(Tables!$A$99:$A$118)-1))))),IF(AD86=10000,(INDEX(Tables!$D$99:$D$118,MAX(1,MIN(IFERROR(MATCH(AF86,Tables!$C$99:$C$118,1),1),ROWS(Tables!$C$99:$C$118)-1)))+(AF86-INDEX(Tables!$C$99:$C$118,MAX(1,MIN(IFERROR(MATCH(AF86,Tables!$C$99:$C$118,1),1),ROWS(Tables!$C$99:$C$118)-1))))*(INDEX(Tables!$D$99:$D$118,MAX(1,MIN(IFERROR(MATCH(AF86,Tables!$C$99:$C$118,1),1),ROWS(Tables!$C$99:$C$118)-1))+1)-INDEX(Tables!$D$99:$D$118,MAX(1,MIN(IFERROR(MATCH(AF86,Tables!$C$99:$C$118,1),1),ROWS(Tables!$C$99:$C$118)-1))))/(INDEX(Tables!$C$99:$C$118,MAX(1,MIN(IFERROR(MATCH(AF86,Tables!$C$99:$C$118,1),1),ROWS(Tables!$C$99:$C$118)-1))+1)-INDEX(Tables!$C$99:$C$118,MAX(1,MIN(IFERROR(MATCH(AF86,Tables!$C$99:$C$118,1),1),ROWS(Tables!$C$99:$C$118)-1))))),(INDEX(Tables!$F$99:$F$118,MAX(1,MIN(IFERROR(MATCH(AF86,Tables!$E$99:$E$118,1),1),ROWS(Tables!$E$99:$E$118)-1)))+(AF86-INDEX(Tables!$E$99:$E$118,MAX(1,MIN(IFERROR(MATCH(AF86,Tables!$E$99:$E$118,1),1),ROWS(Tables!$E$99:$E$118)-1))))*(INDEX(Tables!$F$99:$F$118,MAX(1,MIN(IFERROR(MATCH(AF86,Tables!$E$99:$E$118,1),1),ROWS(Tables!$E$99:$E$118)-1))+1)-INDEX(Tables!$F$99:$F$118,MAX(1,MIN(IFERROR(MATCH(AF86,Tables!$E$99:$E$118,1),1),ROWS(Tables!$E$99:$E$118)-1))))/(INDEX(Tables!$E$99:$E$118,MAX(1,MIN(IFERROR(MATCH(AF86,Tables!$E$99:$E$118,1),1),ROWS(Tables!$E$99:$E$118)-1))+1)-INDEX(Tables!$E$99:$E$118,MAX(1,MIN(IFERROR(MATCH(AF86,Tables!$E$99:$E$118,1),1),ROWS(Tables!$E$99:$E$118)-1)))))))</f>
        <v>14.082741875666404</v>
      </c>
      <c r="AQ86" s="181">
        <f>IF(P86&lt;6,(INDEX(Tables!$B$123:$B$138,MAX(1,MIN(IFERROR(MATCH(U86,Tables!$A$123:$A$138,1),1),ROWS(Tables!$A$123:$A$138)-1)))+(U86-INDEX(Tables!$A$123:$A$138,MAX(1,MIN(IFERROR(MATCH(U86,Tables!$A$123:$A$138,1),1),ROWS(Tables!$A$123:$A$138)-1))))*(INDEX(Tables!$B$123:$B$138,MAX(1,MIN(IFERROR(MATCH(U86,Tables!$A$123:$A$138,1),1),ROWS(Tables!$A$123:$A$138)-1))+1)-INDEX(Tables!$B$123:$B$138,MAX(1,MIN(IFERROR(MATCH(U86,Tables!$A$123:$A$138,1),1),ROWS(Tables!$A$123:$A$138)-1))))/(INDEX(Tables!$A$123:$A$138,MAX(1,MIN(IFERROR(MATCH(U86,Tables!$A$123:$A$138,1),1),ROWS(Tables!$A$123:$A$138)-1))+1)-INDEX(Tables!$A$123:$A$138,MAX(1,MIN(IFERROR(MATCH(U86,Tables!$A$123:$A$138,1),1),ROWS(Tables!$A$123:$A$138)-1))))),IF(P86&lt;8,(INDEX(Tables!$D$123:$D$138,MAX(1,MIN(IFERROR(MATCH(U86,Tables!$C$123:$C$138,1),1),ROWS(Tables!$C$123:$C$138)-1)))+(U86-INDEX(Tables!$C$123:$C$138,MAX(1,MIN(IFERROR(MATCH(U86,Tables!$C$123:$C$138,1),1),ROWS(Tables!$C$123:$C$138)-1))))*(INDEX(Tables!$D$123:$D$138,MAX(1,MIN(IFERROR(MATCH(U86,Tables!$C$123:$C$138,1),1),ROWS(Tables!$C$123:$C$138)-1))+1)-INDEX(Tables!$D$123:$D$138,MAX(1,MIN(IFERROR(MATCH(U86,Tables!$C$123:$C$138,1),1),ROWS(Tables!$C$123:$C$138)-1))))/(INDEX(Tables!$C$123:$C$138,MAX(1,MIN(IFERROR(MATCH(U86,Tables!$C$123:$C$138,1),1),ROWS(Tables!$C$123:$C$138)-1))+1)-INDEX(Tables!$C$123:$C$138,MAX(1,MIN(IFERROR(MATCH(U86,Tables!$C$123:$C$138,1),1),ROWS(Tables!$C$123:$C$138)-1))))),IF(P86&lt;10,(INDEX(Tables!$F$123:$F$138,MAX(1,MIN(IFERROR(MATCH(U86,Tables!$E$123:$E$138,1),1),ROWS(Tables!$E$123:$E$138)-1)))+(U86-INDEX(Tables!$E$123:$E$138,MAX(1,MIN(IFERROR(MATCH(U86,Tables!$E$123:$E$138,1),1),ROWS(Tables!$E$123:$E$138)-1))))*(INDEX(Tables!$F$123:$F$138,MAX(1,MIN(IFERROR(MATCH(U86,Tables!$E$123:$E$138,1),1),ROWS(Tables!$E$123:$E$138)-1))+1)-INDEX(Tables!$F$123:$F$138,MAX(1,MIN(IFERROR(MATCH(U86,Tables!$E$123:$E$138,1),1),ROWS(Tables!$E$123:$E$138)-1))))/(INDEX(Tables!$E$123:$E$138,MAX(1,MIN(IFERROR(MATCH(U86,Tables!$E$123:$E$138,1),1),ROWS(Tables!$E$123:$E$138)-1))+1)-INDEX(Tables!$E$123:$E$138,MAX(1,MIN(IFERROR(MATCH(U86,Tables!$E$123:$E$138,1),1),ROWS(Tables!$E$123:$E$138)-1))))),(INDEX(Tables!$H$123:$H$138,MAX(1,MIN(IFERROR(MATCH(U86,Tables!$G$123:$G$138,1),1),ROWS(Tables!$G$123:$G$138)-1)))+(U86-INDEX(Tables!$G$123:$G$138,MAX(1,MIN(IFERROR(MATCH(U86,Tables!$G$123:$G$138,1),1),ROWS(Tables!$G$123:$G$138)-1))))*(INDEX(Tables!$H$123:$H$138,MAX(1,MIN(IFERROR(MATCH(U86,Tables!$G$123:$G$138,1),1),ROWS(Tables!$G$123:$G$138)-1))+1)-INDEX(Tables!$H$123:$H$138,MAX(1,MIN(IFERROR(MATCH(U86,Tables!$G$123:$G$138,1),1),ROWS(Tables!$G$123:$G$138)-1))))/(INDEX(Tables!$G$123:$G$138,MAX(1,MIN(IFERROR(MATCH(U86,Tables!$G$123:$G$138,1),1),ROWS(Tables!$G$123:$G$138)-1))+1)-INDEX(Tables!$G$123:$G$138,MAX(1,MIN(IFERROR(MATCH(U86,Tables!$G$123:$G$138,1),1),ROWS(Tables!$G$123:$G$138)-1))))))))</f>
        <v>1.4501250000000001</v>
      </c>
      <c r="AR86" s="181">
        <f>IF(OR(P86&gt;=4,U86&gt;12),VLOOKUP(R86&amp;" "&amp;S86,Tables!$D$143:$F$148,2,FALSE),VLOOKUP(R86&amp;" "&amp;S86,Tables!$A$143:$C$148,2,FALSE))</f>
        <v>1</v>
      </c>
      <c r="AS86" s="181">
        <f>IF(OR(P86&gt;=4,U86&gt;12),VLOOKUP(R86&amp;" "&amp;S86,Tables!$D$143:$F$148,3,FALSE),VLOOKUP(R86&amp;" "&amp;S86,Tables!$A$143:$C$148,3,FALSE))</f>
        <v>1</v>
      </c>
      <c r="AT86" s="181">
        <f t="shared" si="72"/>
        <v>2127.2641731719523</v>
      </c>
      <c r="AU86" s="181">
        <f>IF(AD86=5000,(INDEX(Tables!$B$244:$B$263,MAX(1,MIN(IFERROR(MATCH(AF86,Tables!$A$244:$A$263,1),1),ROWS(Tables!$A$244:$A$263)-1)))+(AF86-INDEX(Tables!$A$244:$A$263,MAX(1,MIN(IFERROR(MATCH(AF86,Tables!$A$244:$A$263,1),1),ROWS(Tables!$A$244:$A$263)-1))))*(INDEX(Tables!$B$244:$B$263,MAX(1,MIN(IFERROR(MATCH(AF86,Tables!$A$244:$A$263,1),1),ROWS(Tables!$A$244:$A$263)-1))+1)-INDEX(Tables!$B$244:$B$263,MAX(1,MIN(IFERROR(MATCH(AF86,Tables!$A$244:$A$263,1),1),ROWS(Tables!$A$244:$A$263)-1))))/(INDEX(Tables!$A$244:$A$263,MAX(1,MIN(IFERROR(MATCH(AF86,Tables!$A$244:$A$263,1),1),ROWS(Tables!$A$244:$A$263)-1))+1)-INDEX(Tables!$A$244:$A$263,MAX(1,MIN(IFERROR(MATCH(AF86,Tables!$A$244:$A$263,1),1),ROWS(Tables!$A$244:$A$263)-1))))),IF(AD86=10000,(INDEX(Tables!$D$244:$D$263,MAX(1,MIN(IFERROR(MATCH(AF86,Tables!$C$244:$C$263,1),1),ROWS(Tables!$C$244:$C$263)-1)))+(AF86-INDEX(Tables!$C$244:$C$263,MAX(1,MIN(IFERROR(MATCH(AF86,Tables!$C$244:$C$263,1),1),ROWS(Tables!$C$244:$C$263)-1))))*(INDEX(Tables!$D$244:$D$263,MAX(1,MIN(IFERROR(MATCH(AF86,Tables!$C$244:$C$263,1),1),ROWS(Tables!$C$244:$C$263)-1))+1)-INDEX(Tables!$D$244:$D$263,MAX(1,MIN(IFERROR(MATCH(AF86,Tables!$C$244:$C$263,1),1),ROWS(Tables!$C$244:$C$263)-1))))/(INDEX(Tables!$C$244:$C$263,MAX(1,MIN(IFERROR(MATCH(AF86,Tables!$C$244:$C$263,1),1),ROWS(Tables!$C$244:$C$263)-1))+1)-INDEX(Tables!$C$244:$C$263,MAX(1,MIN(IFERROR(MATCH(AF86,Tables!$C$244:$C$263,1),1),ROWS(Tables!$C$244:$C$263)-1))))),(INDEX(Tables!$F$244:$F$263,MAX(1,MIN(IFERROR(MATCH(AF86,Tables!$E$244:$E$263,1),1),ROWS(Tables!$E$244:$E$263)-1)))+(AF86-INDEX(Tables!$E$244:$E$263,MAX(1,MIN(IFERROR(MATCH(AF86,Tables!$E$244:$E$263,1),1),ROWS(Tables!$E$244:$E$263)-1))))*(INDEX(Tables!$F$244:$F$263,MAX(1,MIN(IFERROR(MATCH(AF86,Tables!$E$244:$E$263,1),1),ROWS(Tables!$E$244:$E$263)-1))+1)-INDEX(Tables!$F$244:$F$263,MAX(1,MIN(IFERROR(MATCH(AF86,Tables!$E$244:$E$263,1),1),ROWS(Tables!$E$244:$E$263)-1))))/(INDEX(Tables!$E$244:$E$263,MAX(1,MIN(IFERROR(MATCH(AF86,Tables!$E$244:$E$263,1),1),ROWS(Tables!$E$244:$E$263)-1))+1)-INDEX(Tables!$E$244:$E$263,MAX(1,MIN(IFERROR(MATCH(AF86,Tables!$E$244:$E$263,1),1),ROWS(Tables!$E$244:$E$263)-1)))))))</f>
        <v>9.7394226415094334</v>
      </c>
      <c r="AV86" s="181">
        <f>IF(P86&lt;6,(INDEX(Tables!$B$260:$B$274,MAX(1,MIN(IFERROR(MATCH(U86,Tables!$A$260:$A$274,1),1),ROWS(Tables!$A$260:$A$274)-1)))+(U86-INDEX(Tables!$A$260:$A$274,MAX(1,MIN(IFERROR(MATCH(U86,Tables!$A$260:$A$274,1),1),ROWS(Tables!$A$260:$A$274)-1))))*(INDEX(Tables!$B$260:$B$274,MAX(1,MIN(IFERROR(MATCH(U86,Tables!$A$260:$A$274,1),1),ROWS(Tables!$A$260:$A$274)-1))+1)-INDEX(Tables!$B$260:$B$274,MAX(1,MIN(IFERROR(MATCH(U86,Tables!$A$260:$A$274,1),1),ROWS(Tables!$A$260:$A$274)-1))))/(INDEX(Tables!$A$260:$A$274,MAX(1,MIN(IFERROR(MATCH(U86,Tables!$A$260:$A$274,1),1),ROWS(Tables!$A$260:$A$274)-1))+1)-INDEX(Tables!$A$260:$A$274,MAX(1,MIN(IFERROR(MATCH(U86,Tables!$A$260:$A$274,1),1),ROWS(Tables!$A$260:$A$274)-1))))),IF(P86&lt;8,(INDEX(Tables!$D$260:$D$274,MAX(1,MIN(IFERROR(MATCH(U86,Tables!$C$260:$C$274,1),1),ROWS(Tables!$C$260:$C$274)-1)))+(U86-INDEX(Tables!$C$260:$C$274,MAX(1,MIN(IFERROR(MATCH(U86,Tables!$C$260:$C$274,1),1),ROWS(Tables!$C$260:$C$274)-1))))*(INDEX(Tables!$D$260:$D$274,MAX(1,MIN(IFERROR(MATCH(U86,Tables!$C$260:$C$274,1),1),ROWS(Tables!$C$260:$C$274)-1))+1)-INDEX(Tables!$D$260:$D$274,MAX(1,MIN(IFERROR(MATCH(U86,Tables!$C$260:$C$274,1),1),ROWS(Tables!$C$260:$C$274)-1))))/(INDEX(Tables!$C$260:$C$274,MAX(1,MIN(IFERROR(MATCH(U86,Tables!$C$260:$C$274,1),1),ROWS(Tables!$C$260:$C$274)-1))+1)-INDEX(Tables!$C$260:$C$274,MAX(1,MIN(IFERROR(MATCH(U86,Tables!$C$260:$C$274,1),1),ROWS(Tables!$C$260:$C$274)-1))))),IF(P86&lt;10,(INDEX(Tables!$F$260:$F$274,MAX(1,MIN(IFERROR(MATCH(U86,Tables!$E$260:$E$274,1),1),ROWS(Tables!$E$260:$E$274)-1)))+(U86-INDEX(Tables!$E$260:$E$274,MAX(1,MIN(IFERROR(MATCH(U86,Tables!$E$260:$E$274,1),1),ROWS(Tables!$E$260:$E$274)-1))))*(INDEX(Tables!$F$260:$F$274,MAX(1,MIN(IFERROR(MATCH(U86,Tables!$E$260:$E$274,1),1),ROWS(Tables!$E$260:$E$274)-1))+1)-INDEX(Tables!$F$260:$F$274,MAX(1,MIN(IFERROR(MATCH(U86,Tables!$E$260:$E$274,1),1),ROWS(Tables!$E$260:$E$274)-1))))/(INDEX(Tables!$E$260:$E$274,MAX(1,MIN(IFERROR(MATCH(U86,Tables!$E$260:$E$274,1),1),ROWS(Tables!$E$260:$E$274)-1))+1)-INDEX(Tables!$E$260:$E$274,MAX(1,MIN(IFERROR(MATCH(U86,Tables!$E$260:$E$274,1),1),ROWS(Tables!$E$260:$E$274)-1))))),(INDEX(Tables!$H$260:$H$274,MAX(1,MIN(IFERROR(MATCH(U86,Tables!$G$260:$G$274,1),1),ROWS(Tables!$G$260:$G$274)-1)))+(U86-INDEX(Tables!$G$260:$G$274,MAX(1,MIN(IFERROR(MATCH(U86,Tables!$G$260:$G$274,1),1),ROWS(Tables!$G$260:$G$274)-1))))*(INDEX(Tables!$H$260:$H$274,MAX(1,MIN(IFERROR(MATCH(U86,Tables!$G$260:$G$274,1),1),ROWS(Tables!$G$260:$G$274)-1))+1)-INDEX(Tables!$H$260:$H$274,MAX(1,MIN(IFERROR(MATCH(U86,Tables!$G$260:$G$274,1),1),ROWS(Tables!$G$260:$G$274)-1))))/(INDEX(Tables!$G$260:$G$274,MAX(1,MIN(IFERROR(MATCH(U86,Tables!$G$260:$G$274,1),1),ROWS(Tables!$G$260:$G$274)-1))+1)-INDEX(Tables!$G$260:$G$274,MAX(1,MIN(IFERROR(MATCH(U86,Tables!$G$260:$G$274,1),1),ROWS(Tables!$G$260:$G$274)-1))))))))</f>
        <v>1.4965000000000002</v>
      </c>
      <c r="AW86" s="181">
        <f t="shared" si="73"/>
        <v>1518.2339565644656</v>
      </c>
      <c r="AX86" s="181">
        <f t="shared" si="74"/>
        <v>24220.149253731342</v>
      </c>
      <c r="AY86" s="181">
        <f t="shared" si="75"/>
        <v>26992.574064484223</v>
      </c>
      <c r="AZ86" s="181">
        <f t="shared" si="76"/>
        <v>8977.8269239581459</v>
      </c>
      <c r="BA86" s="181">
        <f t="shared" si="77"/>
        <v>-1000</v>
      </c>
      <c r="BB86" s="181">
        <f t="shared" si="78"/>
        <v>24573.078230221701</v>
      </c>
      <c r="BC86" s="181">
        <f t="shared" si="79"/>
        <v>46800</v>
      </c>
      <c r="BD86" s="181">
        <f>VLOOKUP(V86&amp;" "&amp;J86,Tables!$A$152:$E$239,4,FALSE)</f>
        <v>12000</v>
      </c>
      <c r="BE86" s="181">
        <f>VLOOKUP(V86&amp;" "&amp;J86,Tables!$A$152:$E$239,5,FALSE)</f>
        <v>23000</v>
      </c>
      <c r="BF86" s="181">
        <f t="shared" si="80"/>
        <v>8640</v>
      </c>
      <c r="BG86" s="181">
        <f t="shared" si="81"/>
        <v>16560</v>
      </c>
      <c r="BH86" s="181">
        <f t="shared" si="82"/>
        <v>24720.149253731342</v>
      </c>
      <c r="BI86" s="181">
        <f t="shared" si="83"/>
        <v>46800</v>
      </c>
      <c r="BJ86" s="181">
        <f t="shared" si="84"/>
        <v>24573.078230221701</v>
      </c>
      <c r="BK86" s="181">
        <f t="shared" si="85"/>
        <v>46800</v>
      </c>
      <c r="BL86" s="181">
        <f t="shared" si="86"/>
        <v>1518.2339565644656</v>
      </c>
      <c r="BM86" s="181">
        <f t="shared" si="87"/>
        <v>8640</v>
      </c>
      <c r="BN86" s="181">
        <f t="shared" si="88"/>
        <v>2127.2641731719523</v>
      </c>
      <c r="BO86" s="181">
        <f t="shared" si="89"/>
        <v>16560</v>
      </c>
      <c r="BP86" t="str">
        <f t="shared" si="90"/>
        <v>Pass</v>
      </c>
      <c r="BQ86" t="str">
        <f t="shared" si="91"/>
        <v>Pass</v>
      </c>
      <c r="BR86" t="str">
        <f t="shared" si="92"/>
        <v>Pass</v>
      </c>
      <c r="BS86" t="str">
        <f t="shared" si="93"/>
        <v>Pass</v>
      </c>
      <c r="BT86" t="str">
        <f t="shared" si="94"/>
        <v>Pass</v>
      </c>
      <c r="BU86" t="str">
        <f t="shared" si="95"/>
        <v>Barlow Stress</v>
      </c>
    </row>
    <row r="87" spans="1:73">
      <c r="A87" t="s">
        <v>679</v>
      </c>
      <c r="B87" s="181">
        <v>85</v>
      </c>
      <c r="C87" t="s">
        <v>594</v>
      </c>
      <c r="D87" s="181">
        <v>8</v>
      </c>
      <c r="E87" s="181">
        <v>0.14799999999999999</v>
      </c>
      <c r="F87" t="s">
        <v>117</v>
      </c>
      <c r="G87" t="s">
        <v>119</v>
      </c>
      <c r="H87" t="s">
        <v>122</v>
      </c>
      <c r="I87" s="181">
        <v>1</v>
      </c>
      <c r="J87" t="s">
        <v>126</v>
      </c>
      <c r="K87" t="s">
        <v>129</v>
      </c>
      <c r="L87" s="181">
        <v>70</v>
      </c>
      <c r="M87" s="181">
        <v>1000</v>
      </c>
      <c r="N87" t="s">
        <v>392</v>
      </c>
      <c r="O87" s="181">
        <v>120</v>
      </c>
      <c r="P87" s="181">
        <v>3</v>
      </c>
      <c r="Q87" s="181">
        <v>10.625</v>
      </c>
      <c r="R87" t="s">
        <v>154</v>
      </c>
      <c r="S87" t="s">
        <v>156</v>
      </c>
      <c r="T87" s="181">
        <v>70</v>
      </c>
      <c r="U87" s="181">
        <f>HLOOKUP(D87,'Highway Loading'!$C$155:$AD$156,2,FALSE)</f>
        <v>8.625</v>
      </c>
      <c r="V87" s="181">
        <f>IF(ISBLANK(G87),"",INDEX('Highway Loading'!$C$216:$AG$216,1,MATCH(G87,'Highway Loading'!$C$215:$AG$215,0)))</f>
        <v>65000</v>
      </c>
      <c r="W87" s="181">
        <f>INDEX('Highway Loading'!$I$245:$L$253,MATCH(H87,'Highway Loading'!$H$245:$H$253,0),MATCH(I87,'Highway Loading'!$I$244:$L$244,0))</f>
        <v>0.72</v>
      </c>
      <c r="X87" s="181">
        <f t="shared" si="64"/>
        <v>1</v>
      </c>
      <c r="Y87" s="181">
        <f>VLOOKUP(K87,'Highway Loading'!$B$283:$E$292,2,FALSE)</f>
        <v>29000000</v>
      </c>
      <c r="Z87" s="181">
        <f>VLOOKUP(K87,'Highway Loading'!$B$283:$E$292,3,FALSE)</f>
        <v>0.3</v>
      </c>
      <c r="AA87" s="181">
        <f>VLOOKUP(K87,'Highway Loading'!$B$283:$E$292,4,FALSE)</f>
        <v>6.4999999999999996E-6</v>
      </c>
      <c r="AB87" s="181">
        <f t="shared" si="65"/>
        <v>1</v>
      </c>
      <c r="AC87" s="181">
        <f>VLOOKUP(N87,'Highway Loading'!$B$256:$D$261,2,FALSE)</f>
        <v>2000</v>
      </c>
      <c r="AD87" s="181">
        <f>VLOOKUP(N87,'Highway Loading'!$B$256:$D$261,3,FALSE)</f>
        <v>20000</v>
      </c>
      <c r="AE87" s="181">
        <f>VLOOKUP(S87,'Highway Loading'!$B$340:$C$341,2,FALSE)</f>
        <v>10000</v>
      </c>
      <c r="AF87" s="181">
        <f t="shared" si="66"/>
        <v>1.7159420289855072E-2</v>
      </c>
      <c r="AG87" s="181">
        <f t="shared" si="67"/>
        <v>3.388235294117647</v>
      </c>
      <c r="AH87" s="181">
        <f t="shared" si="68"/>
        <v>1.2318840579710144</v>
      </c>
      <c r="AI87" s="181">
        <f t="shared" si="69"/>
        <v>29138.513513513513</v>
      </c>
      <c r="AJ87" s="181">
        <f t="shared" si="70"/>
        <v>46800</v>
      </c>
      <c r="AK87" s="181">
        <f>IF(AC87=200,(INDEX(Tables!$B$17:$B$38,MAX(1,MIN(IFERROR(MATCH(AF87,Tables!$A$17:$A$38,1),1),ROWS(Tables!$A$17:$A$38)-1)))+(AF87-INDEX(Tables!$A$17:$A$38,MAX(1,MIN(IFERROR(MATCH(AF87,Tables!$A$17:$A$38,1),1),ROWS(Tables!$A$17:$A$38)-1))))*(INDEX(Tables!$B$17:$B$38,MAX(1,MIN(IFERROR(MATCH(AF87,Tables!$A$17:$A$38,1),1),ROWS(Tables!$A$17:$A$38)-1))+1)-INDEX(Tables!$B$17:$B$38,MAX(1,MIN(IFERROR(MATCH(AF87,Tables!$A$17:$A$38,1),1),ROWS(Tables!$A$17:$A$38)-1))))/(INDEX(Tables!$A$17:$A$38,MAX(1,MIN(IFERROR(MATCH(AF87,Tables!$A$17:$A$38,1),1),ROWS(Tables!$A$17:$A$38)-1))+1)-INDEX(Tables!$A$17:$A$38,MAX(1,MIN(IFERROR(MATCH(AF87,Tables!$A$17:$A$38,1),1),ROWS(Tables!$A$17:$A$38)-1))))),IF(AC87=500,(INDEX(Tables!$D$17:$D$38,MAX(1,MIN(IFERROR(MATCH(AF87,Tables!$C$17:$C$38,1),1),ROWS(Tables!$C$17:$C$38)-1)))+(AF87-INDEX(Tables!$C$17:$C$38,MAX(1,MIN(IFERROR(MATCH(AF87,Tables!$C$17:$C$38,1),1),ROWS(Tables!$C$17:$C$38)-1))))*(INDEX(Tables!$D$17:$D$38,MAX(1,MIN(IFERROR(MATCH(AF87,Tables!$C$17:$C$38,1),1),ROWS(Tables!$C$17:$C$38)-1))+1)-INDEX(Tables!$D$17:$D$38,MAX(1,MIN(IFERROR(MATCH(AF87,Tables!$C$17:$C$38,1),1),ROWS(Tables!$C$17:$C$38)-1))))/(INDEX(Tables!$C$17:$C$38,MAX(1,MIN(IFERROR(MATCH(AF87,Tables!$C$17:$C$38,1),1),ROWS(Tables!$C$17:$C$38)-1))+1)-INDEX(Tables!$C$17:$C$38,MAX(1,MIN(IFERROR(MATCH(AF87,Tables!$C$17:$C$38,1),1),ROWS(Tables!$C$17:$C$38)-1))))),IF(AC87=1000,(INDEX(Tables!$F$17:$F$38,MAX(1,MIN(IFERROR(MATCH(AF87,Tables!$E$17:$E$38,1),1),ROWS(Tables!$E$17:$E$38)-1)))+(AF87-INDEX(Tables!$E$17:$E$38,MAX(1,MIN(IFERROR(MATCH(AF87,Tables!$E$17:$E$38,1),1),ROWS(Tables!$E$17:$E$38)-1))))*(INDEX(Tables!$F$17:$F$38,MAX(1,MIN(IFERROR(MATCH(AF87,Tables!$E$17:$E$38,1),1),ROWS(Tables!$E$17:$E$38)-1))+1)-INDEX(Tables!$F$17:$F$38,MAX(1,MIN(IFERROR(MATCH(AF87,Tables!$E$17:$E$38,1),1),ROWS(Tables!$E$17:$E$38)-1))))/(INDEX(Tables!$E$17:$E$38,MAX(1,MIN(IFERROR(MATCH(AF87,Tables!$E$17:$E$38,1),1),ROWS(Tables!$E$17:$E$38)-1))+1)-INDEX(Tables!$E$17:$E$38,MAX(1,MIN(IFERROR(MATCH(AF87,Tables!$E$17:$E$38,1),1),ROWS(Tables!$E$17:$E$38)-1))))),(INDEX(Tables!$H$17:$H$38,MAX(1,MIN(IFERROR(MATCH(AF87,Tables!$G$17:$G$38,1),1),ROWS(Tables!$G$17:$G$38)-1)))+(AF87-INDEX(Tables!$G$17:$G$38,MAX(1,MIN(IFERROR(MATCH(AF87,Tables!$G$17:$G$38,1),1),ROWS(Tables!$G$17:$G$38)-1))))*(INDEX(Tables!$H$17:$H$38,MAX(1,MIN(IFERROR(MATCH(AF87,Tables!$G$17:$G$38,1),1),ROWS(Tables!$G$17:$G$38)-1))+1)-INDEX(Tables!$H$17:$H$38,MAX(1,MIN(IFERROR(MATCH(AF87,Tables!$G$17:$G$38,1),1),ROWS(Tables!$G$17:$G$38)-1))))/(INDEX(Tables!$G$17:$G$38,MAX(1,MIN(IFERROR(MATCH(AF87,Tables!$G$17:$G$38,1),1),ROWS(Tables!$G$17:$G$38)-1))+1)-INDEX(Tables!$G$17:$G$38,MAX(1,MIN(IFERROR(MATCH(AF87,Tables!$G$17:$G$38,1),1),ROWS(Tables!$G$17:$G$38)-1))))))))</f>
        <v>2180.2840579710146</v>
      </c>
      <c r="AL87" s="181">
        <f>IF(AC87&lt;1000,(INDEX(Tables!$B$43:$B$76,MAX(1,MIN(IFERROR(MATCH(AG87,Tables!$A$43:$A$76,1),1),ROWS(Tables!$A$43:$A$76)-1)))+(AG87-INDEX(Tables!$A$43:$A$76,MAX(1,MIN(IFERROR(MATCH(AG87,Tables!$A$43:$A$76,1),1),ROWS(Tables!$A$43:$A$76)-1))))*(INDEX(Tables!$B$43:$B$76,MAX(1,MIN(IFERROR(MATCH(AG87,Tables!$A$43:$A$76,1),1),ROWS(Tables!$A$43:$A$76)-1))+1)-INDEX(Tables!$B$43:$B$76,MAX(1,MIN(IFERROR(MATCH(AG87,Tables!$A$43:$A$76,1),1),ROWS(Tables!$A$43:$A$76)-1))))/(INDEX(Tables!$A$43:$A$76,MAX(1,MIN(IFERROR(MATCH(AG87,Tables!$A$43:$A$76,1),1),ROWS(Tables!$A$43:$A$76)-1))+1)-INDEX(Tables!$A$43:$A$76,MAX(1,MIN(IFERROR(MATCH(AG87,Tables!$A$43:$A$76,1),1),ROWS(Tables!$A$43:$A$76)-1))))),(INDEX(Tables!$D$43:$D$76,MAX(1,MIN(IFERROR(MATCH(AG87,Tables!$C$43:$C$76,1),1),ROWS(Tables!$C$43:$C$76)-1)))+(AG87-INDEX(Tables!$C$43:$C$76,MAX(1,MIN(IFERROR(MATCH(AG87,Tables!$C$43:$C$76,1),1),ROWS(Tables!$C$43:$C$76)-1))))*(INDEX(Tables!$D$43:$D$76,MAX(1,MIN(IFERROR(MATCH(AG87,Tables!$C$43:$C$76,1),1),ROWS(Tables!$C$43:$C$76)-1))+1)-INDEX(Tables!$D$43:$D$76,MAX(1,MIN(IFERROR(MATCH(AG87,Tables!$C$43:$C$76,1),1),ROWS(Tables!$C$43:$C$76)-1))))/(INDEX(Tables!$C$43:$C$76,MAX(1,MIN(IFERROR(MATCH(AG87,Tables!$C$43:$C$76,1),1),ROWS(Tables!$C$43:$C$76)-1))+1)-INDEX(Tables!$C$43:$C$76,MAX(1,MIN(IFERROR(MATCH(AG87,Tables!$C$43:$C$76,1),1),ROWS(Tables!$C$43:$C$76)-1))))))</f>
        <v>0.82142352941176466</v>
      </c>
      <c r="AM87" s="181">
        <f>(INDEX(Tables!$B$80:$B$87,MAX(1,MIN(IFERROR(MATCH(AH87,Tables!$A$80:$A$87,1),1),ROWS(Tables!$A$80:$A$87)-1)))+(AH87-INDEX(Tables!$A$80:$A$87,MAX(1,MIN(IFERROR(MATCH(AH87,Tables!$A$80:$A$87,1),1),ROWS(Tables!$A$80:$A$87)-1))))*(INDEX(Tables!$B$80:$B$87,MAX(1,MIN(IFERROR(MATCH(AH87,Tables!$A$80:$A$87,1),1),ROWS(Tables!$A$80:$A$87)-1))+1)-INDEX(Tables!$B$80:$B$87,MAX(1,MIN(IFERROR(MATCH(AH87,Tables!$A$80:$A$87,1),1),ROWS(Tables!$A$80:$A$87)-1))))/(INDEX(Tables!$A$80:$A$87,MAX(1,MIN(IFERROR(MATCH(AH87,Tables!$A$80:$A$87,1),1),ROWS(Tables!$A$80:$A$87)-1))+1)-INDEX(Tables!$A$80:$A$87,MAX(1,MIN(IFERROR(MATCH(AH87,Tables!$A$80:$A$87,1),1),ROWS(Tables!$A$80:$A$87)-1)))))</f>
        <v>1.2567086956521738</v>
      </c>
      <c r="AN87" s="181">
        <f t="shared" si="71"/>
        <v>1348.0669145685913</v>
      </c>
      <c r="AO87" s="181">
        <f>(INDEX(Tables!$B$91:$B$94,MAX(1,MIN(IFERROR(MATCH(P87,Tables!$A$91:$A$94,1),1),ROWS(Tables!$A$91:$A$94)-1)))+(P87-INDEX(Tables!$A$91:$A$94,MAX(1,MIN(IFERROR(MATCH(P87,Tables!$A$91:$A$94,1),1),ROWS(Tables!$A$91:$A$94)-1))))*(INDEX(Tables!$B$91:$B$94,MAX(1,MIN(IFERROR(MATCH(P87,Tables!$A$91:$A$94,1),1),ROWS(Tables!$A$91:$A$94)-1))+1)-INDEX(Tables!$B$91:$B$94,MAX(1,MIN(IFERROR(MATCH(P87,Tables!$A$91:$A$94,1),1),ROWS(Tables!$A$91:$A$94)-1))))/(INDEX(Tables!$A$91:$A$94,MAX(1,MIN(IFERROR(MATCH(P87,Tables!$A$91:$A$94,1),1),ROWS(Tables!$A$91:$A$94)-1))+1)-INDEX(Tables!$A$91:$A$94,MAX(1,MIN(IFERROR(MATCH(P87,Tables!$A$91:$A$94,1),1),ROWS(Tables!$A$91:$A$94)-1)))))</f>
        <v>1.5</v>
      </c>
      <c r="AP87" s="181">
        <f>IF(AD87=5000,(INDEX(Tables!$B$99:$B$118,MAX(1,MIN(IFERROR(MATCH(AF87,Tables!$A$99:$A$118,1),1),ROWS(Tables!$A$99:$A$118)-1)))+(AF87-INDEX(Tables!$A$99:$A$118,MAX(1,MIN(IFERROR(MATCH(AF87,Tables!$A$99:$A$118,1),1),ROWS(Tables!$A$99:$A$118)-1))))*(INDEX(Tables!$B$99:$B$118,MAX(1,MIN(IFERROR(MATCH(AF87,Tables!$A$99:$A$118,1),1),ROWS(Tables!$A$99:$A$118)-1))+1)-INDEX(Tables!$B$99:$B$118,MAX(1,MIN(IFERROR(MATCH(AF87,Tables!$A$99:$A$118,1),1),ROWS(Tables!$A$99:$A$118)-1))))/(INDEX(Tables!$A$99:$A$118,MAX(1,MIN(IFERROR(MATCH(AF87,Tables!$A$99:$A$118,1),1),ROWS(Tables!$A$99:$A$118)-1))+1)-INDEX(Tables!$A$99:$A$118,MAX(1,MIN(IFERROR(MATCH(AF87,Tables!$A$99:$A$118,1),1),ROWS(Tables!$A$99:$A$118)-1))))),IF(AD87=10000,(INDEX(Tables!$D$99:$D$118,MAX(1,MIN(IFERROR(MATCH(AF87,Tables!$C$99:$C$118,1),1),ROWS(Tables!$C$99:$C$118)-1)))+(AF87-INDEX(Tables!$C$99:$C$118,MAX(1,MIN(IFERROR(MATCH(AF87,Tables!$C$99:$C$118,1),1),ROWS(Tables!$C$99:$C$118)-1))))*(INDEX(Tables!$D$99:$D$118,MAX(1,MIN(IFERROR(MATCH(AF87,Tables!$C$99:$C$118,1),1),ROWS(Tables!$C$99:$C$118)-1))+1)-INDEX(Tables!$D$99:$D$118,MAX(1,MIN(IFERROR(MATCH(AF87,Tables!$C$99:$C$118,1),1),ROWS(Tables!$C$99:$C$118)-1))))/(INDEX(Tables!$C$99:$C$118,MAX(1,MIN(IFERROR(MATCH(AF87,Tables!$C$99:$C$118,1),1),ROWS(Tables!$C$99:$C$118)-1))+1)-INDEX(Tables!$C$99:$C$118,MAX(1,MIN(IFERROR(MATCH(AF87,Tables!$C$99:$C$118,1),1),ROWS(Tables!$C$99:$C$118)-1))))),(INDEX(Tables!$F$99:$F$118,MAX(1,MIN(IFERROR(MATCH(AF87,Tables!$E$99:$E$118,1),1),ROWS(Tables!$E$99:$E$118)-1)))+(AF87-INDEX(Tables!$E$99:$E$118,MAX(1,MIN(IFERROR(MATCH(AF87,Tables!$E$99:$E$118,1),1),ROWS(Tables!$E$99:$E$118)-1))))*(INDEX(Tables!$F$99:$F$118,MAX(1,MIN(IFERROR(MATCH(AF87,Tables!$E$99:$E$118,1),1),ROWS(Tables!$E$99:$E$118)-1))+1)-INDEX(Tables!$F$99:$F$118,MAX(1,MIN(IFERROR(MATCH(AF87,Tables!$E$99:$E$118,1),1),ROWS(Tables!$E$99:$E$118)-1))))/(INDEX(Tables!$E$99:$E$118,MAX(1,MIN(IFERROR(MATCH(AF87,Tables!$E$99:$E$118,1),1),ROWS(Tables!$E$99:$E$118)-1))+1)-INDEX(Tables!$E$99:$E$118,MAX(1,MIN(IFERROR(MATCH(AF87,Tables!$E$99:$E$118,1),1),ROWS(Tables!$E$99:$E$118)-1)))))))</f>
        <v>9.368524360160345</v>
      </c>
      <c r="AQ87" s="181">
        <f>IF(P87&lt;6,(INDEX(Tables!$B$123:$B$138,MAX(1,MIN(IFERROR(MATCH(U87,Tables!$A$123:$A$138,1),1),ROWS(Tables!$A$123:$A$138)-1)))+(U87-INDEX(Tables!$A$123:$A$138,MAX(1,MIN(IFERROR(MATCH(U87,Tables!$A$123:$A$138,1),1),ROWS(Tables!$A$123:$A$138)-1))))*(INDEX(Tables!$B$123:$B$138,MAX(1,MIN(IFERROR(MATCH(U87,Tables!$A$123:$A$138,1),1),ROWS(Tables!$A$123:$A$138)-1))+1)-INDEX(Tables!$B$123:$B$138,MAX(1,MIN(IFERROR(MATCH(U87,Tables!$A$123:$A$138,1),1),ROWS(Tables!$A$123:$A$138)-1))))/(INDEX(Tables!$A$123:$A$138,MAX(1,MIN(IFERROR(MATCH(U87,Tables!$A$123:$A$138,1),1),ROWS(Tables!$A$123:$A$138)-1))+1)-INDEX(Tables!$A$123:$A$138,MAX(1,MIN(IFERROR(MATCH(U87,Tables!$A$123:$A$138,1),1),ROWS(Tables!$A$123:$A$138)-1))))),IF(P87&lt;8,(INDEX(Tables!$D$123:$D$138,MAX(1,MIN(IFERROR(MATCH(U87,Tables!$C$123:$C$138,1),1),ROWS(Tables!$C$123:$C$138)-1)))+(U87-INDEX(Tables!$C$123:$C$138,MAX(1,MIN(IFERROR(MATCH(U87,Tables!$C$123:$C$138,1),1),ROWS(Tables!$C$123:$C$138)-1))))*(INDEX(Tables!$D$123:$D$138,MAX(1,MIN(IFERROR(MATCH(U87,Tables!$C$123:$C$138,1),1),ROWS(Tables!$C$123:$C$138)-1))+1)-INDEX(Tables!$D$123:$D$138,MAX(1,MIN(IFERROR(MATCH(U87,Tables!$C$123:$C$138,1),1),ROWS(Tables!$C$123:$C$138)-1))))/(INDEX(Tables!$C$123:$C$138,MAX(1,MIN(IFERROR(MATCH(U87,Tables!$C$123:$C$138,1),1),ROWS(Tables!$C$123:$C$138)-1))+1)-INDEX(Tables!$C$123:$C$138,MAX(1,MIN(IFERROR(MATCH(U87,Tables!$C$123:$C$138,1),1),ROWS(Tables!$C$123:$C$138)-1))))),IF(P87&lt;10,(INDEX(Tables!$F$123:$F$138,MAX(1,MIN(IFERROR(MATCH(U87,Tables!$E$123:$E$138,1),1),ROWS(Tables!$E$123:$E$138)-1)))+(U87-INDEX(Tables!$E$123:$E$138,MAX(1,MIN(IFERROR(MATCH(U87,Tables!$E$123:$E$138,1),1),ROWS(Tables!$E$123:$E$138)-1))))*(INDEX(Tables!$F$123:$F$138,MAX(1,MIN(IFERROR(MATCH(U87,Tables!$E$123:$E$138,1),1),ROWS(Tables!$E$123:$E$138)-1))+1)-INDEX(Tables!$F$123:$F$138,MAX(1,MIN(IFERROR(MATCH(U87,Tables!$E$123:$E$138,1),1),ROWS(Tables!$E$123:$E$138)-1))))/(INDEX(Tables!$E$123:$E$138,MAX(1,MIN(IFERROR(MATCH(U87,Tables!$E$123:$E$138,1),1),ROWS(Tables!$E$123:$E$138)-1))+1)-INDEX(Tables!$E$123:$E$138,MAX(1,MIN(IFERROR(MATCH(U87,Tables!$E$123:$E$138,1),1),ROWS(Tables!$E$123:$E$138)-1))))),(INDEX(Tables!$H$123:$H$138,MAX(1,MIN(IFERROR(MATCH(U87,Tables!$G$123:$G$138,1),1),ROWS(Tables!$G$123:$G$138)-1)))+(U87-INDEX(Tables!$G$123:$G$138,MAX(1,MIN(IFERROR(MATCH(U87,Tables!$G$123:$G$138,1),1),ROWS(Tables!$G$123:$G$138)-1))))*(INDEX(Tables!$H$123:$H$138,MAX(1,MIN(IFERROR(MATCH(U87,Tables!$G$123:$G$138,1),1),ROWS(Tables!$G$123:$G$138)-1))+1)-INDEX(Tables!$H$123:$H$138,MAX(1,MIN(IFERROR(MATCH(U87,Tables!$G$123:$G$138,1),1),ROWS(Tables!$G$123:$G$138)-1))))/(INDEX(Tables!$G$123:$G$138,MAX(1,MIN(IFERROR(MATCH(U87,Tables!$G$123:$G$138,1),1),ROWS(Tables!$G$123:$G$138)-1))+1)-INDEX(Tables!$G$123:$G$138,MAX(1,MIN(IFERROR(MATCH(U87,Tables!$G$123:$G$138,1),1),ROWS(Tables!$G$123:$G$138)-1))))))))</f>
        <v>1.389875</v>
      </c>
      <c r="AR87" s="181">
        <f>IF(OR(P87&gt;=4,U87&gt;12),VLOOKUP(R87&amp;" "&amp;S87,Tables!$D$143:$F$148,2,FALSE),VLOOKUP(R87&amp;" "&amp;S87,Tables!$A$143:$C$148,2,FALSE))</f>
        <v>1</v>
      </c>
      <c r="AS87" s="181">
        <f>IF(OR(P87&gt;=4,U87&gt;12),VLOOKUP(R87&amp;" "&amp;S87,Tables!$D$143:$F$148,3,FALSE),VLOOKUP(R87&amp;" "&amp;S87,Tables!$A$143:$C$148,3,FALSE))</f>
        <v>1</v>
      </c>
      <c r="AT87" s="181">
        <f t="shared" si="72"/>
        <v>1356.3622703206104</v>
      </c>
      <c r="AU87" s="181">
        <f>IF(AD87=5000,(INDEX(Tables!$B$244:$B$263,MAX(1,MIN(IFERROR(MATCH(AF87,Tables!$A$244:$A$263,1),1),ROWS(Tables!$A$244:$A$263)-1)))+(AF87-INDEX(Tables!$A$244:$A$263,MAX(1,MIN(IFERROR(MATCH(AF87,Tables!$A$244:$A$263,1),1),ROWS(Tables!$A$244:$A$263)-1))))*(INDEX(Tables!$B$244:$B$263,MAX(1,MIN(IFERROR(MATCH(AF87,Tables!$A$244:$A$263,1),1),ROWS(Tables!$A$244:$A$263)-1))+1)-INDEX(Tables!$B$244:$B$263,MAX(1,MIN(IFERROR(MATCH(AF87,Tables!$A$244:$A$263,1),1),ROWS(Tables!$A$244:$A$263)-1))))/(INDEX(Tables!$A$244:$A$263,MAX(1,MIN(IFERROR(MATCH(AF87,Tables!$A$244:$A$263,1),1),ROWS(Tables!$A$244:$A$263)-1))+1)-INDEX(Tables!$A$244:$A$263,MAX(1,MIN(IFERROR(MATCH(AF87,Tables!$A$244:$A$263,1),1),ROWS(Tables!$A$244:$A$263)-1))))),IF(AD87=10000,(INDEX(Tables!$D$244:$D$263,MAX(1,MIN(IFERROR(MATCH(AF87,Tables!$C$244:$C$263,1),1),ROWS(Tables!$C$244:$C$263)-1)))+(AF87-INDEX(Tables!$C$244:$C$263,MAX(1,MIN(IFERROR(MATCH(AF87,Tables!$C$244:$C$263,1),1),ROWS(Tables!$C$244:$C$263)-1))))*(INDEX(Tables!$D$244:$D$263,MAX(1,MIN(IFERROR(MATCH(AF87,Tables!$C$244:$C$263,1),1),ROWS(Tables!$C$244:$C$263)-1))+1)-INDEX(Tables!$D$244:$D$263,MAX(1,MIN(IFERROR(MATCH(AF87,Tables!$C$244:$C$263,1),1),ROWS(Tables!$C$244:$C$263)-1))))/(INDEX(Tables!$C$244:$C$263,MAX(1,MIN(IFERROR(MATCH(AF87,Tables!$C$244:$C$263,1),1),ROWS(Tables!$C$244:$C$263)-1))+1)-INDEX(Tables!$C$244:$C$263,MAX(1,MIN(IFERROR(MATCH(AF87,Tables!$C$244:$C$263,1),1),ROWS(Tables!$C$244:$C$263)-1))))),(INDEX(Tables!$F$244:$F$263,MAX(1,MIN(IFERROR(MATCH(AF87,Tables!$E$244:$E$263,1),1),ROWS(Tables!$E$244:$E$263)-1)))+(AF87-INDEX(Tables!$E$244:$E$263,MAX(1,MIN(IFERROR(MATCH(AF87,Tables!$E$244:$E$263,1),1),ROWS(Tables!$E$244:$E$263)-1))))*(INDEX(Tables!$F$244:$F$263,MAX(1,MIN(IFERROR(MATCH(AF87,Tables!$E$244:$E$263,1),1),ROWS(Tables!$E$244:$E$263)-1))+1)-INDEX(Tables!$F$244:$F$263,MAX(1,MIN(IFERROR(MATCH(AF87,Tables!$E$244:$E$263,1),1),ROWS(Tables!$E$244:$E$263)-1))))/(INDEX(Tables!$E$244:$E$263,MAX(1,MIN(IFERROR(MATCH(AF87,Tables!$E$244:$E$263,1),1),ROWS(Tables!$E$244:$E$263)-1))+1)-INDEX(Tables!$E$244:$E$263,MAX(1,MIN(IFERROR(MATCH(AF87,Tables!$E$244:$E$263,1),1),ROWS(Tables!$E$244:$E$263)-1)))))))</f>
        <v>6.5839999999999996</v>
      </c>
      <c r="AV87" s="181">
        <f>IF(P87&lt;6,(INDEX(Tables!$B$260:$B$274,MAX(1,MIN(IFERROR(MATCH(U87,Tables!$A$260:$A$274,1),1),ROWS(Tables!$A$260:$A$274)-1)))+(U87-INDEX(Tables!$A$260:$A$274,MAX(1,MIN(IFERROR(MATCH(U87,Tables!$A$260:$A$274,1),1),ROWS(Tables!$A$260:$A$274)-1))))*(INDEX(Tables!$B$260:$B$274,MAX(1,MIN(IFERROR(MATCH(U87,Tables!$A$260:$A$274,1),1),ROWS(Tables!$A$260:$A$274)-1))+1)-INDEX(Tables!$B$260:$B$274,MAX(1,MIN(IFERROR(MATCH(U87,Tables!$A$260:$A$274,1),1),ROWS(Tables!$A$260:$A$274)-1))))/(INDEX(Tables!$A$260:$A$274,MAX(1,MIN(IFERROR(MATCH(U87,Tables!$A$260:$A$274,1),1),ROWS(Tables!$A$260:$A$274)-1))+1)-INDEX(Tables!$A$260:$A$274,MAX(1,MIN(IFERROR(MATCH(U87,Tables!$A$260:$A$274,1),1),ROWS(Tables!$A$260:$A$274)-1))))),IF(P87&lt;8,(INDEX(Tables!$D$260:$D$274,MAX(1,MIN(IFERROR(MATCH(U87,Tables!$C$260:$C$274,1),1),ROWS(Tables!$C$260:$C$274)-1)))+(U87-INDEX(Tables!$C$260:$C$274,MAX(1,MIN(IFERROR(MATCH(U87,Tables!$C$260:$C$274,1),1),ROWS(Tables!$C$260:$C$274)-1))))*(INDEX(Tables!$D$260:$D$274,MAX(1,MIN(IFERROR(MATCH(U87,Tables!$C$260:$C$274,1),1),ROWS(Tables!$C$260:$C$274)-1))+1)-INDEX(Tables!$D$260:$D$274,MAX(1,MIN(IFERROR(MATCH(U87,Tables!$C$260:$C$274,1),1),ROWS(Tables!$C$260:$C$274)-1))))/(INDEX(Tables!$C$260:$C$274,MAX(1,MIN(IFERROR(MATCH(U87,Tables!$C$260:$C$274,1),1),ROWS(Tables!$C$260:$C$274)-1))+1)-INDEX(Tables!$C$260:$C$274,MAX(1,MIN(IFERROR(MATCH(U87,Tables!$C$260:$C$274,1),1),ROWS(Tables!$C$260:$C$274)-1))))),IF(P87&lt;10,(INDEX(Tables!$F$260:$F$274,MAX(1,MIN(IFERROR(MATCH(U87,Tables!$E$260:$E$274,1),1),ROWS(Tables!$E$260:$E$274)-1)))+(U87-INDEX(Tables!$E$260:$E$274,MAX(1,MIN(IFERROR(MATCH(U87,Tables!$E$260:$E$274,1),1),ROWS(Tables!$E$260:$E$274)-1))))*(INDEX(Tables!$F$260:$F$274,MAX(1,MIN(IFERROR(MATCH(U87,Tables!$E$260:$E$274,1),1),ROWS(Tables!$E$260:$E$274)-1))+1)-INDEX(Tables!$F$260:$F$274,MAX(1,MIN(IFERROR(MATCH(U87,Tables!$E$260:$E$274,1),1),ROWS(Tables!$E$260:$E$274)-1))))/(INDEX(Tables!$E$260:$E$274,MAX(1,MIN(IFERROR(MATCH(U87,Tables!$E$260:$E$274,1),1),ROWS(Tables!$E$260:$E$274)-1))+1)-INDEX(Tables!$E$260:$E$274,MAX(1,MIN(IFERROR(MATCH(U87,Tables!$E$260:$E$274,1),1),ROWS(Tables!$E$260:$E$274)-1))))),(INDEX(Tables!$H$260:$H$274,MAX(1,MIN(IFERROR(MATCH(U87,Tables!$G$260:$G$274,1),1),ROWS(Tables!$G$260:$G$274)-1)))+(U87-INDEX(Tables!$G$260:$G$274,MAX(1,MIN(IFERROR(MATCH(U87,Tables!$G$260:$G$274,1),1),ROWS(Tables!$G$260:$G$274)-1))))*(INDEX(Tables!$H$260:$H$274,MAX(1,MIN(IFERROR(MATCH(U87,Tables!$G$260:$G$274,1),1),ROWS(Tables!$G$260:$G$274)-1))+1)-INDEX(Tables!$H$260:$H$274,MAX(1,MIN(IFERROR(MATCH(U87,Tables!$G$260:$G$274,1),1),ROWS(Tables!$G$260:$G$274)-1))))/(INDEX(Tables!$G$260:$G$274,MAX(1,MIN(IFERROR(MATCH(U87,Tables!$G$260:$G$274,1),1),ROWS(Tables!$G$260:$G$274)-1))+1)-INDEX(Tables!$G$260:$G$274,MAX(1,MIN(IFERROR(MATCH(U87,Tables!$G$260:$G$274,1),1),ROWS(Tables!$G$260:$G$274)-1))))))))</f>
        <v>1.3123750000000001</v>
      </c>
      <c r="AW87" s="181">
        <f t="shared" si="73"/>
        <v>900.07052083333338</v>
      </c>
      <c r="AX87" s="181">
        <f t="shared" si="74"/>
        <v>28638.513513513513</v>
      </c>
      <c r="AY87" s="181">
        <f t="shared" si="75"/>
        <v>31342.942698402716</v>
      </c>
      <c r="AZ87" s="181">
        <f t="shared" si="76"/>
        <v>9896.0446492579631</v>
      </c>
      <c r="BA87" s="181">
        <f t="shared" si="77"/>
        <v>-1000</v>
      </c>
      <c r="BB87" s="181">
        <f t="shared" si="78"/>
        <v>28502.273306888994</v>
      </c>
      <c r="BC87" s="181">
        <f t="shared" si="79"/>
        <v>46800</v>
      </c>
      <c r="BD87" s="181">
        <f>VLOOKUP(V87&amp;" "&amp;J87,Tables!$A$152:$E$239,4,FALSE)</f>
        <v>12000</v>
      </c>
      <c r="BE87" s="181">
        <f>VLOOKUP(V87&amp;" "&amp;J87,Tables!$A$152:$E$239,5,FALSE)</f>
        <v>23000</v>
      </c>
      <c r="BF87" s="181">
        <f t="shared" si="80"/>
        <v>8640</v>
      </c>
      <c r="BG87" s="181">
        <f t="shared" si="81"/>
        <v>16560</v>
      </c>
      <c r="BH87" s="181">
        <f t="shared" si="82"/>
        <v>29138.513513513513</v>
      </c>
      <c r="BI87" s="181">
        <f t="shared" si="83"/>
        <v>46800</v>
      </c>
      <c r="BJ87" s="181">
        <f t="shared" si="84"/>
        <v>28502.273306888994</v>
      </c>
      <c r="BK87" s="181">
        <f t="shared" si="85"/>
        <v>46800</v>
      </c>
      <c r="BL87" s="181">
        <f t="shared" si="86"/>
        <v>900.07052083333338</v>
      </c>
      <c r="BM87" s="181">
        <f t="shared" si="87"/>
        <v>8640</v>
      </c>
      <c r="BN87" s="181">
        <f t="shared" si="88"/>
        <v>1356.3622703206104</v>
      </c>
      <c r="BO87" s="181">
        <f t="shared" si="89"/>
        <v>16560</v>
      </c>
      <c r="BP87" t="str">
        <f t="shared" si="90"/>
        <v>Pass</v>
      </c>
      <c r="BQ87" t="str">
        <f t="shared" si="91"/>
        <v>Pass</v>
      </c>
      <c r="BR87" t="str">
        <f t="shared" si="92"/>
        <v>Pass</v>
      </c>
      <c r="BS87" t="str">
        <f t="shared" si="93"/>
        <v>Pass</v>
      </c>
      <c r="BT87" t="str">
        <f t="shared" si="94"/>
        <v>Pass</v>
      </c>
      <c r="BU87" t="str">
        <f t="shared" si="95"/>
        <v>Barlow Stress</v>
      </c>
    </row>
    <row r="88" spans="1:73">
      <c r="A88" t="s">
        <v>680</v>
      </c>
      <c r="B88" s="181">
        <v>86</v>
      </c>
      <c r="C88" t="s">
        <v>594</v>
      </c>
      <c r="D88" s="181">
        <v>12</v>
      </c>
      <c r="E88" s="181">
        <v>0.18</v>
      </c>
      <c r="F88" t="s">
        <v>117</v>
      </c>
      <c r="G88" t="s">
        <v>119</v>
      </c>
      <c r="H88" t="s">
        <v>122</v>
      </c>
      <c r="I88" s="181">
        <v>1</v>
      </c>
      <c r="J88" t="s">
        <v>126</v>
      </c>
      <c r="K88" t="s">
        <v>129</v>
      </c>
      <c r="L88" s="181">
        <v>70</v>
      </c>
      <c r="M88" s="181">
        <v>1000</v>
      </c>
      <c r="N88" t="s">
        <v>392</v>
      </c>
      <c r="O88" s="181">
        <v>120</v>
      </c>
      <c r="P88" s="181">
        <v>6</v>
      </c>
      <c r="Q88" s="181">
        <v>14.75</v>
      </c>
      <c r="R88" t="s">
        <v>154</v>
      </c>
      <c r="S88" t="s">
        <v>156</v>
      </c>
      <c r="T88" s="181">
        <v>70</v>
      </c>
      <c r="U88" s="181">
        <f>HLOOKUP(D88,'Highway Loading'!$C$155:$AD$156,2,FALSE)</f>
        <v>12.75</v>
      </c>
      <c r="V88" s="181">
        <f>IF(ISBLANK(G88),"",INDEX('Highway Loading'!$C$216:$AG$216,1,MATCH(G88,'Highway Loading'!$C$215:$AG$215,0)))</f>
        <v>65000</v>
      </c>
      <c r="W88" s="181">
        <f>INDEX('Highway Loading'!$I$245:$L$253,MATCH(H88,'Highway Loading'!$H$245:$H$253,0),MATCH(I88,'Highway Loading'!$I$244:$L$244,0))</f>
        <v>0.72</v>
      </c>
      <c r="X88" s="181">
        <f t="shared" si="64"/>
        <v>1</v>
      </c>
      <c r="Y88" s="181">
        <f>VLOOKUP(K88,'Highway Loading'!$B$283:$E$292,2,FALSE)</f>
        <v>29000000</v>
      </c>
      <c r="Z88" s="181">
        <f>VLOOKUP(K88,'Highway Loading'!$B$283:$E$292,3,FALSE)</f>
        <v>0.3</v>
      </c>
      <c r="AA88" s="181">
        <f>VLOOKUP(K88,'Highway Loading'!$B$283:$E$292,4,FALSE)</f>
        <v>6.4999999999999996E-6</v>
      </c>
      <c r="AB88" s="181">
        <f t="shared" si="65"/>
        <v>1</v>
      </c>
      <c r="AC88" s="181">
        <f>VLOOKUP(N88,'Highway Loading'!$B$256:$D$261,2,FALSE)</f>
        <v>2000</v>
      </c>
      <c r="AD88" s="181">
        <f>VLOOKUP(N88,'Highway Loading'!$B$256:$D$261,3,FALSE)</f>
        <v>20000</v>
      </c>
      <c r="AE88" s="181">
        <f>VLOOKUP(S88,'Highway Loading'!$B$340:$C$341,2,FALSE)</f>
        <v>10000</v>
      </c>
      <c r="AF88" s="181">
        <f t="shared" si="66"/>
        <v>1.4117647058823528E-2</v>
      </c>
      <c r="AG88" s="181">
        <f t="shared" si="67"/>
        <v>4.8813559322033901</v>
      </c>
      <c r="AH88" s="181">
        <f t="shared" si="68"/>
        <v>1.1568627450980393</v>
      </c>
      <c r="AI88" s="181">
        <f t="shared" si="69"/>
        <v>35416.666666666672</v>
      </c>
      <c r="AJ88" s="181">
        <f t="shared" si="70"/>
        <v>46800</v>
      </c>
      <c r="AK88" s="181">
        <f>IF(AC88=200,(INDEX(Tables!$B$17:$B$38,MAX(1,MIN(IFERROR(MATCH(AF88,Tables!$A$17:$A$38,1),1),ROWS(Tables!$A$17:$A$38)-1)))+(AF88-INDEX(Tables!$A$17:$A$38,MAX(1,MIN(IFERROR(MATCH(AF88,Tables!$A$17:$A$38,1),1),ROWS(Tables!$A$17:$A$38)-1))))*(INDEX(Tables!$B$17:$B$38,MAX(1,MIN(IFERROR(MATCH(AF88,Tables!$A$17:$A$38,1),1),ROWS(Tables!$A$17:$A$38)-1))+1)-INDEX(Tables!$B$17:$B$38,MAX(1,MIN(IFERROR(MATCH(AF88,Tables!$A$17:$A$38,1),1),ROWS(Tables!$A$17:$A$38)-1))))/(INDEX(Tables!$A$17:$A$38,MAX(1,MIN(IFERROR(MATCH(AF88,Tables!$A$17:$A$38,1),1),ROWS(Tables!$A$17:$A$38)-1))+1)-INDEX(Tables!$A$17:$A$38,MAX(1,MIN(IFERROR(MATCH(AF88,Tables!$A$17:$A$38,1),1),ROWS(Tables!$A$17:$A$38)-1))))),IF(AC88=500,(INDEX(Tables!$D$17:$D$38,MAX(1,MIN(IFERROR(MATCH(AF88,Tables!$C$17:$C$38,1),1),ROWS(Tables!$C$17:$C$38)-1)))+(AF88-INDEX(Tables!$C$17:$C$38,MAX(1,MIN(IFERROR(MATCH(AF88,Tables!$C$17:$C$38,1),1),ROWS(Tables!$C$17:$C$38)-1))))*(INDEX(Tables!$D$17:$D$38,MAX(1,MIN(IFERROR(MATCH(AF88,Tables!$C$17:$C$38,1),1),ROWS(Tables!$C$17:$C$38)-1))+1)-INDEX(Tables!$D$17:$D$38,MAX(1,MIN(IFERROR(MATCH(AF88,Tables!$C$17:$C$38,1),1),ROWS(Tables!$C$17:$C$38)-1))))/(INDEX(Tables!$C$17:$C$38,MAX(1,MIN(IFERROR(MATCH(AF88,Tables!$C$17:$C$38,1),1),ROWS(Tables!$C$17:$C$38)-1))+1)-INDEX(Tables!$C$17:$C$38,MAX(1,MIN(IFERROR(MATCH(AF88,Tables!$C$17:$C$38,1),1),ROWS(Tables!$C$17:$C$38)-1))))),IF(AC88=1000,(INDEX(Tables!$F$17:$F$38,MAX(1,MIN(IFERROR(MATCH(AF88,Tables!$E$17:$E$38,1),1),ROWS(Tables!$E$17:$E$38)-1)))+(AF88-INDEX(Tables!$E$17:$E$38,MAX(1,MIN(IFERROR(MATCH(AF88,Tables!$E$17:$E$38,1),1),ROWS(Tables!$E$17:$E$38)-1))))*(INDEX(Tables!$F$17:$F$38,MAX(1,MIN(IFERROR(MATCH(AF88,Tables!$E$17:$E$38,1),1),ROWS(Tables!$E$17:$E$38)-1))+1)-INDEX(Tables!$F$17:$F$38,MAX(1,MIN(IFERROR(MATCH(AF88,Tables!$E$17:$E$38,1),1),ROWS(Tables!$E$17:$E$38)-1))))/(INDEX(Tables!$E$17:$E$38,MAX(1,MIN(IFERROR(MATCH(AF88,Tables!$E$17:$E$38,1),1),ROWS(Tables!$E$17:$E$38)-1))+1)-INDEX(Tables!$E$17:$E$38,MAX(1,MIN(IFERROR(MATCH(AF88,Tables!$E$17:$E$38,1),1),ROWS(Tables!$E$17:$E$38)-1))))),(INDEX(Tables!$H$17:$H$38,MAX(1,MIN(IFERROR(MATCH(AF88,Tables!$G$17:$G$38,1),1),ROWS(Tables!$G$17:$G$38)-1)))+(AF88-INDEX(Tables!$G$17:$G$38,MAX(1,MIN(IFERROR(MATCH(AF88,Tables!$G$17:$G$38,1),1),ROWS(Tables!$G$17:$G$38)-1))))*(INDEX(Tables!$H$17:$H$38,MAX(1,MIN(IFERROR(MATCH(AF88,Tables!$G$17:$G$38,1),1),ROWS(Tables!$G$17:$G$38)-1))+1)-INDEX(Tables!$H$17:$H$38,MAX(1,MIN(IFERROR(MATCH(AF88,Tables!$G$17:$G$38,1),1),ROWS(Tables!$G$17:$G$38)-1))))/(INDEX(Tables!$G$17:$G$38,MAX(1,MIN(IFERROR(MATCH(AF88,Tables!$G$17:$G$38,1),1),ROWS(Tables!$G$17:$G$38)-1))+1)-INDEX(Tables!$G$17:$G$38,MAX(1,MIN(IFERROR(MATCH(AF88,Tables!$G$17:$G$38,1),1),ROWS(Tables!$G$17:$G$38)-1))))))))</f>
        <v>2535.6470588235297</v>
      </c>
      <c r="AL88" s="181">
        <f>IF(AC88&lt;1000,(INDEX(Tables!$B$43:$B$76,MAX(1,MIN(IFERROR(MATCH(AG88,Tables!$A$43:$A$76,1),1),ROWS(Tables!$A$43:$A$76)-1)))+(AG88-INDEX(Tables!$A$43:$A$76,MAX(1,MIN(IFERROR(MATCH(AG88,Tables!$A$43:$A$76,1),1),ROWS(Tables!$A$43:$A$76)-1))))*(INDEX(Tables!$B$43:$B$76,MAX(1,MIN(IFERROR(MATCH(AG88,Tables!$A$43:$A$76,1),1),ROWS(Tables!$A$43:$A$76)-1))+1)-INDEX(Tables!$B$43:$B$76,MAX(1,MIN(IFERROR(MATCH(AG88,Tables!$A$43:$A$76,1),1),ROWS(Tables!$A$43:$A$76)-1))))/(INDEX(Tables!$A$43:$A$76,MAX(1,MIN(IFERROR(MATCH(AG88,Tables!$A$43:$A$76,1),1),ROWS(Tables!$A$43:$A$76)-1))+1)-INDEX(Tables!$A$43:$A$76,MAX(1,MIN(IFERROR(MATCH(AG88,Tables!$A$43:$A$76,1),1),ROWS(Tables!$A$43:$A$76)-1))))),(INDEX(Tables!$D$43:$D$76,MAX(1,MIN(IFERROR(MATCH(AG88,Tables!$C$43:$C$76,1),1),ROWS(Tables!$C$43:$C$76)-1)))+(AG88-INDEX(Tables!$C$43:$C$76,MAX(1,MIN(IFERROR(MATCH(AG88,Tables!$C$43:$C$76,1),1),ROWS(Tables!$C$43:$C$76)-1))))*(INDEX(Tables!$D$43:$D$76,MAX(1,MIN(IFERROR(MATCH(AG88,Tables!$C$43:$C$76,1),1),ROWS(Tables!$C$43:$C$76)-1))+1)-INDEX(Tables!$D$43:$D$76,MAX(1,MIN(IFERROR(MATCH(AG88,Tables!$C$43:$C$76,1),1),ROWS(Tables!$C$43:$C$76)-1))))/(INDEX(Tables!$C$43:$C$76,MAX(1,MIN(IFERROR(MATCH(AG88,Tables!$C$43:$C$76,1),1),ROWS(Tables!$C$43:$C$76)-1))+1)-INDEX(Tables!$C$43:$C$76,MAX(1,MIN(IFERROR(MATCH(AG88,Tables!$C$43:$C$76,1),1),ROWS(Tables!$C$43:$C$76)-1))))))</f>
        <v>0.95557627118644062</v>
      </c>
      <c r="AM88" s="181">
        <f>(INDEX(Tables!$B$80:$B$87,MAX(1,MIN(IFERROR(MATCH(AH88,Tables!$A$80:$A$87,1),1),ROWS(Tables!$A$80:$A$87)-1)))+(AH88-INDEX(Tables!$A$80:$A$87,MAX(1,MIN(IFERROR(MATCH(AH88,Tables!$A$80:$A$87,1),1),ROWS(Tables!$A$80:$A$87)-1))))*(INDEX(Tables!$B$80:$B$87,MAX(1,MIN(IFERROR(MATCH(AH88,Tables!$A$80:$A$87,1),1),ROWS(Tables!$A$80:$A$87)-1))+1)-INDEX(Tables!$B$80:$B$87,MAX(1,MIN(IFERROR(MATCH(AH88,Tables!$A$80:$A$87,1),1),ROWS(Tables!$A$80:$A$87)-1))))/(INDEX(Tables!$A$80:$A$87,MAX(1,MIN(IFERROR(MATCH(AH88,Tables!$A$80:$A$87,1),1),ROWS(Tables!$A$80:$A$87)-1))+1)-INDEX(Tables!$A$80:$A$87,MAX(1,MIN(IFERROR(MATCH(AH88,Tables!$A$80:$A$87,1),1),ROWS(Tables!$A$80:$A$87)-1)))))</f>
        <v>1.1041078431372553</v>
      </c>
      <c r="AN88" s="181">
        <f t="shared" si="71"/>
        <v>2368.7179311259461</v>
      </c>
      <c r="AO88" s="181">
        <f>(INDEX(Tables!$B$91:$B$94,MAX(1,MIN(IFERROR(MATCH(P88,Tables!$A$91:$A$94,1),1),ROWS(Tables!$A$91:$A$94)-1)))+(P88-INDEX(Tables!$A$91:$A$94,MAX(1,MIN(IFERROR(MATCH(P88,Tables!$A$91:$A$94,1),1),ROWS(Tables!$A$91:$A$94)-1))))*(INDEX(Tables!$B$91:$B$94,MAX(1,MIN(IFERROR(MATCH(P88,Tables!$A$91:$A$94,1),1),ROWS(Tables!$A$91:$A$94)-1))+1)-INDEX(Tables!$B$91:$B$94,MAX(1,MIN(IFERROR(MATCH(P88,Tables!$A$91:$A$94,1),1),ROWS(Tables!$A$91:$A$94)-1))))/(INDEX(Tables!$A$91:$A$94,MAX(1,MIN(IFERROR(MATCH(P88,Tables!$A$91:$A$94,1),1),ROWS(Tables!$A$91:$A$94)-1))+1)-INDEX(Tables!$A$91:$A$94,MAX(1,MIN(IFERROR(MATCH(P88,Tables!$A$91:$A$94,1),1),ROWS(Tables!$A$91:$A$94)-1)))))</f>
        <v>1.476219512195122</v>
      </c>
      <c r="AP88" s="181">
        <f>IF(AD88=5000,(INDEX(Tables!$B$99:$B$118,MAX(1,MIN(IFERROR(MATCH(AF88,Tables!$A$99:$A$118,1),1),ROWS(Tables!$A$99:$A$118)-1)))+(AF88-INDEX(Tables!$A$99:$A$118,MAX(1,MIN(IFERROR(MATCH(AF88,Tables!$A$99:$A$118,1),1),ROWS(Tables!$A$99:$A$118)-1))))*(INDEX(Tables!$B$99:$B$118,MAX(1,MIN(IFERROR(MATCH(AF88,Tables!$A$99:$A$118,1),1),ROWS(Tables!$A$99:$A$118)-1))+1)-INDEX(Tables!$B$99:$B$118,MAX(1,MIN(IFERROR(MATCH(AF88,Tables!$A$99:$A$118,1),1),ROWS(Tables!$A$99:$A$118)-1))))/(INDEX(Tables!$A$99:$A$118,MAX(1,MIN(IFERROR(MATCH(AF88,Tables!$A$99:$A$118,1),1),ROWS(Tables!$A$99:$A$118)-1))+1)-INDEX(Tables!$A$99:$A$118,MAX(1,MIN(IFERROR(MATCH(AF88,Tables!$A$99:$A$118,1),1),ROWS(Tables!$A$99:$A$118)-1))))),IF(AD88=10000,(INDEX(Tables!$D$99:$D$118,MAX(1,MIN(IFERROR(MATCH(AF88,Tables!$C$99:$C$118,1),1),ROWS(Tables!$C$99:$C$118)-1)))+(AF88-INDEX(Tables!$C$99:$C$118,MAX(1,MIN(IFERROR(MATCH(AF88,Tables!$C$99:$C$118,1),1),ROWS(Tables!$C$99:$C$118)-1))))*(INDEX(Tables!$D$99:$D$118,MAX(1,MIN(IFERROR(MATCH(AF88,Tables!$C$99:$C$118,1),1),ROWS(Tables!$C$99:$C$118)-1))+1)-INDEX(Tables!$D$99:$D$118,MAX(1,MIN(IFERROR(MATCH(AF88,Tables!$C$99:$C$118,1),1),ROWS(Tables!$C$99:$C$118)-1))))/(INDEX(Tables!$C$99:$C$118,MAX(1,MIN(IFERROR(MATCH(AF88,Tables!$C$99:$C$118,1),1),ROWS(Tables!$C$99:$C$118)-1))+1)-INDEX(Tables!$C$99:$C$118,MAX(1,MIN(IFERROR(MATCH(AF88,Tables!$C$99:$C$118,1),1),ROWS(Tables!$C$99:$C$118)-1))))),(INDEX(Tables!$F$99:$F$118,MAX(1,MIN(IFERROR(MATCH(AF88,Tables!$E$99:$E$118,1),1),ROWS(Tables!$E$99:$E$118)-1)))+(AF88-INDEX(Tables!$E$99:$E$118,MAX(1,MIN(IFERROR(MATCH(AF88,Tables!$E$99:$E$118,1),1),ROWS(Tables!$E$99:$E$118)-1))))*(INDEX(Tables!$F$99:$F$118,MAX(1,MIN(IFERROR(MATCH(AF88,Tables!$E$99:$E$118,1),1),ROWS(Tables!$E$99:$E$118)-1))+1)-INDEX(Tables!$F$99:$F$118,MAX(1,MIN(IFERROR(MATCH(AF88,Tables!$E$99:$E$118,1),1),ROWS(Tables!$E$99:$E$118)-1))))/(INDEX(Tables!$E$99:$E$118,MAX(1,MIN(IFERROR(MATCH(AF88,Tables!$E$99:$E$118,1),1),ROWS(Tables!$E$99:$E$118)-1))+1)-INDEX(Tables!$E$99:$E$118,MAX(1,MIN(IFERROR(MATCH(AF88,Tables!$E$99:$E$118,1),1),ROWS(Tables!$E$99:$E$118)-1)))))))</f>
        <v>8.8264841936774712</v>
      </c>
      <c r="AQ88" s="181">
        <f>IF(P88&lt;6,(INDEX(Tables!$B$123:$B$138,MAX(1,MIN(IFERROR(MATCH(U88,Tables!$A$123:$A$138,1),1),ROWS(Tables!$A$123:$A$138)-1)))+(U88-INDEX(Tables!$A$123:$A$138,MAX(1,MIN(IFERROR(MATCH(U88,Tables!$A$123:$A$138,1),1),ROWS(Tables!$A$123:$A$138)-1))))*(INDEX(Tables!$B$123:$B$138,MAX(1,MIN(IFERROR(MATCH(U88,Tables!$A$123:$A$138,1),1),ROWS(Tables!$A$123:$A$138)-1))+1)-INDEX(Tables!$B$123:$B$138,MAX(1,MIN(IFERROR(MATCH(U88,Tables!$A$123:$A$138,1),1),ROWS(Tables!$A$123:$A$138)-1))))/(INDEX(Tables!$A$123:$A$138,MAX(1,MIN(IFERROR(MATCH(U88,Tables!$A$123:$A$138,1),1),ROWS(Tables!$A$123:$A$138)-1))+1)-INDEX(Tables!$A$123:$A$138,MAX(1,MIN(IFERROR(MATCH(U88,Tables!$A$123:$A$138,1),1),ROWS(Tables!$A$123:$A$138)-1))))),IF(P88&lt;8,(INDEX(Tables!$D$123:$D$138,MAX(1,MIN(IFERROR(MATCH(U88,Tables!$C$123:$C$138,1),1),ROWS(Tables!$C$123:$C$138)-1)))+(U88-INDEX(Tables!$C$123:$C$138,MAX(1,MIN(IFERROR(MATCH(U88,Tables!$C$123:$C$138,1),1),ROWS(Tables!$C$123:$C$138)-1))))*(INDEX(Tables!$D$123:$D$138,MAX(1,MIN(IFERROR(MATCH(U88,Tables!$C$123:$C$138,1),1),ROWS(Tables!$C$123:$C$138)-1))+1)-INDEX(Tables!$D$123:$D$138,MAX(1,MIN(IFERROR(MATCH(U88,Tables!$C$123:$C$138,1),1),ROWS(Tables!$C$123:$C$138)-1))))/(INDEX(Tables!$C$123:$C$138,MAX(1,MIN(IFERROR(MATCH(U88,Tables!$C$123:$C$138,1),1),ROWS(Tables!$C$123:$C$138)-1))+1)-INDEX(Tables!$C$123:$C$138,MAX(1,MIN(IFERROR(MATCH(U88,Tables!$C$123:$C$138,1),1),ROWS(Tables!$C$123:$C$138)-1))))),IF(P88&lt;10,(INDEX(Tables!$F$123:$F$138,MAX(1,MIN(IFERROR(MATCH(U88,Tables!$E$123:$E$138,1),1),ROWS(Tables!$E$123:$E$138)-1)))+(U88-INDEX(Tables!$E$123:$E$138,MAX(1,MIN(IFERROR(MATCH(U88,Tables!$E$123:$E$138,1),1),ROWS(Tables!$E$123:$E$138)-1))))*(INDEX(Tables!$F$123:$F$138,MAX(1,MIN(IFERROR(MATCH(U88,Tables!$E$123:$E$138,1),1),ROWS(Tables!$E$123:$E$138)-1))+1)-INDEX(Tables!$F$123:$F$138,MAX(1,MIN(IFERROR(MATCH(U88,Tables!$E$123:$E$138,1),1),ROWS(Tables!$E$123:$E$138)-1))))/(INDEX(Tables!$E$123:$E$138,MAX(1,MIN(IFERROR(MATCH(U88,Tables!$E$123:$E$138,1),1),ROWS(Tables!$E$123:$E$138)-1))+1)-INDEX(Tables!$E$123:$E$138,MAX(1,MIN(IFERROR(MATCH(U88,Tables!$E$123:$E$138,1),1),ROWS(Tables!$E$123:$E$138)-1))))),(INDEX(Tables!$H$123:$H$138,MAX(1,MIN(IFERROR(MATCH(U88,Tables!$G$123:$G$138,1),1),ROWS(Tables!$G$123:$G$138)-1)))+(U88-INDEX(Tables!$G$123:$G$138,MAX(1,MIN(IFERROR(MATCH(U88,Tables!$G$123:$G$138,1),1),ROWS(Tables!$G$123:$G$138)-1))))*(INDEX(Tables!$H$123:$H$138,MAX(1,MIN(IFERROR(MATCH(U88,Tables!$G$123:$G$138,1),1),ROWS(Tables!$G$123:$G$138)-1))+1)-INDEX(Tables!$H$123:$H$138,MAX(1,MIN(IFERROR(MATCH(U88,Tables!$G$123:$G$138,1),1),ROWS(Tables!$G$123:$G$138)-1))))/(INDEX(Tables!$G$123:$G$138,MAX(1,MIN(IFERROR(MATCH(U88,Tables!$G$123:$G$138,1),1),ROWS(Tables!$G$123:$G$138)-1))+1)-INDEX(Tables!$G$123:$G$138,MAX(1,MIN(IFERROR(MATCH(U88,Tables!$G$123:$G$138,1),1),ROWS(Tables!$G$123:$G$138)-1))))))))</f>
        <v>1.01675</v>
      </c>
      <c r="AR88" s="181">
        <f>IF(OR(P88&gt;=4,U88&gt;12),VLOOKUP(R88&amp;" "&amp;S88,Tables!$D$143:$F$148,2,FALSE),VLOOKUP(R88&amp;" "&amp;S88,Tables!$A$143:$C$148,2,FALSE))</f>
        <v>1</v>
      </c>
      <c r="AS88" s="181">
        <f>IF(OR(P88&gt;=4,U88&gt;12),VLOOKUP(R88&amp;" "&amp;S88,Tables!$D$143:$F$148,3,FALSE),VLOOKUP(R88&amp;" "&amp;S88,Tables!$A$143:$C$148,3,FALSE))</f>
        <v>1</v>
      </c>
      <c r="AT88" s="181">
        <f t="shared" si="72"/>
        <v>920.00540367945985</v>
      </c>
      <c r="AU88" s="181">
        <f>IF(AD88=5000,(INDEX(Tables!$B$244:$B$263,MAX(1,MIN(IFERROR(MATCH(AF88,Tables!$A$244:$A$263,1),1),ROWS(Tables!$A$244:$A$263)-1)))+(AF88-INDEX(Tables!$A$244:$A$263,MAX(1,MIN(IFERROR(MATCH(AF88,Tables!$A$244:$A$263,1),1),ROWS(Tables!$A$244:$A$263)-1))))*(INDEX(Tables!$B$244:$B$263,MAX(1,MIN(IFERROR(MATCH(AF88,Tables!$A$244:$A$263,1),1),ROWS(Tables!$A$244:$A$263)-1))+1)-INDEX(Tables!$B$244:$B$263,MAX(1,MIN(IFERROR(MATCH(AF88,Tables!$A$244:$A$263,1),1),ROWS(Tables!$A$244:$A$263)-1))))/(INDEX(Tables!$A$244:$A$263,MAX(1,MIN(IFERROR(MATCH(AF88,Tables!$A$244:$A$263,1),1),ROWS(Tables!$A$244:$A$263)-1))+1)-INDEX(Tables!$A$244:$A$263,MAX(1,MIN(IFERROR(MATCH(AF88,Tables!$A$244:$A$263,1),1),ROWS(Tables!$A$244:$A$263)-1))))),IF(AD88=10000,(INDEX(Tables!$D$244:$D$263,MAX(1,MIN(IFERROR(MATCH(AF88,Tables!$C$244:$C$263,1),1),ROWS(Tables!$C$244:$C$263)-1)))+(AF88-INDEX(Tables!$C$244:$C$263,MAX(1,MIN(IFERROR(MATCH(AF88,Tables!$C$244:$C$263,1),1),ROWS(Tables!$C$244:$C$263)-1))))*(INDEX(Tables!$D$244:$D$263,MAX(1,MIN(IFERROR(MATCH(AF88,Tables!$C$244:$C$263,1),1),ROWS(Tables!$C$244:$C$263)-1))+1)-INDEX(Tables!$D$244:$D$263,MAX(1,MIN(IFERROR(MATCH(AF88,Tables!$C$244:$C$263,1),1),ROWS(Tables!$C$244:$C$263)-1))))/(INDEX(Tables!$C$244:$C$263,MAX(1,MIN(IFERROR(MATCH(AF88,Tables!$C$244:$C$263,1),1),ROWS(Tables!$C$244:$C$263)-1))+1)-INDEX(Tables!$C$244:$C$263,MAX(1,MIN(IFERROR(MATCH(AF88,Tables!$C$244:$C$263,1),1),ROWS(Tables!$C$244:$C$263)-1))))),(INDEX(Tables!$F$244:$F$263,MAX(1,MIN(IFERROR(MATCH(AF88,Tables!$E$244:$E$263,1),1),ROWS(Tables!$E$244:$E$263)-1)))+(AF88-INDEX(Tables!$E$244:$E$263,MAX(1,MIN(IFERROR(MATCH(AF88,Tables!$E$244:$E$263,1),1),ROWS(Tables!$E$244:$E$263)-1))))*(INDEX(Tables!$F$244:$F$263,MAX(1,MIN(IFERROR(MATCH(AF88,Tables!$E$244:$E$263,1),1),ROWS(Tables!$E$244:$E$263)-1))+1)-INDEX(Tables!$F$244:$F$263,MAX(1,MIN(IFERROR(MATCH(AF88,Tables!$E$244:$E$263,1),1),ROWS(Tables!$E$244:$E$263)-1))))/(INDEX(Tables!$E$244:$E$263,MAX(1,MIN(IFERROR(MATCH(AF88,Tables!$E$244:$E$263,1),1),ROWS(Tables!$E$244:$E$263)-1))+1)-INDEX(Tables!$E$244:$E$263,MAX(1,MIN(IFERROR(MATCH(AF88,Tables!$E$244:$E$263,1),1),ROWS(Tables!$E$244:$E$263)-1)))))))</f>
        <v>6.4889019607843137</v>
      </c>
      <c r="AV88" s="181">
        <f>IF(P88&lt;6,(INDEX(Tables!$B$260:$B$274,MAX(1,MIN(IFERROR(MATCH(U88,Tables!$A$260:$A$274,1),1),ROWS(Tables!$A$260:$A$274)-1)))+(U88-INDEX(Tables!$A$260:$A$274,MAX(1,MIN(IFERROR(MATCH(U88,Tables!$A$260:$A$274,1),1),ROWS(Tables!$A$260:$A$274)-1))))*(INDEX(Tables!$B$260:$B$274,MAX(1,MIN(IFERROR(MATCH(U88,Tables!$A$260:$A$274,1),1),ROWS(Tables!$A$260:$A$274)-1))+1)-INDEX(Tables!$B$260:$B$274,MAX(1,MIN(IFERROR(MATCH(U88,Tables!$A$260:$A$274,1),1),ROWS(Tables!$A$260:$A$274)-1))))/(INDEX(Tables!$A$260:$A$274,MAX(1,MIN(IFERROR(MATCH(U88,Tables!$A$260:$A$274,1),1),ROWS(Tables!$A$260:$A$274)-1))+1)-INDEX(Tables!$A$260:$A$274,MAX(1,MIN(IFERROR(MATCH(U88,Tables!$A$260:$A$274,1),1),ROWS(Tables!$A$260:$A$274)-1))))),IF(P88&lt;8,(INDEX(Tables!$D$260:$D$274,MAX(1,MIN(IFERROR(MATCH(U88,Tables!$C$260:$C$274,1),1),ROWS(Tables!$C$260:$C$274)-1)))+(U88-INDEX(Tables!$C$260:$C$274,MAX(1,MIN(IFERROR(MATCH(U88,Tables!$C$260:$C$274,1),1),ROWS(Tables!$C$260:$C$274)-1))))*(INDEX(Tables!$D$260:$D$274,MAX(1,MIN(IFERROR(MATCH(U88,Tables!$C$260:$C$274,1),1),ROWS(Tables!$C$260:$C$274)-1))+1)-INDEX(Tables!$D$260:$D$274,MAX(1,MIN(IFERROR(MATCH(U88,Tables!$C$260:$C$274,1),1),ROWS(Tables!$C$260:$C$274)-1))))/(INDEX(Tables!$C$260:$C$274,MAX(1,MIN(IFERROR(MATCH(U88,Tables!$C$260:$C$274,1),1),ROWS(Tables!$C$260:$C$274)-1))+1)-INDEX(Tables!$C$260:$C$274,MAX(1,MIN(IFERROR(MATCH(U88,Tables!$C$260:$C$274,1),1),ROWS(Tables!$C$260:$C$274)-1))))),IF(P88&lt;10,(INDEX(Tables!$F$260:$F$274,MAX(1,MIN(IFERROR(MATCH(U88,Tables!$E$260:$E$274,1),1),ROWS(Tables!$E$260:$E$274)-1)))+(U88-INDEX(Tables!$E$260:$E$274,MAX(1,MIN(IFERROR(MATCH(U88,Tables!$E$260:$E$274,1),1),ROWS(Tables!$E$260:$E$274)-1))))*(INDEX(Tables!$F$260:$F$274,MAX(1,MIN(IFERROR(MATCH(U88,Tables!$E$260:$E$274,1),1),ROWS(Tables!$E$260:$E$274)-1))+1)-INDEX(Tables!$F$260:$F$274,MAX(1,MIN(IFERROR(MATCH(U88,Tables!$E$260:$E$274,1),1),ROWS(Tables!$E$260:$E$274)-1))))/(INDEX(Tables!$E$260:$E$274,MAX(1,MIN(IFERROR(MATCH(U88,Tables!$E$260:$E$274,1),1),ROWS(Tables!$E$260:$E$274)-1))+1)-INDEX(Tables!$E$260:$E$274,MAX(1,MIN(IFERROR(MATCH(U88,Tables!$E$260:$E$274,1),1),ROWS(Tables!$E$260:$E$274)-1))))),(INDEX(Tables!$H$260:$H$274,MAX(1,MIN(IFERROR(MATCH(U88,Tables!$G$260:$G$274,1),1),ROWS(Tables!$G$260:$G$274)-1)))+(U88-INDEX(Tables!$G$260:$G$274,MAX(1,MIN(IFERROR(MATCH(U88,Tables!$G$260:$G$274,1),1),ROWS(Tables!$G$260:$G$274)-1))))*(INDEX(Tables!$H$260:$H$274,MAX(1,MIN(IFERROR(MATCH(U88,Tables!$G$260:$G$274,1),1),ROWS(Tables!$G$260:$G$274)-1))+1)-INDEX(Tables!$H$260:$H$274,MAX(1,MIN(IFERROR(MATCH(U88,Tables!$G$260:$G$274,1),1),ROWS(Tables!$G$260:$G$274)-1))))/(INDEX(Tables!$G$260:$G$274,MAX(1,MIN(IFERROR(MATCH(U88,Tables!$G$260:$G$274,1),1),ROWS(Tables!$G$260:$G$274)-1))+1)-INDEX(Tables!$G$260:$G$274,MAX(1,MIN(IFERROR(MATCH(U88,Tables!$G$260:$G$274,1),1),ROWS(Tables!$G$260:$G$274)-1))))))))</f>
        <v>1.0024999999999999</v>
      </c>
      <c r="AW88" s="181">
        <f t="shared" si="73"/>
        <v>666.87439558674077</v>
      </c>
      <c r="AX88" s="181">
        <f t="shared" si="74"/>
        <v>34916.666666666672</v>
      </c>
      <c r="AY88" s="181">
        <f t="shared" si="75"/>
        <v>38205.390001472078</v>
      </c>
      <c r="AZ88" s="181">
        <f t="shared" si="76"/>
        <v>11852.489774924527</v>
      </c>
      <c r="BA88" s="181">
        <f t="shared" si="77"/>
        <v>-1000</v>
      </c>
      <c r="BB88" s="181">
        <f t="shared" si="78"/>
        <v>34617.368826446327</v>
      </c>
      <c r="BC88" s="181">
        <f t="shared" si="79"/>
        <v>46800</v>
      </c>
      <c r="BD88" s="181">
        <f>VLOOKUP(V88&amp;" "&amp;J88,Tables!$A$152:$E$239,4,FALSE)</f>
        <v>12000</v>
      </c>
      <c r="BE88" s="181">
        <f>VLOOKUP(V88&amp;" "&amp;J88,Tables!$A$152:$E$239,5,FALSE)</f>
        <v>23000</v>
      </c>
      <c r="BF88" s="181">
        <f t="shared" si="80"/>
        <v>8640</v>
      </c>
      <c r="BG88" s="181">
        <f t="shared" si="81"/>
        <v>16560</v>
      </c>
      <c r="BH88" s="181">
        <f t="shared" si="82"/>
        <v>35416.666666666672</v>
      </c>
      <c r="BI88" s="181">
        <f t="shared" si="83"/>
        <v>46800</v>
      </c>
      <c r="BJ88" s="181">
        <f t="shared" si="84"/>
        <v>34617.368826446327</v>
      </c>
      <c r="BK88" s="181">
        <f t="shared" si="85"/>
        <v>46800</v>
      </c>
      <c r="BL88" s="181">
        <f t="shared" si="86"/>
        <v>666.87439558674077</v>
      </c>
      <c r="BM88" s="181">
        <f t="shared" si="87"/>
        <v>8640</v>
      </c>
      <c r="BN88" s="181">
        <f t="shared" si="88"/>
        <v>920.00540367945985</v>
      </c>
      <c r="BO88" s="181">
        <f t="shared" si="89"/>
        <v>16560</v>
      </c>
      <c r="BP88" t="str">
        <f t="shared" si="90"/>
        <v>Pass</v>
      </c>
      <c r="BQ88" t="str">
        <f t="shared" si="91"/>
        <v>Pass</v>
      </c>
      <c r="BR88" t="str">
        <f t="shared" si="92"/>
        <v>Pass</v>
      </c>
      <c r="BS88" t="str">
        <f t="shared" si="93"/>
        <v>Pass</v>
      </c>
      <c r="BT88" t="str">
        <f t="shared" si="94"/>
        <v>Pass</v>
      </c>
      <c r="BU88" t="str">
        <f t="shared" si="95"/>
        <v>Barlow Stress</v>
      </c>
    </row>
    <row r="89" spans="1:73">
      <c r="A89" t="s">
        <v>681</v>
      </c>
      <c r="B89" s="181">
        <v>87</v>
      </c>
      <c r="C89" t="s">
        <v>594</v>
      </c>
      <c r="D89" s="181">
        <v>16</v>
      </c>
      <c r="E89" s="181">
        <v>0.188</v>
      </c>
      <c r="F89" t="s">
        <v>117</v>
      </c>
      <c r="G89" t="s">
        <v>119</v>
      </c>
      <c r="H89" t="s">
        <v>122</v>
      </c>
      <c r="I89" s="181">
        <v>1</v>
      </c>
      <c r="J89" t="s">
        <v>126</v>
      </c>
      <c r="K89" t="s">
        <v>129</v>
      </c>
      <c r="L89" s="181">
        <v>70</v>
      </c>
      <c r="M89" s="181">
        <v>1440</v>
      </c>
      <c r="N89" t="s">
        <v>392</v>
      </c>
      <c r="O89" s="181">
        <v>120</v>
      </c>
      <c r="P89" s="181">
        <v>8</v>
      </c>
      <c r="Q89" s="181">
        <v>18</v>
      </c>
      <c r="R89" t="s">
        <v>154</v>
      </c>
      <c r="S89" t="s">
        <v>156</v>
      </c>
      <c r="T89" s="181">
        <v>70</v>
      </c>
      <c r="U89" s="181">
        <f>HLOOKUP(D89,'Highway Loading'!$C$155:$AD$156,2,FALSE)</f>
        <v>16</v>
      </c>
      <c r="V89" s="181">
        <f>IF(ISBLANK(G89),"",INDEX('Highway Loading'!$C$216:$AG$216,1,MATCH(G89,'Highway Loading'!$C$215:$AG$215,0)))</f>
        <v>65000</v>
      </c>
      <c r="W89" s="181">
        <f>INDEX('Highway Loading'!$I$245:$L$253,MATCH(H89,'Highway Loading'!$H$245:$H$253,0),MATCH(I89,'Highway Loading'!$I$244:$L$244,0))</f>
        <v>0.72</v>
      </c>
      <c r="X89" s="181">
        <f t="shared" si="64"/>
        <v>1</v>
      </c>
      <c r="Y89" s="181">
        <f>VLOOKUP(K89,'Highway Loading'!$B$283:$E$292,2,FALSE)</f>
        <v>29000000</v>
      </c>
      <c r="Z89" s="181">
        <f>VLOOKUP(K89,'Highway Loading'!$B$283:$E$292,3,FALSE)</f>
        <v>0.3</v>
      </c>
      <c r="AA89" s="181">
        <f>VLOOKUP(K89,'Highway Loading'!$B$283:$E$292,4,FALSE)</f>
        <v>6.4999999999999996E-6</v>
      </c>
      <c r="AB89" s="181">
        <f t="shared" si="65"/>
        <v>1</v>
      </c>
      <c r="AC89" s="181">
        <f>VLOOKUP(N89,'Highway Loading'!$B$256:$D$261,2,FALSE)</f>
        <v>2000</v>
      </c>
      <c r="AD89" s="181">
        <f>VLOOKUP(N89,'Highway Loading'!$B$256:$D$261,3,FALSE)</f>
        <v>20000</v>
      </c>
      <c r="AE89" s="181">
        <f>VLOOKUP(S89,'Highway Loading'!$B$340:$C$341,2,FALSE)</f>
        <v>10000</v>
      </c>
      <c r="AF89" s="181">
        <f t="shared" si="66"/>
        <v>1.175E-2</v>
      </c>
      <c r="AG89" s="181">
        <f t="shared" si="67"/>
        <v>5.333333333333333</v>
      </c>
      <c r="AH89" s="181">
        <f t="shared" si="68"/>
        <v>1.125</v>
      </c>
      <c r="AI89" s="181">
        <f t="shared" si="69"/>
        <v>61276.595744680853</v>
      </c>
      <c r="AJ89" s="181">
        <f t="shared" si="70"/>
        <v>46800</v>
      </c>
      <c r="AK89" s="181">
        <f>IF(AC89=200,(INDEX(Tables!$B$17:$B$38,MAX(1,MIN(IFERROR(MATCH(AF89,Tables!$A$17:$A$38,1),1),ROWS(Tables!$A$17:$A$38)-1)))+(AF89-INDEX(Tables!$A$17:$A$38,MAX(1,MIN(IFERROR(MATCH(AF89,Tables!$A$17:$A$38,1),1),ROWS(Tables!$A$17:$A$38)-1))))*(INDEX(Tables!$B$17:$B$38,MAX(1,MIN(IFERROR(MATCH(AF89,Tables!$A$17:$A$38,1),1),ROWS(Tables!$A$17:$A$38)-1))+1)-INDEX(Tables!$B$17:$B$38,MAX(1,MIN(IFERROR(MATCH(AF89,Tables!$A$17:$A$38,1),1),ROWS(Tables!$A$17:$A$38)-1))))/(INDEX(Tables!$A$17:$A$38,MAX(1,MIN(IFERROR(MATCH(AF89,Tables!$A$17:$A$38,1),1),ROWS(Tables!$A$17:$A$38)-1))+1)-INDEX(Tables!$A$17:$A$38,MAX(1,MIN(IFERROR(MATCH(AF89,Tables!$A$17:$A$38,1),1),ROWS(Tables!$A$17:$A$38)-1))))),IF(AC89=500,(INDEX(Tables!$D$17:$D$38,MAX(1,MIN(IFERROR(MATCH(AF89,Tables!$C$17:$C$38,1),1),ROWS(Tables!$C$17:$C$38)-1)))+(AF89-INDEX(Tables!$C$17:$C$38,MAX(1,MIN(IFERROR(MATCH(AF89,Tables!$C$17:$C$38,1),1),ROWS(Tables!$C$17:$C$38)-1))))*(INDEX(Tables!$D$17:$D$38,MAX(1,MIN(IFERROR(MATCH(AF89,Tables!$C$17:$C$38,1),1),ROWS(Tables!$C$17:$C$38)-1))+1)-INDEX(Tables!$D$17:$D$38,MAX(1,MIN(IFERROR(MATCH(AF89,Tables!$C$17:$C$38,1),1),ROWS(Tables!$C$17:$C$38)-1))))/(INDEX(Tables!$C$17:$C$38,MAX(1,MIN(IFERROR(MATCH(AF89,Tables!$C$17:$C$38,1),1),ROWS(Tables!$C$17:$C$38)-1))+1)-INDEX(Tables!$C$17:$C$38,MAX(1,MIN(IFERROR(MATCH(AF89,Tables!$C$17:$C$38,1),1),ROWS(Tables!$C$17:$C$38)-1))))),IF(AC89=1000,(INDEX(Tables!$F$17:$F$38,MAX(1,MIN(IFERROR(MATCH(AF89,Tables!$E$17:$E$38,1),1),ROWS(Tables!$E$17:$E$38)-1)))+(AF89-INDEX(Tables!$E$17:$E$38,MAX(1,MIN(IFERROR(MATCH(AF89,Tables!$E$17:$E$38,1),1),ROWS(Tables!$E$17:$E$38)-1))))*(INDEX(Tables!$F$17:$F$38,MAX(1,MIN(IFERROR(MATCH(AF89,Tables!$E$17:$E$38,1),1),ROWS(Tables!$E$17:$E$38)-1))+1)-INDEX(Tables!$F$17:$F$38,MAX(1,MIN(IFERROR(MATCH(AF89,Tables!$E$17:$E$38,1),1),ROWS(Tables!$E$17:$E$38)-1))))/(INDEX(Tables!$E$17:$E$38,MAX(1,MIN(IFERROR(MATCH(AF89,Tables!$E$17:$E$38,1),1),ROWS(Tables!$E$17:$E$38)-1))+1)-INDEX(Tables!$E$17:$E$38,MAX(1,MIN(IFERROR(MATCH(AF89,Tables!$E$17:$E$38,1),1),ROWS(Tables!$E$17:$E$38)-1))))),(INDEX(Tables!$H$17:$H$38,MAX(1,MIN(IFERROR(MATCH(AF89,Tables!$G$17:$G$38,1),1),ROWS(Tables!$G$17:$G$38)-1)))+(AF89-INDEX(Tables!$G$17:$G$38,MAX(1,MIN(IFERROR(MATCH(AF89,Tables!$G$17:$G$38,1),1),ROWS(Tables!$G$17:$G$38)-1))))*(INDEX(Tables!$H$17:$H$38,MAX(1,MIN(IFERROR(MATCH(AF89,Tables!$G$17:$G$38,1),1),ROWS(Tables!$G$17:$G$38)-1))+1)-INDEX(Tables!$H$17:$H$38,MAX(1,MIN(IFERROR(MATCH(AF89,Tables!$G$17:$G$38,1),1),ROWS(Tables!$G$17:$G$38)-1))))/(INDEX(Tables!$G$17:$G$38,MAX(1,MIN(IFERROR(MATCH(AF89,Tables!$G$17:$G$38,1),1),ROWS(Tables!$G$17:$G$38)-1))+1)-INDEX(Tables!$G$17:$G$38,MAX(1,MIN(IFERROR(MATCH(AF89,Tables!$G$17:$G$38,1),1),ROWS(Tables!$G$17:$G$38)-1))))))))</f>
        <v>2906.3</v>
      </c>
      <c r="AL89" s="181">
        <f>IF(AC89&lt;1000,(INDEX(Tables!$B$43:$B$76,MAX(1,MIN(IFERROR(MATCH(AG89,Tables!$A$43:$A$76,1),1),ROWS(Tables!$A$43:$A$76)-1)))+(AG89-INDEX(Tables!$A$43:$A$76,MAX(1,MIN(IFERROR(MATCH(AG89,Tables!$A$43:$A$76,1),1),ROWS(Tables!$A$43:$A$76)-1))))*(INDEX(Tables!$B$43:$B$76,MAX(1,MIN(IFERROR(MATCH(AG89,Tables!$A$43:$A$76,1),1),ROWS(Tables!$A$43:$A$76)-1))+1)-INDEX(Tables!$B$43:$B$76,MAX(1,MIN(IFERROR(MATCH(AG89,Tables!$A$43:$A$76,1),1),ROWS(Tables!$A$43:$A$76)-1))))/(INDEX(Tables!$A$43:$A$76,MAX(1,MIN(IFERROR(MATCH(AG89,Tables!$A$43:$A$76,1),1),ROWS(Tables!$A$43:$A$76)-1))+1)-INDEX(Tables!$A$43:$A$76,MAX(1,MIN(IFERROR(MATCH(AG89,Tables!$A$43:$A$76,1),1),ROWS(Tables!$A$43:$A$76)-1))))),(INDEX(Tables!$D$43:$D$76,MAX(1,MIN(IFERROR(MATCH(AG89,Tables!$C$43:$C$76,1),1),ROWS(Tables!$C$43:$C$76)-1)))+(AG89-INDEX(Tables!$C$43:$C$76,MAX(1,MIN(IFERROR(MATCH(AG89,Tables!$C$43:$C$76,1),1),ROWS(Tables!$C$43:$C$76)-1))))*(INDEX(Tables!$D$43:$D$76,MAX(1,MIN(IFERROR(MATCH(AG89,Tables!$C$43:$C$76,1),1),ROWS(Tables!$C$43:$C$76)-1))+1)-INDEX(Tables!$D$43:$D$76,MAX(1,MIN(IFERROR(MATCH(AG89,Tables!$C$43:$C$76,1),1),ROWS(Tables!$C$43:$C$76)-1))))/(INDEX(Tables!$C$43:$C$76,MAX(1,MIN(IFERROR(MATCH(AG89,Tables!$C$43:$C$76,1),1),ROWS(Tables!$C$43:$C$76)-1))+1)-INDEX(Tables!$C$43:$C$76,MAX(1,MIN(IFERROR(MATCH(AG89,Tables!$C$43:$C$76,1),1),ROWS(Tables!$C$43:$C$76)-1))))))</f>
        <v>0.98666666666666658</v>
      </c>
      <c r="AM89" s="181">
        <f>(INDEX(Tables!$B$80:$B$87,MAX(1,MIN(IFERROR(MATCH(AH89,Tables!$A$80:$A$87,1),1),ROWS(Tables!$A$80:$A$87)-1)))+(AH89-INDEX(Tables!$A$80:$A$87,MAX(1,MIN(IFERROR(MATCH(AH89,Tables!$A$80:$A$87,1),1),ROWS(Tables!$A$80:$A$87)-1))))*(INDEX(Tables!$B$80:$B$87,MAX(1,MIN(IFERROR(MATCH(AH89,Tables!$A$80:$A$87,1),1),ROWS(Tables!$A$80:$A$87)-1))+1)-INDEX(Tables!$B$80:$B$87,MAX(1,MIN(IFERROR(MATCH(AH89,Tables!$A$80:$A$87,1),1),ROWS(Tables!$A$80:$A$87)-1))))/(INDEX(Tables!$A$80:$A$87,MAX(1,MIN(IFERROR(MATCH(AH89,Tables!$A$80:$A$87,1),1),ROWS(Tables!$A$80:$A$87)-1))+1)-INDEX(Tables!$A$80:$A$87,MAX(1,MIN(IFERROR(MATCH(AH89,Tables!$A$80:$A$87,1),1),ROWS(Tables!$A$80:$A$87)-1)))))</f>
        <v>1.04345</v>
      </c>
      <c r="AN89" s="181">
        <f t="shared" si="71"/>
        <v>3324.6048354074073</v>
      </c>
      <c r="AO89" s="181">
        <f>(INDEX(Tables!$B$91:$B$94,MAX(1,MIN(IFERROR(MATCH(P89,Tables!$A$91:$A$94,1),1),ROWS(Tables!$A$91:$A$94)-1)))+(P89-INDEX(Tables!$A$91:$A$94,MAX(1,MIN(IFERROR(MATCH(P89,Tables!$A$91:$A$94,1),1),ROWS(Tables!$A$91:$A$94)-1))))*(INDEX(Tables!$B$91:$B$94,MAX(1,MIN(IFERROR(MATCH(P89,Tables!$A$91:$A$94,1),1),ROWS(Tables!$A$91:$A$94)-1))+1)-INDEX(Tables!$B$91:$B$94,MAX(1,MIN(IFERROR(MATCH(P89,Tables!$A$91:$A$94,1),1),ROWS(Tables!$A$91:$A$94)-1))))/(INDEX(Tables!$A$91:$A$94,MAX(1,MIN(IFERROR(MATCH(P89,Tables!$A$91:$A$94,1),1),ROWS(Tables!$A$91:$A$94)-1))+1)-INDEX(Tables!$A$91:$A$94,MAX(1,MIN(IFERROR(MATCH(P89,Tables!$A$91:$A$94,1),1),ROWS(Tables!$A$91:$A$94)-1)))))</f>
        <v>1.4152439024390244</v>
      </c>
      <c r="AP89" s="181">
        <f>IF(AD89=5000,(INDEX(Tables!$B$99:$B$118,MAX(1,MIN(IFERROR(MATCH(AF89,Tables!$A$99:$A$118,1),1),ROWS(Tables!$A$99:$A$118)-1)))+(AF89-INDEX(Tables!$A$99:$A$118,MAX(1,MIN(IFERROR(MATCH(AF89,Tables!$A$99:$A$118,1),1),ROWS(Tables!$A$99:$A$118)-1))))*(INDEX(Tables!$B$99:$B$118,MAX(1,MIN(IFERROR(MATCH(AF89,Tables!$A$99:$A$118,1),1),ROWS(Tables!$A$99:$A$118)-1))+1)-INDEX(Tables!$B$99:$B$118,MAX(1,MIN(IFERROR(MATCH(AF89,Tables!$A$99:$A$118,1),1),ROWS(Tables!$A$99:$A$118)-1))))/(INDEX(Tables!$A$99:$A$118,MAX(1,MIN(IFERROR(MATCH(AF89,Tables!$A$99:$A$118,1),1),ROWS(Tables!$A$99:$A$118)-1))+1)-INDEX(Tables!$A$99:$A$118,MAX(1,MIN(IFERROR(MATCH(AF89,Tables!$A$99:$A$118,1),1),ROWS(Tables!$A$99:$A$118)-1))))),IF(AD89=10000,(INDEX(Tables!$D$99:$D$118,MAX(1,MIN(IFERROR(MATCH(AF89,Tables!$C$99:$C$118,1),1),ROWS(Tables!$C$99:$C$118)-1)))+(AF89-INDEX(Tables!$C$99:$C$118,MAX(1,MIN(IFERROR(MATCH(AF89,Tables!$C$99:$C$118,1),1),ROWS(Tables!$C$99:$C$118)-1))))*(INDEX(Tables!$D$99:$D$118,MAX(1,MIN(IFERROR(MATCH(AF89,Tables!$C$99:$C$118,1),1),ROWS(Tables!$C$99:$C$118)-1))+1)-INDEX(Tables!$D$99:$D$118,MAX(1,MIN(IFERROR(MATCH(AF89,Tables!$C$99:$C$118,1),1),ROWS(Tables!$C$99:$C$118)-1))))/(INDEX(Tables!$C$99:$C$118,MAX(1,MIN(IFERROR(MATCH(AF89,Tables!$C$99:$C$118,1),1),ROWS(Tables!$C$99:$C$118)-1))+1)-INDEX(Tables!$C$99:$C$118,MAX(1,MIN(IFERROR(MATCH(AF89,Tables!$C$99:$C$118,1),1),ROWS(Tables!$C$99:$C$118)-1))))),(INDEX(Tables!$F$99:$F$118,MAX(1,MIN(IFERROR(MATCH(AF89,Tables!$E$99:$E$118,1),1),ROWS(Tables!$E$99:$E$118)-1)))+(AF89-INDEX(Tables!$E$99:$E$118,MAX(1,MIN(IFERROR(MATCH(AF89,Tables!$E$99:$E$118,1),1),ROWS(Tables!$E$99:$E$118)-1))))*(INDEX(Tables!$F$99:$F$118,MAX(1,MIN(IFERROR(MATCH(AF89,Tables!$E$99:$E$118,1),1),ROWS(Tables!$E$99:$E$118)-1))+1)-INDEX(Tables!$F$99:$F$118,MAX(1,MIN(IFERROR(MATCH(AF89,Tables!$E$99:$E$118,1),1),ROWS(Tables!$E$99:$E$118)-1))))/(INDEX(Tables!$E$99:$E$118,MAX(1,MIN(IFERROR(MATCH(AF89,Tables!$E$99:$E$118,1),1),ROWS(Tables!$E$99:$E$118)-1))+1)-INDEX(Tables!$E$99:$E$118,MAX(1,MIN(IFERROR(MATCH(AF89,Tables!$E$99:$E$118,1),1),ROWS(Tables!$E$99:$E$118)-1)))))))</f>
        <v>7.8903600000000003</v>
      </c>
      <c r="AQ89" s="181">
        <f>IF(P89&lt;6,(INDEX(Tables!$B$123:$B$138,MAX(1,MIN(IFERROR(MATCH(U89,Tables!$A$123:$A$138,1),1),ROWS(Tables!$A$123:$A$138)-1)))+(U89-INDEX(Tables!$A$123:$A$138,MAX(1,MIN(IFERROR(MATCH(U89,Tables!$A$123:$A$138,1),1),ROWS(Tables!$A$123:$A$138)-1))))*(INDEX(Tables!$B$123:$B$138,MAX(1,MIN(IFERROR(MATCH(U89,Tables!$A$123:$A$138,1),1),ROWS(Tables!$A$123:$A$138)-1))+1)-INDEX(Tables!$B$123:$B$138,MAX(1,MIN(IFERROR(MATCH(U89,Tables!$A$123:$A$138,1),1),ROWS(Tables!$A$123:$A$138)-1))))/(INDEX(Tables!$A$123:$A$138,MAX(1,MIN(IFERROR(MATCH(U89,Tables!$A$123:$A$138,1),1),ROWS(Tables!$A$123:$A$138)-1))+1)-INDEX(Tables!$A$123:$A$138,MAX(1,MIN(IFERROR(MATCH(U89,Tables!$A$123:$A$138,1),1),ROWS(Tables!$A$123:$A$138)-1))))),IF(P89&lt;8,(INDEX(Tables!$D$123:$D$138,MAX(1,MIN(IFERROR(MATCH(U89,Tables!$C$123:$C$138,1),1),ROWS(Tables!$C$123:$C$138)-1)))+(U89-INDEX(Tables!$C$123:$C$138,MAX(1,MIN(IFERROR(MATCH(U89,Tables!$C$123:$C$138,1),1),ROWS(Tables!$C$123:$C$138)-1))))*(INDEX(Tables!$D$123:$D$138,MAX(1,MIN(IFERROR(MATCH(U89,Tables!$C$123:$C$138,1),1),ROWS(Tables!$C$123:$C$138)-1))+1)-INDEX(Tables!$D$123:$D$138,MAX(1,MIN(IFERROR(MATCH(U89,Tables!$C$123:$C$138,1),1),ROWS(Tables!$C$123:$C$138)-1))))/(INDEX(Tables!$C$123:$C$138,MAX(1,MIN(IFERROR(MATCH(U89,Tables!$C$123:$C$138,1),1),ROWS(Tables!$C$123:$C$138)-1))+1)-INDEX(Tables!$C$123:$C$138,MAX(1,MIN(IFERROR(MATCH(U89,Tables!$C$123:$C$138,1),1),ROWS(Tables!$C$123:$C$138)-1))))),IF(P89&lt;10,(INDEX(Tables!$F$123:$F$138,MAX(1,MIN(IFERROR(MATCH(U89,Tables!$E$123:$E$138,1),1),ROWS(Tables!$E$123:$E$138)-1)))+(U89-INDEX(Tables!$E$123:$E$138,MAX(1,MIN(IFERROR(MATCH(U89,Tables!$E$123:$E$138,1),1),ROWS(Tables!$E$123:$E$138)-1))))*(INDEX(Tables!$F$123:$F$138,MAX(1,MIN(IFERROR(MATCH(U89,Tables!$E$123:$E$138,1),1),ROWS(Tables!$E$123:$E$138)-1))+1)-INDEX(Tables!$F$123:$F$138,MAX(1,MIN(IFERROR(MATCH(U89,Tables!$E$123:$E$138,1),1),ROWS(Tables!$E$123:$E$138)-1))))/(INDEX(Tables!$E$123:$E$138,MAX(1,MIN(IFERROR(MATCH(U89,Tables!$E$123:$E$138,1),1),ROWS(Tables!$E$123:$E$138)-1))+1)-INDEX(Tables!$E$123:$E$138,MAX(1,MIN(IFERROR(MATCH(U89,Tables!$E$123:$E$138,1),1),ROWS(Tables!$E$123:$E$138)-1))))),(INDEX(Tables!$H$123:$H$138,MAX(1,MIN(IFERROR(MATCH(U89,Tables!$G$123:$G$138,1),1),ROWS(Tables!$G$123:$G$138)-1)))+(U89-INDEX(Tables!$G$123:$G$138,MAX(1,MIN(IFERROR(MATCH(U89,Tables!$G$123:$G$138,1),1),ROWS(Tables!$G$123:$G$138)-1))))*(INDEX(Tables!$H$123:$H$138,MAX(1,MIN(IFERROR(MATCH(U89,Tables!$G$123:$G$138,1),1),ROWS(Tables!$G$123:$G$138)-1))+1)-INDEX(Tables!$H$123:$H$138,MAX(1,MIN(IFERROR(MATCH(U89,Tables!$G$123:$G$138,1),1),ROWS(Tables!$G$123:$G$138)-1))))/(INDEX(Tables!$G$123:$G$138,MAX(1,MIN(IFERROR(MATCH(U89,Tables!$G$123:$G$138,1),1),ROWS(Tables!$G$123:$G$138)-1))+1)-INDEX(Tables!$G$123:$G$138,MAX(1,MIN(IFERROR(MATCH(U89,Tables!$G$123:$G$138,1),1),ROWS(Tables!$G$123:$G$138)-1))))))))</f>
        <v>0.79200000000000004</v>
      </c>
      <c r="AR89" s="181">
        <f>IF(OR(P89&gt;=4,U89&gt;12),VLOOKUP(R89&amp;" "&amp;S89,Tables!$D$143:$F$148,2,FALSE),VLOOKUP(R89&amp;" "&amp;S89,Tables!$A$143:$C$148,2,FALSE))</f>
        <v>1</v>
      </c>
      <c r="AS89" s="181">
        <f>IF(OR(P89&gt;=4,U89&gt;12),VLOOKUP(R89&amp;" "&amp;S89,Tables!$D$143:$F$148,3,FALSE),VLOOKUP(R89&amp;" "&amp;S89,Tables!$A$143:$C$148,3,FALSE))</f>
        <v>1</v>
      </c>
      <c r="AT89" s="181">
        <f t="shared" si="72"/>
        <v>614.17311329268296</v>
      </c>
      <c r="AU89" s="181">
        <f>IF(AD89=5000,(INDEX(Tables!$B$244:$B$263,MAX(1,MIN(IFERROR(MATCH(AF89,Tables!$A$244:$A$263,1),1),ROWS(Tables!$A$244:$A$263)-1)))+(AF89-INDEX(Tables!$A$244:$A$263,MAX(1,MIN(IFERROR(MATCH(AF89,Tables!$A$244:$A$263,1),1),ROWS(Tables!$A$244:$A$263)-1))))*(INDEX(Tables!$B$244:$B$263,MAX(1,MIN(IFERROR(MATCH(AF89,Tables!$A$244:$A$263,1),1),ROWS(Tables!$A$244:$A$263)-1))+1)-INDEX(Tables!$B$244:$B$263,MAX(1,MIN(IFERROR(MATCH(AF89,Tables!$A$244:$A$263,1),1),ROWS(Tables!$A$244:$A$263)-1))))/(INDEX(Tables!$A$244:$A$263,MAX(1,MIN(IFERROR(MATCH(AF89,Tables!$A$244:$A$263,1),1),ROWS(Tables!$A$244:$A$263)-1))+1)-INDEX(Tables!$A$244:$A$263,MAX(1,MIN(IFERROR(MATCH(AF89,Tables!$A$244:$A$263,1),1),ROWS(Tables!$A$244:$A$263)-1))))),IF(AD89=10000,(INDEX(Tables!$D$244:$D$263,MAX(1,MIN(IFERROR(MATCH(AF89,Tables!$C$244:$C$263,1),1),ROWS(Tables!$C$244:$C$263)-1)))+(AF89-INDEX(Tables!$C$244:$C$263,MAX(1,MIN(IFERROR(MATCH(AF89,Tables!$C$244:$C$263,1),1),ROWS(Tables!$C$244:$C$263)-1))))*(INDEX(Tables!$D$244:$D$263,MAX(1,MIN(IFERROR(MATCH(AF89,Tables!$C$244:$C$263,1),1),ROWS(Tables!$C$244:$C$263)-1))+1)-INDEX(Tables!$D$244:$D$263,MAX(1,MIN(IFERROR(MATCH(AF89,Tables!$C$244:$C$263,1),1),ROWS(Tables!$C$244:$C$263)-1))))/(INDEX(Tables!$C$244:$C$263,MAX(1,MIN(IFERROR(MATCH(AF89,Tables!$C$244:$C$263,1),1),ROWS(Tables!$C$244:$C$263)-1))+1)-INDEX(Tables!$C$244:$C$263,MAX(1,MIN(IFERROR(MATCH(AF89,Tables!$C$244:$C$263,1),1),ROWS(Tables!$C$244:$C$263)-1))))),(INDEX(Tables!$F$244:$F$263,MAX(1,MIN(IFERROR(MATCH(AF89,Tables!$E$244:$E$263,1),1),ROWS(Tables!$E$244:$E$263)-1)))+(AF89-INDEX(Tables!$E$244:$E$263,MAX(1,MIN(IFERROR(MATCH(AF89,Tables!$E$244:$E$263,1),1),ROWS(Tables!$E$244:$E$263)-1))))*(INDEX(Tables!$F$244:$F$263,MAX(1,MIN(IFERROR(MATCH(AF89,Tables!$E$244:$E$263,1),1),ROWS(Tables!$E$244:$E$263)-1))+1)-INDEX(Tables!$F$244:$F$263,MAX(1,MIN(IFERROR(MATCH(AF89,Tables!$E$244:$E$263,1),1),ROWS(Tables!$E$244:$E$263)-1))))/(INDEX(Tables!$E$244:$E$263,MAX(1,MIN(IFERROR(MATCH(AF89,Tables!$E$244:$E$263,1),1),ROWS(Tables!$E$244:$E$263)-1))+1)-INDEX(Tables!$E$244:$E$263,MAX(1,MIN(IFERROR(MATCH(AF89,Tables!$E$244:$E$263,1),1),ROWS(Tables!$E$244:$E$263)-1)))))))</f>
        <v>6.2337222222222222</v>
      </c>
      <c r="AV89" s="181">
        <f>IF(P89&lt;6,(INDEX(Tables!$B$260:$B$274,MAX(1,MIN(IFERROR(MATCH(U89,Tables!$A$260:$A$274,1),1),ROWS(Tables!$A$260:$A$274)-1)))+(U89-INDEX(Tables!$A$260:$A$274,MAX(1,MIN(IFERROR(MATCH(U89,Tables!$A$260:$A$274,1),1),ROWS(Tables!$A$260:$A$274)-1))))*(INDEX(Tables!$B$260:$B$274,MAX(1,MIN(IFERROR(MATCH(U89,Tables!$A$260:$A$274,1),1),ROWS(Tables!$A$260:$A$274)-1))+1)-INDEX(Tables!$B$260:$B$274,MAX(1,MIN(IFERROR(MATCH(U89,Tables!$A$260:$A$274,1),1),ROWS(Tables!$A$260:$A$274)-1))))/(INDEX(Tables!$A$260:$A$274,MAX(1,MIN(IFERROR(MATCH(U89,Tables!$A$260:$A$274,1),1),ROWS(Tables!$A$260:$A$274)-1))+1)-INDEX(Tables!$A$260:$A$274,MAX(1,MIN(IFERROR(MATCH(U89,Tables!$A$260:$A$274,1),1),ROWS(Tables!$A$260:$A$274)-1))))),IF(P89&lt;8,(INDEX(Tables!$D$260:$D$274,MAX(1,MIN(IFERROR(MATCH(U89,Tables!$C$260:$C$274,1),1),ROWS(Tables!$C$260:$C$274)-1)))+(U89-INDEX(Tables!$C$260:$C$274,MAX(1,MIN(IFERROR(MATCH(U89,Tables!$C$260:$C$274,1),1),ROWS(Tables!$C$260:$C$274)-1))))*(INDEX(Tables!$D$260:$D$274,MAX(1,MIN(IFERROR(MATCH(U89,Tables!$C$260:$C$274,1),1),ROWS(Tables!$C$260:$C$274)-1))+1)-INDEX(Tables!$D$260:$D$274,MAX(1,MIN(IFERROR(MATCH(U89,Tables!$C$260:$C$274,1),1),ROWS(Tables!$C$260:$C$274)-1))))/(INDEX(Tables!$C$260:$C$274,MAX(1,MIN(IFERROR(MATCH(U89,Tables!$C$260:$C$274,1),1),ROWS(Tables!$C$260:$C$274)-1))+1)-INDEX(Tables!$C$260:$C$274,MAX(1,MIN(IFERROR(MATCH(U89,Tables!$C$260:$C$274,1),1),ROWS(Tables!$C$260:$C$274)-1))))),IF(P89&lt;10,(INDEX(Tables!$F$260:$F$274,MAX(1,MIN(IFERROR(MATCH(U89,Tables!$E$260:$E$274,1),1),ROWS(Tables!$E$260:$E$274)-1)))+(U89-INDEX(Tables!$E$260:$E$274,MAX(1,MIN(IFERROR(MATCH(U89,Tables!$E$260:$E$274,1),1),ROWS(Tables!$E$260:$E$274)-1))))*(INDEX(Tables!$F$260:$F$274,MAX(1,MIN(IFERROR(MATCH(U89,Tables!$E$260:$E$274,1),1),ROWS(Tables!$E$260:$E$274)-1))+1)-INDEX(Tables!$F$260:$F$274,MAX(1,MIN(IFERROR(MATCH(U89,Tables!$E$260:$E$274,1),1),ROWS(Tables!$E$260:$E$274)-1))))/(INDEX(Tables!$E$260:$E$274,MAX(1,MIN(IFERROR(MATCH(U89,Tables!$E$260:$E$274,1),1),ROWS(Tables!$E$260:$E$274)-1))+1)-INDEX(Tables!$E$260:$E$274,MAX(1,MIN(IFERROR(MATCH(U89,Tables!$E$260:$E$274,1),1),ROWS(Tables!$E$260:$E$274)-1))))),(INDEX(Tables!$H$260:$H$274,MAX(1,MIN(IFERROR(MATCH(U89,Tables!$G$260:$G$274,1),1),ROWS(Tables!$G$260:$G$274)-1)))+(U89-INDEX(Tables!$G$260:$G$274,MAX(1,MIN(IFERROR(MATCH(U89,Tables!$G$260:$G$274,1),1),ROWS(Tables!$G$260:$G$274)-1))))*(INDEX(Tables!$H$260:$H$274,MAX(1,MIN(IFERROR(MATCH(U89,Tables!$G$260:$G$274,1),1),ROWS(Tables!$G$260:$G$274)-1))+1)-INDEX(Tables!$H$260:$H$274,MAX(1,MIN(IFERROR(MATCH(U89,Tables!$G$260:$G$274,1),1),ROWS(Tables!$G$260:$G$274)-1))))/(INDEX(Tables!$G$260:$G$274,MAX(1,MIN(IFERROR(MATCH(U89,Tables!$G$260:$G$274,1),1),ROWS(Tables!$G$260:$G$274)-1))+1)-INDEX(Tables!$G$260:$G$274,MAX(1,MIN(IFERROR(MATCH(U89,Tables!$G$260:$G$274,1),1),ROWS(Tables!$G$260:$G$274)-1))))))))</f>
        <v>0.84099999999999997</v>
      </c>
      <c r="AW89" s="181">
        <f t="shared" si="73"/>
        <v>515.24316830162218</v>
      </c>
      <c r="AX89" s="181">
        <f t="shared" si="74"/>
        <v>60556.595744680846</v>
      </c>
      <c r="AY89" s="181">
        <f t="shared" si="75"/>
        <v>64495.373693380934</v>
      </c>
      <c r="AZ89" s="181">
        <f t="shared" si="76"/>
        <v>19679.603342328097</v>
      </c>
      <c r="BA89" s="181">
        <f t="shared" si="77"/>
        <v>-1440</v>
      </c>
      <c r="BB89" s="181">
        <f t="shared" si="78"/>
        <v>58317.940728310074</v>
      </c>
      <c r="BC89" s="181">
        <f t="shared" si="79"/>
        <v>46800</v>
      </c>
      <c r="BD89" s="181">
        <f>VLOOKUP(V89&amp;" "&amp;J89,Tables!$A$152:$E$239,4,FALSE)</f>
        <v>12000</v>
      </c>
      <c r="BE89" s="181">
        <f>VLOOKUP(V89&amp;" "&amp;J89,Tables!$A$152:$E$239,5,FALSE)</f>
        <v>23000</v>
      </c>
      <c r="BF89" s="181">
        <f t="shared" si="80"/>
        <v>8640</v>
      </c>
      <c r="BG89" s="181">
        <f t="shared" si="81"/>
        <v>16560</v>
      </c>
      <c r="BH89" s="181">
        <f t="shared" si="82"/>
        <v>61276.595744680853</v>
      </c>
      <c r="BI89" s="181">
        <f t="shared" si="83"/>
        <v>46800</v>
      </c>
      <c r="BJ89" s="181">
        <f t="shared" si="84"/>
        <v>58317.940728310074</v>
      </c>
      <c r="BK89" s="181">
        <f t="shared" si="85"/>
        <v>46800</v>
      </c>
      <c r="BL89" s="181">
        <f t="shared" si="86"/>
        <v>515.24316830162218</v>
      </c>
      <c r="BM89" s="181">
        <f t="shared" si="87"/>
        <v>8640</v>
      </c>
      <c r="BN89" s="181">
        <f t="shared" si="88"/>
        <v>614.17311329268296</v>
      </c>
      <c r="BO89" s="181">
        <f t="shared" si="89"/>
        <v>16560</v>
      </c>
      <c r="BP89" t="str">
        <f t="shared" si="90"/>
        <v>Fail</v>
      </c>
      <c r="BQ89" t="str">
        <f t="shared" si="91"/>
        <v>Fail</v>
      </c>
      <c r="BR89" t="str">
        <f t="shared" si="92"/>
        <v>Pass</v>
      </c>
      <c r="BS89" t="str">
        <f t="shared" si="93"/>
        <v>Pass</v>
      </c>
      <c r="BT89" t="str">
        <f t="shared" si="94"/>
        <v>Fail</v>
      </c>
      <c r="BU89" t="str">
        <f t="shared" si="95"/>
        <v>Barlow Stress</v>
      </c>
    </row>
    <row r="90" spans="1:73">
      <c r="A90" t="s">
        <v>682</v>
      </c>
      <c r="B90" s="181">
        <v>88</v>
      </c>
      <c r="C90" t="s">
        <v>594</v>
      </c>
      <c r="D90" s="181">
        <v>24</v>
      </c>
      <c r="E90" s="181">
        <v>0.25</v>
      </c>
      <c r="F90" t="s">
        <v>117</v>
      </c>
      <c r="G90" t="s">
        <v>119</v>
      </c>
      <c r="H90" t="s">
        <v>122</v>
      </c>
      <c r="I90" s="181">
        <v>1</v>
      </c>
      <c r="J90" t="s">
        <v>126</v>
      </c>
      <c r="K90" t="s">
        <v>129</v>
      </c>
      <c r="L90" s="181">
        <v>70</v>
      </c>
      <c r="M90" s="181">
        <v>1440</v>
      </c>
      <c r="N90" t="s">
        <v>392</v>
      </c>
      <c r="O90" s="181">
        <v>120</v>
      </c>
      <c r="P90" s="181">
        <v>10</v>
      </c>
      <c r="Q90" s="181">
        <v>26</v>
      </c>
      <c r="R90" t="s">
        <v>154</v>
      </c>
      <c r="S90" t="s">
        <v>420</v>
      </c>
      <c r="T90" s="181">
        <v>70</v>
      </c>
      <c r="U90" s="181">
        <f>HLOOKUP(D90,'Highway Loading'!$C$155:$AD$156,2,FALSE)</f>
        <v>24</v>
      </c>
      <c r="V90" s="181">
        <f>IF(ISBLANK(G90),"",INDEX('Highway Loading'!$C$216:$AG$216,1,MATCH(G90,'Highway Loading'!$C$215:$AG$215,0)))</f>
        <v>65000</v>
      </c>
      <c r="W90" s="181">
        <f>INDEX('Highway Loading'!$I$245:$L$253,MATCH(H90,'Highway Loading'!$H$245:$H$253,0),MATCH(I90,'Highway Loading'!$I$244:$L$244,0))</f>
        <v>0.72</v>
      </c>
      <c r="X90" s="181">
        <f t="shared" si="64"/>
        <v>1</v>
      </c>
      <c r="Y90" s="181">
        <f>VLOOKUP(K90,'Highway Loading'!$B$283:$E$292,2,FALSE)</f>
        <v>29000000</v>
      </c>
      <c r="Z90" s="181">
        <f>VLOOKUP(K90,'Highway Loading'!$B$283:$E$292,3,FALSE)</f>
        <v>0.3</v>
      </c>
      <c r="AA90" s="181">
        <f>VLOOKUP(K90,'Highway Loading'!$B$283:$E$292,4,FALSE)</f>
        <v>6.4999999999999996E-6</v>
      </c>
      <c r="AB90" s="181">
        <f t="shared" si="65"/>
        <v>1</v>
      </c>
      <c r="AC90" s="181">
        <f>VLOOKUP(N90,'Highway Loading'!$B$256:$D$261,2,FALSE)</f>
        <v>2000</v>
      </c>
      <c r="AD90" s="181">
        <f>VLOOKUP(N90,'Highway Loading'!$B$256:$D$261,3,FALSE)</f>
        <v>20000</v>
      </c>
      <c r="AE90" s="181">
        <f>VLOOKUP(S90,'Highway Loading'!$B$340:$C$341,2,FALSE)</f>
        <v>12000</v>
      </c>
      <c r="AF90" s="181">
        <f t="shared" si="66"/>
        <v>1.0416666666666666E-2</v>
      </c>
      <c r="AG90" s="181">
        <f t="shared" si="67"/>
        <v>4.615384615384615</v>
      </c>
      <c r="AH90" s="181">
        <f t="shared" si="68"/>
        <v>1.0833333333333333</v>
      </c>
      <c r="AI90" s="181">
        <f t="shared" si="69"/>
        <v>69120</v>
      </c>
      <c r="AJ90" s="181">
        <f t="shared" si="70"/>
        <v>46800</v>
      </c>
      <c r="AK90" s="181">
        <f>IF(AC90=200,(INDEX(Tables!$B$17:$B$38,MAX(1,MIN(IFERROR(MATCH(AF90,Tables!$A$17:$A$38,1),1),ROWS(Tables!$A$17:$A$38)-1)))+(AF90-INDEX(Tables!$A$17:$A$38,MAX(1,MIN(IFERROR(MATCH(AF90,Tables!$A$17:$A$38,1),1),ROWS(Tables!$A$17:$A$38)-1))))*(INDEX(Tables!$B$17:$B$38,MAX(1,MIN(IFERROR(MATCH(AF90,Tables!$A$17:$A$38,1),1),ROWS(Tables!$A$17:$A$38)-1))+1)-INDEX(Tables!$B$17:$B$38,MAX(1,MIN(IFERROR(MATCH(AF90,Tables!$A$17:$A$38,1),1),ROWS(Tables!$A$17:$A$38)-1))))/(INDEX(Tables!$A$17:$A$38,MAX(1,MIN(IFERROR(MATCH(AF90,Tables!$A$17:$A$38,1),1),ROWS(Tables!$A$17:$A$38)-1))+1)-INDEX(Tables!$A$17:$A$38,MAX(1,MIN(IFERROR(MATCH(AF90,Tables!$A$17:$A$38,1),1),ROWS(Tables!$A$17:$A$38)-1))))),IF(AC90=500,(INDEX(Tables!$D$17:$D$38,MAX(1,MIN(IFERROR(MATCH(AF90,Tables!$C$17:$C$38,1),1),ROWS(Tables!$C$17:$C$38)-1)))+(AF90-INDEX(Tables!$C$17:$C$38,MAX(1,MIN(IFERROR(MATCH(AF90,Tables!$C$17:$C$38,1),1),ROWS(Tables!$C$17:$C$38)-1))))*(INDEX(Tables!$D$17:$D$38,MAX(1,MIN(IFERROR(MATCH(AF90,Tables!$C$17:$C$38,1),1),ROWS(Tables!$C$17:$C$38)-1))+1)-INDEX(Tables!$D$17:$D$38,MAX(1,MIN(IFERROR(MATCH(AF90,Tables!$C$17:$C$38,1),1),ROWS(Tables!$C$17:$C$38)-1))))/(INDEX(Tables!$C$17:$C$38,MAX(1,MIN(IFERROR(MATCH(AF90,Tables!$C$17:$C$38,1),1),ROWS(Tables!$C$17:$C$38)-1))+1)-INDEX(Tables!$C$17:$C$38,MAX(1,MIN(IFERROR(MATCH(AF90,Tables!$C$17:$C$38,1),1),ROWS(Tables!$C$17:$C$38)-1))))),IF(AC90=1000,(INDEX(Tables!$F$17:$F$38,MAX(1,MIN(IFERROR(MATCH(AF90,Tables!$E$17:$E$38,1),1),ROWS(Tables!$E$17:$E$38)-1)))+(AF90-INDEX(Tables!$E$17:$E$38,MAX(1,MIN(IFERROR(MATCH(AF90,Tables!$E$17:$E$38,1),1),ROWS(Tables!$E$17:$E$38)-1))))*(INDEX(Tables!$F$17:$F$38,MAX(1,MIN(IFERROR(MATCH(AF90,Tables!$E$17:$E$38,1),1),ROWS(Tables!$E$17:$E$38)-1))+1)-INDEX(Tables!$F$17:$F$38,MAX(1,MIN(IFERROR(MATCH(AF90,Tables!$E$17:$E$38,1),1),ROWS(Tables!$E$17:$E$38)-1))))/(INDEX(Tables!$E$17:$E$38,MAX(1,MIN(IFERROR(MATCH(AF90,Tables!$E$17:$E$38,1),1),ROWS(Tables!$E$17:$E$38)-1))+1)-INDEX(Tables!$E$17:$E$38,MAX(1,MIN(IFERROR(MATCH(AF90,Tables!$E$17:$E$38,1),1),ROWS(Tables!$E$17:$E$38)-1))))),(INDEX(Tables!$H$17:$H$38,MAX(1,MIN(IFERROR(MATCH(AF90,Tables!$G$17:$G$38,1),1),ROWS(Tables!$G$17:$G$38)-1)))+(AF90-INDEX(Tables!$G$17:$G$38,MAX(1,MIN(IFERROR(MATCH(AF90,Tables!$G$17:$G$38,1),1),ROWS(Tables!$G$17:$G$38)-1))))*(INDEX(Tables!$H$17:$H$38,MAX(1,MIN(IFERROR(MATCH(AF90,Tables!$G$17:$G$38,1),1),ROWS(Tables!$G$17:$G$38)-1))+1)-INDEX(Tables!$H$17:$H$38,MAX(1,MIN(IFERROR(MATCH(AF90,Tables!$G$17:$G$38,1),1),ROWS(Tables!$G$17:$G$38)-1))))/(INDEX(Tables!$G$17:$G$38,MAX(1,MIN(IFERROR(MATCH(AF90,Tables!$G$17:$G$38,1),1),ROWS(Tables!$G$17:$G$38)-1))+1)-INDEX(Tables!$G$17:$G$38,MAX(1,MIN(IFERROR(MATCH(AF90,Tables!$G$17:$G$38,1),1),ROWS(Tables!$G$17:$G$38)-1))))))))</f>
        <v>3136.166666666667</v>
      </c>
      <c r="AL90" s="181">
        <f>IF(AC90&lt;1000,(INDEX(Tables!$B$43:$B$76,MAX(1,MIN(IFERROR(MATCH(AG90,Tables!$A$43:$A$76,1),1),ROWS(Tables!$A$43:$A$76)-1)))+(AG90-INDEX(Tables!$A$43:$A$76,MAX(1,MIN(IFERROR(MATCH(AG90,Tables!$A$43:$A$76,1),1),ROWS(Tables!$A$43:$A$76)-1))))*(INDEX(Tables!$B$43:$B$76,MAX(1,MIN(IFERROR(MATCH(AG90,Tables!$A$43:$A$76,1),1),ROWS(Tables!$A$43:$A$76)-1))+1)-INDEX(Tables!$B$43:$B$76,MAX(1,MIN(IFERROR(MATCH(AG90,Tables!$A$43:$A$76,1),1),ROWS(Tables!$A$43:$A$76)-1))))/(INDEX(Tables!$A$43:$A$76,MAX(1,MIN(IFERROR(MATCH(AG90,Tables!$A$43:$A$76,1),1),ROWS(Tables!$A$43:$A$76)-1))+1)-INDEX(Tables!$A$43:$A$76,MAX(1,MIN(IFERROR(MATCH(AG90,Tables!$A$43:$A$76,1),1),ROWS(Tables!$A$43:$A$76)-1))))),(INDEX(Tables!$D$43:$D$76,MAX(1,MIN(IFERROR(MATCH(AG90,Tables!$C$43:$C$76,1),1),ROWS(Tables!$C$43:$C$76)-1)))+(AG90-INDEX(Tables!$C$43:$C$76,MAX(1,MIN(IFERROR(MATCH(AG90,Tables!$C$43:$C$76,1),1),ROWS(Tables!$C$43:$C$76)-1))))*(INDEX(Tables!$D$43:$D$76,MAX(1,MIN(IFERROR(MATCH(AG90,Tables!$C$43:$C$76,1),1),ROWS(Tables!$C$43:$C$76)-1))+1)-INDEX(Tables!$D$43:$D$76,MAX(1,MIN(IFERROR(MATCH(AG90,Tables!$C$43:$C$76,1),1),ROWS(Tables!$C$43:$C$76)-1))))/(INDEX(Tables!$C$43:$C$76,MAX(1,MIN(IFERROR(MATCH(AG90,Tables!$C$43:$C$76,1),1),ROWS(Tables!$C$43:$C$76)-1))+1)-INDEX(Tables!$C$43:$C$76,MAX(1,MIN(IFERROR(MATCH(AG90,Tables!$C$43:$C$76,1),1),ROWS(Tables!$C$43:$C$76)-1))))))</f>
        <v>0.9366923076923076</v>
      </c>
      <c r="AM90" s="181">
        <f>(INDEX(Tables!$B$80:$B$87,MAX(1,MIN(IFERROR(MATCH(AH90,Tables!$A$80:$A$87,1),1),ROWS(Tables!$A$80:$A$87)-1)))+(AH90-INDEX(Tables!$A$80:$A$87,MAX(1,MIN(IFERROR(MATCH(AH90,Tables!$A$80:$A$87,1),1),ROWS(Tables!$A$80:$A$87)-1))))*(INDEX(Tables!$B$80:$B$87,MAX(1,MIN(IFERROR(MATCH(AH90,Tables!$A$80:$A$87,1),1),ROWS(Tables!$A$80:$A$87)-1))+1)-INDEX(Tables!$B$80:$B$87,MAX(1,MIN(IFERROR(MATCH(AH90,Tables!$A$80:$A$87,1),1),ROWS(Tables!$A$80:$A$87)-1))))/(INDEX(Tables!$A$80:$A$87,MAX(1,MIN(IFERROR(MATCH(AH90,Tables!$A$80:$A$87,1),1),ROWS(Tables!$A$80:$A$87)-1))+1)-INDEX(Tables!$A$80:$A$87,MAX(1,MIN(IFERROR(MATCH(AH90,Tables!$A$80:$A$87,1),1),ROWS(Tables!$A$80:$A$87)-1)))))</f>
        <v>0.96739999999999982</v>
      </c>
      <c r="AN90" s="181">
        <f t="shared" si="71"/>
        <v>4736.4277937307688</v>
      </c>
      <c r="AO90" s="181">
        <f>(INDEX(Tables!$B$91:$B$94,MAX(1,MIN(IFERROR(MATCH(P90,Tables!$A$91:$A$94,1),1),ROWS(Tables!$A$91:$A$94)-1)))+(P90-INDEX(Tables!$A$91:$A$94,MAX(1,MIN(IFERROR(MATCH(P90,Tables!$A$91:$A$94,1),1),ROWS(Tables!$A$91:$A$94)-1))))*(INDEX(Tables!$B$91:$B$94,MAX(1,MIN(IFERROR(MATCH(P90,Tables!$A$91:$A$94,1),1),ROWS(Tables!$A$91:$A$94)-1))+1)-INDEX(Tables!$B$91:$B$94,MAX(1,MIN(IFERROR(MATCH(P90,Tables!$A$91:$A$94,1),1),ROWS(Tables!$A$91:$A$94)-1))))/(INDEX(Tables!$A$91:$A$94,MAX(1,MIN(IFERROR(MATCH(P90,Tables!$A$91:$A$94,1),1),ROWS(Tables!$A$91:$A$94)-1))+1)-INDEX(Tables!$A$91:$A$94,MAX(1,MIN(IFERROR(MATCH(P90,Tables!$A$91:$A$94,1),1),ROWS(Tables!$A$91:$A$94)-1)))))</f>
        <v>1.3542682926829268</v>
      </c>
      <c r="AP90" s="181">
        <f>IF(AD90=5000,(INDEX(Tables!$B$99:$B$118,MAX(1,MIN(IFERROR(MATCH(AF90,Tables!$A$99:$A$118,1),1),ROWS(Tables!$A$99:$A$118)-1)))+(AF90-INDEX(Tables!$A$99:$A$118,MAX(1,MIN(IFERROR(MATCH(AF90,Tables!$A$99:$A$118,1),1),ROWS(Tables!$A$99:$A$118)-1))))*(INDEX(Tables!$B$99:$B$118,MAX(1,MIN(IFERROR(MATCH(AF90,Tables!$A$99:$A$118,1),1),ROWS(Tables!$A$99:$A$118)-1))+1)-INDEX(Tables!$B$99:$B$118,MAX(1,MIN(IFERROR(MATCH(AF90,Tables!$A$99:$A$118,1),1),ROWS(Tables!$A$99:$A$118)-1))))/(INDEX(Tables!$A$99:$A$118,MAX(1,MIN(IFERROR(MATCH(AF90,Tables!$A$99:$A$118,1),1),ROWS(Tables!$A$99:$A$118)-1))+1)-INDEX(Tables!$A$99:$A$118,MAX(1,MIN(IFERROR(MATCH(AF90,Tables!$A$99:$A$118,1),1),ROWS(Tables!$A$99:$A$118)-1))))),IF(AD90=10000,(INDEX(Tables!$D$99:$D$118,MAX(1,MIN(IFERROR(MATCH(AF90,Tables!$C$99:$C$118,1),1),ROWS(Tables!$C$99:$C$118)-1)))+(AF90-INDEX(Tables!$C$99:$C$118,MAX(1,MIN(IFERROR(MATCH(AF90,Tables!$C$99:$C$118,1),1),ROWS(Tables!$C$99:$C$118)-1))))*(INDEX(Tables!$D$99:$D$118,MAX(1,MIN(IFERROR(MATCH(AF90,Tables!$C$99:$C$118,1),1),ROWS(Tables!$C$99:$C$118)-1))+1)-INDEX(Tables!$D$99:$D$118,MAX(1,MIN(IFERROR(MATCH(AF90,Tables!$C$99:$C$118,1),1),ROWS(Tables!$C$99:$C$118)-1))))/(INDEX(Tables!$C$99:$C$118,MAX(1,MIN(IFERROR(MATCH(AF90,Tables!$C$99:$C$118,1),1),ROWS(Tables!$C$99:$C$118)-1))+1)-INDEX(Tables!$C$99:$C$118,MAX(1,MIN(IFERROR(MATCH(AF90,Tables!$C$99:$C$118,1),1),ROWS(Tables!$C$99:$C$118)-1))))),(INDEX(Tables!$F$99:$F$118,MAX(1,MIN(IFERROR(MATCH(AF90,Tables!$E$99:$E$118,1),1),ROWS(Tables!$E$99:$E$118)-1)))+(AF90-INDEX(Tables!$E$99:$E$118,MAX(1,MIN(IFERROR(MATCH(AF90,Tables!$E$99:$E$118,1),1),ROWS(Tables!$E$99:$E$118)-1))))*(INDEX(Tables!$F$99:$F$118,MAX(1,MIN(IFERROR(MATCH(AF90,Tables!$E$99:$E$118,1),1),ROWS(Tables!$E$99:$E$118)-1))+1)-INDEX(Tables!$F$99:$F$118,MAX(1,MIN(IFERROR(MATCH(AF90,Tables!$E$99:$E$118,1),1),ROWS(Tables!$E$99:$E$118)-1))))/(INDEX(Tables!$E$99:$E$118,MAX(1,MIN(IFERROR(MATCH(AF90,Tables!$E$99:$E$118,1),1),ROWS(Tables!$E$99:$E$118)-1))+1)-INDEX(Tables!$E$99:$E$118,MAX(1,MIN(IFERROR(MATCH(AF90,Tables!$E$99:$E$118,1),1),ROWS(Tables!$E$99:$E$118)-1)))))))</f>
        <v>7.0546899224806197</v>
      </c>
      <c r="AQ90" s="181">
        <f>IF(P90&lt;6,(INDEX(Tables!$B$123:$B$138,MAX(1,MIN(IFERROR(MATCH(U90,Tables!$A$123:$A$138,1),1),ROWS(Tables!$A$123:$A$138)-1)))+(U90-INDEX(Tables!$A$123:$A$138,MAX(1,MIN(IFERROR(MATCH(U90,Tables!$A$123:$A$138,1),1),ROWS(Tables!$A$123:$A$138)-1))))*(INDEX(Tables!$B$123:$B$138,MAX(1,MIN(IFERROR(MATCH(U90,Tables!$A$123:$A$138,1),1),ROWS(Tables!$A$123:$A$138)-1))+1)-INDEX(Tables!$B$123:$B$138,MAX(1,MIN(IFERROR(MATCH(U90,Tables!$A$123:$A$138,1),1),ROWS(Tables!$A$123:$A$138)-1))))/(INDEX(Tables!$A$123:$A$138,MAX(1,MIN(IFERROR(MATCH(U90,Tables!$A$123:$A$138,1),1),ROWS(Tables!$A$123:$A$138)-1))+1)-INDEX(Tables!$A$123:$A$138,MAX(1,MIN(IFERROR(MATCH(U90,Tables!$A$123:$A$138,1),1),ROWS(Tables!$A$123:$A$138)-1))))),IF(P90&lt;8,(INDEX(Tables!$D$123:$D$138,MAX(1,MIN(IFERROR(MATCH(U90,Tables!$C$123:$C$138,1),1),ROWS(Tables!$C$123:$C$138)-1)))+(U90-INDEX(Tables!$C$123:$C$138,MAX(1,MIN(IFERROR(MATCH(U90,Tables!$C$123:$C$138,1),1),ROWS(Tables!$C$123:$C$138)-1))))*(INDEX(Tables!$D$123:$D$138,MAX(1,MIN(IFERROR(MATCH(U90,Tables!$C$123:$C$138,1),1),ROWS(Tables!$C$123:$C$138)-1))+1)-INDEX(Tables!$D$123:$D$138,MAX(1,MIN(IFERROR(MATCH(U90,Tables!$C$123:$C$138,1),1),ROWS(Tables!$C$123:$C$138)-1))))/(INDEX(Tables!$C$123:$C$138,MAX(1,MIN(IFERROR(MATCH(U90,Tables!$C$123:$C$138,1),1),ROWS(Tables!$C$123:$C$138)-1))+1)-INDEX(Tables!$C$123:$C$138,MAX(1,MIN(IFERROR(MATCH(U90,Tables!$C$123:$C$138,1),1),ROWS(Tables!$C$123:$C$138)-1))))),IF(P90&lt;10,(INDEX(Tables!$F$123:$F$138,MAX(1,MIN(IFERROR(MATCH(U90,Tables!$E$123:$E$138,1),1),ROWS(Tables!$E$123:$E$138)-1)))+(U90-INDEX(Tables!$E$123:$E$138,MAX(1,MIN(IFERROR(MATCH(U90,Tables!$E$123:$E$138,1),1),ROWS(Tables!$E$123:$E$138)-1))))*(INDEX(Tables!$F$123:$F$138,MAX(1,MIN(IFERROR(MATCH(U90,Tables!$E$123:$E$138,1),1),ROWS(Tables!$E$123:$E$138)-1))+1)-INDEX(Tables!$F$123:$F$138,MAX(1,MIN(IFERROR(MATCH(U90,Tables!$E$123:$E$138,1),1),ROWS(Tables!$E$123:$E$138)-1))))/(INDEX(Tables!$E$123:$E$138,MAX(1,MIN(IFERROR(MATCH(U90,Tables!$E$123:$E$138,1),1),ROWS(Tables!$E$123:$E$138)-1))+1)-INDEX(Tables!$E$123:$E$138,MAX(1,MIN(IFERROR(MATCH(U90,Tables!$E$123:$E$138,1),1),ROWS(Tables!$E$123:$E$138)-1))))),(INDEX(Tables!$H$123:$H$138,MAX(1,MIN(IFERROR(MATCH(U90,Tables!$G$123:$G$138,1),1),ROWS(Tables!$G$123:$G$138)-1)))+(U90-INDEX(Tables!$G$123:$G$138,MAX(1,MIN(IFERROR(MATCH(U90,Tables!$G$123:$G$138,1),1),ROWS(Tables!$G$123:$G$138)-1))))*(INDEX(Tables!$H$123:$H$138,MAX(1,MIN(IFERROR(MATCH(U90,Tables!$G$123:$G$138,1),1),ROWS(Tables!$G$123:$G$138)-1))+1)-INDEX(Tables!$H$123:$H$138,MAX(1,MIN(IFERROR(MATCH(U90,Tables!$G$123:$G$138,1),1),ROWS(Tables!$G$123:$G$138)-1))))/(INDEX(Tables!$G$123:$G$138,MAX(1,MIN(IFERROR(MATCH(U90,Tables!$G$123:$G$138,1),1),ROWS(Tables!$G$123:$G$138)-1))+1)-INDEX(Tables!$G$123:$G$138,MAX(1,MIN(IFERROR(MATCH(U90,Tables!$G$123:$G$138,1),1),ROWS(Tables!$G$123:$G$138)-1))))))))</f>
        <v>0.57750000000000001</v>
      </c>
      <c r="AR90" s="181">
        <f>IF(OR(P90&gt;=4,U90&gt;12),VLOOKUP(R90&amp;" "&amp;S90,Tables!$D$143:$F$148,2,FALSE),VLOOKUP(R90&amp;" "&amp;S90,Tables!$A$143:$C$148,2,FALSE))</f>
        <v>1</v>
      </c>
      <c r="AS90" s="181">
        <f>IF(OR(P90&gt;=4,U90&gt;12),VLOOKUP(R90&amp;" "&amp;S90,Tables!$D$143:$F$148,3,FALSE),VLOOKUP(R90&amp;" "&amp;S90,Tables!$A$143:$C$148,3,FALSE))</f>
        <v>0.65</v>
      </c>
      <c r="AT90" s="181">
        <f t="shared" si="72"/>
        <v>298.85927561256267</v>
      </c>
      <c r="AU90" s="181">
        <f>IF(AD90=5000,(INDEX(Tables!$B$244:$B$263,MAX(1,MIN(IFERROR(MATCH(AF90,Tables!$A$244:$A$263,1),1),ROWS(Tables!$A$244:$A$263)-1)))+(AF90-INDEX(Tables!$A$244:$A$263,MAX(1,MIN(IFERROR(MATCH(AF90,Tables!$A$244:$A$263,1),1),ROWS(Tables!$A$244:$A$263)-1))))*(INDEX(Tables!$B$244:$B$263,MAX(1,MIN(IFERROR(MATCH(AF90,Tables!$A$244:$A$263,1),1),ROWS(Tables!$A$244:$A$263)-1))+1)-INDEX(Tables!$B$244:$B$263,MAX(1,MIN(IFERROR(MATCH(AF90,Tables!$A$244:$A$263,1),1),ROWS(Tables!$A$244:$A$263)-1))))/(INDEX(Tables!$A$244:$A$263,MAX(1,MIN(IFERROR(MATCH(AF90,Tables!$A$244:$A$263,1),1),ROWS(Tables!$A$244:$A$263)-1))+1)-INDEX(Tables!$A$244:$A$263,MAX(1,MIN(IFERROR(MATCH(AF90,Tables!$A$244:$A$263,1),1),ROWS(Tables!$A$244:$A$263)-1))))),IF(AD90=10000,(INDEX(Tables!$D$244:$D$263,MAX(1,MIN(IFERROR(MATCH(AF90,Tables!$C$244:$C$263,1),1),ROWS(Tables!$C$244:$C$263)-1)))+(AF90-INDEX(Tables!$C$244:$C$263,MAX(1,MIN(IFERROR(MATCH(AF90,Tables!$C$244:$C$263,1),1),ROWS(Tables!$C$244:$C$263)-1))))*(INDEX(Tables!$D$244:$D$263,MAX(1,MIN(IFERROR(MATCH(AF90,Tables!$C$244:$C$263,1),1),ROWS(Tables!$C$244:$C$263)-1))+1)-INDEX(Tables!$D$244:$D$263,MAX(1,MIN(IFERROR(MATCH(AF90,Tables!$C$244:$C$263,1),1),ROWS(Tables!$C$244:$C$263)-1))))/(INDEX(Tables!$C$244:$C$263,MAX(1,MIN(IFERROR(MATCH(AF90,Tables!$C$244:$C$263,1),1),ROWS(Tables!$C$244:$C$263)-1))+1)-INDEX(Tables!$C$244:$C$263,MAX(1,MIN(IFERROR(MATCH(AF90,Tables!$C$244:$C$263,1),1),ROWS(Tables!$C$244:$C$263)-1))))),(INDEX(Tables!$F$244:$F$263,MAX(1,MIN(IFERROR(MATCH(AF90,Tables!$E$244:$E$263,1),1),ROWS(Tables!$E$244:$E$263)-1)))+(AF90-INDEX(Tables!$E$244:$E$263,MAX(1,MIN(IFERROR(MATCH(AF90,Tables!$E$244:$E$263,1),1),ROWS(Tables!$E$244:$E$263)-1))))*(INDEX(Tables!$F$244:$F$263,MAX(1,MIN(IFERROR(MATCH(AF90,Tables!$E$244:$E$263,1),1),ROWS(Tables!$E$244:$E$263)-1))+1)-INDEX(Tables!$F$244:$F$263,MAX(1,MIN(IFERROR(MATCH(AF90,Tables!$E$244:$E$263,1),1),ROWS(Tables!$E$244:$E$263)-1))))/(INDEX(Tables!$E$244:$E$263,MAX(1,MIN(IFERROR(MATCH(AF90,Tables!$E$244:$E$263,1),1),ROWS(Tables!$E$244:$E$263)-1))+1)-INDEX(Tables!$E$244:$E$263,MAX(1,MIN(IFERROR(MATCH(AF90,Tables!$E$244:$E$263,1),1),ROWS(Tables!$E$244:$E$263)-1)))))))</f>
        <v>6.0990000000000002</v>
      </c>
      <c r="AV90" s="181">
        <f>IF(P90&lt;6,(INDEX(Tables!$B$260:$B$274,MAX(1,MIN(IFERROR(MATCH(U90,Tables!$A$260:$A$274,1),1),ROWS(Tables!$A$260:$A$274)-1)))+(U90-INDEX(Tables!$A$260:$A$274,MAX(1,MIN(IFERROR(MATCH(U90,Tables!$A$260:$A$274,1),1),ROWS(Tables!$A$260:$A$274)-1))))*(INDEX(Tables!$B$260:$B$274,MAX(1,MIN(IFERROR(MATCH(U90,Tables!$A$260:$A$274,1),1),ROWS(Tables!$A$260:$A$274)-1))+1)-INDEX(Tables!$B$260:$B$274,MAX(1,MIN(IFERROR(MATCH(U90,Tables!$A$260:$A$274,1),1),ROWS(Tables!$A$260:$A$274)-1))))/(INDEX(Tables!$A$260:$A$274,MAX(1,MIN(IFERROR(MATCH(U90,Tables!$A$260:$A$274,1),1),ROWS(Tables!$A$260:$A$274)-1))+1)-INDEX(Tables!$A$260:$A$274,MAX(1,MIN(IFERROR(MATCH(U90,Tables!$A$260:$A$274,1),1),ROWS(Tables!$A$260:$A$274)-1))))),IF(P90&lt;8,(INDEX(Tables!$D$260:$D$274,MAX(1,MIN(IFERROR(MATCH(U90,Tables!$C$260:$C$274,1),1),ROWS(Tables!$C$260:$C$274)-1)))+(U90-INDEX(Tables!$C$260:$C$274,MAX(1,MIN(IFERROR(MATCH(U90,Tables!$C$260:$C$274,1),1),ROWS(Tables!$C$260:$C$274)-1))))*(INDEX(Tables!$D$260:$D$274,MAX(1,MIN(IFERROR(MATCH(U90,Tables!$C$260:$C$274,1),1),ROWS(Tables!$C$260:$C$274)-1))+1)-INDEX(Tables!$D$260:$D$274,MAX(1,MIN(IFERROR(MATCH(U90,Tables!$C$260:$C$274,1),1),ROWS(Tables!$C$260:$C$274)-1))))/(INDEX(Tables!$C$260:$C$274,MAX(1,MIN(IFERROR(MATCH(U90,Tables!$C$260:$C$274,1),1),ROWS(Tables!$C$260:$C$274)-1))+1)-INDEX(Tables!$C$260:$C$274,MAX(1,MIN(IFERROR(MATCH(U90,Tables!$C$260:$C$274,1),1),ROWS(Tables!$C$260:$C$274)-1))))),IF(P90&lt;10,(INDEX(Tables!$F$260:$F$274,MAX(1,MIN(IFERROR(MATCH(U90,Tables!$E$260:$E$274,1),1),ROWS(Tables!$E$260:$E$274)-1)))+(U90-INDEX(Tables!$E$260:$E$274,MAX(1,MIN(IFERROR(MATCH(U90,Tables!$E$260:$E$274,1),1),ROWS(Tables!$E$260:$E$274)-1))))*(INDEX(Tables!$F$260:$F$274,MAX(1,MIN(IFERROR(MATCH(U90,Tables!$E$260:$E$274,1),1),ROWS(Tables!$E$260:$E$274)-1))+1)-INDEX(Tables!$F$260:$F$274,MAX(1,MIN(IFERROR(MATCH(U90,Tables!$E$260:$E$274,1),1),ROWS(Tables!$E$260:$E$274)-1))))/(INDEX(Tables!$E$260:$E$274,MAX(1,MIN(IFERROR(MATCH(U90,Tables!$E$260:$E$274,1),1),ROWS(Tables!$E$260:$E$274)-1))+1)-INDEX(Tables!$E$260:$E$274,MAX(1,MIN(IFERROR(MATCH(U90,Tables!$E$260:$E$274,1),1),ROWS(Tables!$E$260:$E$274)-1))))),(INDEX(Tables!$H$260:$H$274,MAX(1,MIN(IFERROR(MATCH(U90,Tables!$G$260:$G$274,1),1),ROWS(Tables!$G$260:$G$274)-1)))+(U90-INDEX(Tables!$G$260:$G$274,MAX(1,MIN(IFERROR(MATCH(U90,Tables!$G$260:$G$274,1),1),ROWS(Tables!$G$260:$G$274)-1))))*(INDEX(Tables!$H$260:$H$274,MAX(1,MIN(IFERROR(MATCH(U90,Tables!$G$260:$G$274,1),1),ROWS(Tables!$G$260:$G$274)-1))+1)-INDEX(Tables!$H$260:$H$274,MAX(1,MIN(IFERROR(MATCH(U90,Tables!$G$260:$G$274,1),1),ROWS(Tables!$G$260:$G$274)-1))))/(INDEX(Tables!$G$260:$G$274,MAX(1,MIN(IFERROR(MATCH(U90,Tables!$G$260:$G$274,1),1),ROWS(Tables!$G$260:$G$274)-1))+1)-INDEX(Tables!$G$260:$G$274,MAX(1,MIN(IFERROR(MATCH(U90,Tables!$G$260:$G$274,1),1),ROWS(Tables!$G$260:$G$274)-1))))))))</f>
        <v>0.64533333333333331</v>
      </c>
      <c r="AW90" s="181">
        <f t="shared" si="73"/>
        <v>288.72178410569103</v>
      </c>
      <c r="AX90" s="181">
        <f t="shared" si="74"/>
        <v>68400</v>
      </c>
      <c r="AY90" s="181">
        <f t="shared" si="75"/>
        <v>73435.287069343336</v>
      </c>
      <c r="AZ90" s="181">
        <f t="shared" si="76"/>
        <v>22229.650122224921</v>
      </c>
      <c r="BA90" s="181">
        <f t="shared" si="77"/>
        <v>-1440</v>
      </c>
      <c r="BB90" s="181">
        <f t="shared" si="78"/>
        <v>66289.434323220819</v>
      </c>
      <c r="BC90" s="181">
        <f t="shared" si="79"/>
        <v>46800</v>
      </c>
      <c r="BD90" s="181">
        <f>VLOOKUP(V90&amp;" "&amp;J90,Tables!$A$152:$E$239,4,FALSE)</f>
        <v>12000</v>
      </c>
      <c r="BE90" s="181">
        <f>VLOOKUP(V90&amp;" "&amp;J90,Tables!$A$152:$E$239,5,FALSE)</f>
        <v>23000</v>
      </c>
      <c r="BF90" s="181">
        <f t="shared" si="80"/>
        <v>8640</v>
      </c>
      <c r="BG90" s="181">
        <f t="shared" si="81"/>
        <v>16560</v>
      </c>
      <c r="BH90" s="181">
        <f t="shared" si="82"/>
        <v>69120</v>
      </c>
      <c r="BI90" s="181">
        <f t="shared" si="83"/>
        <v>46800</v>
      </c>
      <c r="BJ90" s="181">
        <f t="shared" si="84"/>
        <v>66289.434323220819</v>
      </c>
      <c r="BK90" s="181">
        <f t="shared" si="85"/>
        <v>46800</v>
      </c>
      <c r="BL90" s="181">
        <f t="shared" si="86"/>
        <v>288.72178410569103</v>
      </c>
      <c r="BM90" s="181">
        <f t="shared" si="87"/>
        <v>8640</v>
      </c>
      <c r="BN90" s="181">
        <f t="shared" si="88"/>
        <v>298.85927561256267</v>
      </c>
      <c r="BO90" s="181">
        <f t="shared" si="89"/>
        <v>16560</v>
      </c>
      <c r="BP90" t="str">
        <f t="shared" si="90"/>
        <v>Fail</v>
      </c>
      <c r="BQ90" t="str">
        <f t="shared" si="91"/>
        <v>Fail</v>
      </c>
      <c r="BR90" t="str">
        <f t="shared" si="92"/>
        <v>Pass</v>
      </c>
      <c r="BS90" t="str">
        <f t="shared" si="93"/>
        <v>Pass</v>
      </c>
      <c r="BT90" t="str">
        <f t="shared" si="94"/>
        <v>Fail</v>
      </c>
      <c r="BU90" t="str">
        <f t="shared" si="95"/>
        <v>Barlow Stress</v>
      </c>
    </row>
    <row r="91" spans="1:73">
      <c r="A91" t="s">
        <v>683</v>
      </c>
      <c r="B91" s="181">
        <v>89</v>
      </c>
      <c r="C91" t="s">
        <v>594</v>
      </c>
      <c r="D91" s="181">
        <v>36</v>
      </c>
      <c r="E91" s="181">
        <v>0.312</v>
      </c>
      <c r="F91" t="s">
        <v>117</v>
      </c>
      <c r="G91" t="s">
        <v>119</v>
      </c>
      <c r="H91" t="s">
        <v>122</v>
      </c>
      <c r="I91" s="181">
        <v>1</v>
      </c>
      <c r="J91" t="s">
        <v>126</v>
      </c>
      <c r="K91" t="s">
        <v>129</v>
      </c>
      <c r="L91" s="181">
        <v>70</v>
      </c>
      <c r="M91" s="181">
        <v>1440</v>
      </c>
      <c r="N91" t="s">
        <v>392</v>
      </c>
      <c r="O91" s="181">
        <v>120</v>
      </c>
      <c r="P91" s="181">
        <v>14</v>
      </c>
      <c r="Q91" s="181">
        <v>38</v>
      </c>
      <c r="R91" t="s">
        <v>154</v>
      </c>
      <c r="S91" t="s">
        <v>420</v>
      </c>
      <c r="T91" s="181">
        <v>70</v>
      </c>
      <c r="U91" s="181">
        <f>HLOOKUP(D91,'Highway Loading'!$C$155:$AD$156,2,FALSE)</f>
        <v>36</v>
      </c>
      <c r="V91" s="181">
        <f>IF(ISBLANK(G91),"",INDEX('Highway Loading'!$C$216:$AG$216,1,MATCH(G91,'Highway Loading'!$C$215:$AG$215,0)))</f>
        <v>65000</v>
      </c>
      <c r="W91" s="181">
        <f>INDEX('Highway Loading'!$I$245:$L$253,MATCH(H91,'Highway Loading'!$H$245:$H$253,0),MATCH(I91,'Highway Loading'!$I$244:$L$244,0))</f>
        <v>0.72</v>
      </c>
      <c r="X91" s="181">
        <f t="shared" si="64"/>
        <v>1</v>
      </c>
      <c r="Y91" s="181">
        <f>VLOOKUP(K91,'Highway Loading'!$B$283:$E$292,2,FALSE)</f>
        <v>29000000</v>
      </c>
      <c r="Z91" s="181">
        <f>VLOOKUP(K91,'Highway Loading'!$B$283:$E$292,3,FALSE)</f>
        <v>0.3</v>
      </c>
      <c r="AA91" s="181">
        <f>VLOOKUP(K91,'Highway Loading'!$B$283:$E$292,4,FALSE)</f>
        <v>6.4999999999999996E-6</v>
      </c>
      <c r="AB91" s="181">
        <f t="shared" si="65"/>
        <v>1</v>
      </c>
      <c r="AC91" s="181">
        <f>VLOOKUP(N91,'Highway Loading'!$B$256:$D$261,2,FALSE)</f>
        <v>2000</v>
      </c>
      <c r="AD91" s="181">
        <f>VLOOKUP(N91,'Highway Loading'!$B$256:$D$261,3,FALSE)</f>
        <v>20000</v>
      </c>
      <c r="AE91" s="181">
        <f>VLOOKUP(S91,'Highway Loading'!$B$340:$C$341,2,FALSE)</f>
        <v>12000</v>
      </c>
      <c r="AF91" s="181">
        <f t="shared" si="66"/>
        <v>8.6666666666666663E-3</v>
      </c>
      <c r="AG91" s="181">
        <f t="shared" si="67"/>
        <v>4.4210526315789478</v>
      </c>
      <c r="AH91" s="181">
        <f t="shared" si="68"/>
        <v>1.0555555555555556</v>
      </c>
      <c r="AI91" s="181">
        <f t="shared" si="69"/>
        <v>83076.923076923078</v>
      </c>
      <c r="AJ91" s="181">
        <f t="shared" si="70"/>
        <v>46800</v>
      </c>
      <c r="AK91" s="181">
        <f>IF(AC91=200,(INDEX(Tables!$B$17:$B$38,MAX(1,MIN(IFERROR(MATCH(AF91,Tables!$A$17:$A$38,1),1),ROWS(Tables!$A$17:$A$38)-1)))+(AF91-INDEX(Tables!$A$17:$A$38,MAX(1,MIN(IFERROR(MATCH(AF91,Tables!$A$17:$A$38,1),1),ROWS(Tables!$A$17:$A$38)-1))))*(INDEX(Tables!$B$17:$B$38,MAX(1,MIN(IFERROR(MATCH(AF91,Tables!$A$17:$A$38,1),1),ROWS(Tables!$A$17:$A$38)-1))+1)-INDEX(Tables!$B$17:$B$38,MAX(1,MIN(IFERROR(MATCH(AF91,Tables!$A$17:$A$38,1),1),ROWS(Tables!$A$17:$A$38)-1))))/(INDEX(Tables!$A$17:$A$38,MAX(1,MIN(IFERROR(MATCH(AF91,Tables!$A$17:$A$38,1),1),ROWS(Tables!$A$17:$A$38)-1))+1)-INDEX(Tables!$A$17:$A$38,MAX(1,MIN(IFERROR(MATCH(AF91,Tables!$A$17:$A$38,1),1),ROWS(Tables!$A$17:$A$38)-1))))),IF(AC91=500,(INDEX(Tables!$D$17:$D$38,MAX(1,MIN(IFERROR(MATCH(AF91,Tables!$C$17:$C$38,1),1),ROWS(Tables!$C$17:$C$38)-1)))+(AF91-INDEX(Tables!$C$17:$C$38,MAX(1,MIN(IFERROR(MATCH(AF91,Tables!$C$17:$C$38,1),1),ROWS(Tables!$C$17:$C$38)-1))))*(INDEX(Tables!$D$17:$D$38,MAX(1,MIN(IFERROR(MATCH(AF91,Tables!$C$17:$C$38,1),1),ROWS(Tables!$C$17:$C$38)-1))+1)-INDEX(Tables!$D$17:$D$38,MAX(1,MIN(IFERROR(MATCH(AF91,Tables!$C$17:$C$38,1),1),ROWS(Tables!$C$17:$C$38)-1))))/(INDEX(Tables!$C$17:$C$38,MAX(1,MIN(IFERROR(MATCH(AF91,Tables!$C$17:$C$38,1),1),ROWS(Tables!$C$17:$C$38)-1))+1)-INDEX(Tables!$C$17:$C$38,MAX(1,MIN(IFERROR(MATCH(AF91,Tables!$C$17:$C$38,1),1),ROWS(Tables!$C$17:$C$38)-1))))),IF(AC91=1000,(INDEX(Tables!$F$17:$F$38,MAX(1,MIN(IFERROR(MATCH(AF91,Tables!$E$17:$E$38,1),1),ROWS(Tables!$E$17:$E$38)-1)))+(AF91-INDEX(Tables!$E$17:$E$38,MAX(1,MIN(IFERROR(MATCH(AF91,Tables!$E$17:$E$38,1),1),ROWS(Tables!$E$17:$E$38)-1))))*(INDEX(Tables!$F$17:$F$38,MAX(1,MIN(IFERROR(MATCH(AF91,Tables!$E$17:$E$38,1),1),ROWS(Tables!$E$17:$E$38)-1))+1)-INDEX(Tables!$F$17:$F$38,MAX(1,MIN(IFERROR(MATCH(AF91,Tables!$E$17:$E$38,1),1),ROWS(Tables!$E$17:$E$38)-1))))/(INDEX(Tables!$E$17:$E$38,MAX(1,MIN(IFERROR(MATCH(AF91,Tables!$E$17:$E$38,1),1),ROWS(Tables!$E$17:$E$38)-1))+1)-INDEX(Tables!$E$17:$E$38,MAX(1,MIN(IFERROR(MATCH(AF91,Tables!$E$17:$E$38,1),1),ROWS(Tables!$E$17:$E$38)-1))))),(INDEX(Tables!$H$17:$H$38,MAX(1,MIN(IFERROR(MATCH(AF91,Tables!$G$17:$G$38,1),1),ROWS(Tables!$G$17:$G$38)-1)))+(AF91-INDEX(Tables!$G$17:$G$38,MAX(1,MIN(IFERROR(MATCH(AF91,Tables!$G$17:$G$38,1),1),ROWS(Tables!$G$17:$G$38)-1))))*(INDEX(Tables!$H$17:$H$38,MAX(1,MIN(IFERROR(MATCH(AF91,Tables!$G$17:$G$38,1),1),ROWS(Tables!$G$17:$G$38)-1))+1)-INDEX(Tables!$H$17:$H$38,MAX(1,MIN(IFERROR(MATCH(AF91,Tables!$G$17:$G$38,1),1),ROWS(Tables!$G$17:$G$38)-1))))/(INDEX(Tables!$G$17:$G$38,MAX(1,MIN(IFERROR(MATCH(AF91,Tables!$G$17:$G$38,1),1),ROWS(Tables!$G$17:$G$38)-1))+1)-INDEX(Tables!$G$17:$G$38,MAX(1,MIN(IFERROR(MATCH(AF91,Tables!$G$17:$G$38,1),1),ROWS(Tables!$G$17:$G$38)-1))))))))</f>
        <v>3662.0952380952385</v>
      </c>
      <c r="AL91" s="181">
        <f>IF(AC91&lt;1000,(INDEX(Tables!$B$43:$B$76,MAX(1,MIN(IFERROR(MATCH(AG91,Tables!$A$43:$A$76,1),1),ROWS(Tables!$A$43:$A$76)-1)))+(AG91-INDEX(Tables!$A$43:$A$76,MAX(1,MIN(IFERROR(MATCH(AG91,Tables!$A$43:$A$76,1),1),ROWS(Tables!$A$43:$A$76)-1))))*(INDEX(Tables!$B$43:$B$76,MAX(1,MIN(IFERROR(MATCH(AG91,Tables!$A$43:$A$76,1),1),ROWS(Tables!$A$43:$A$76)-1))+1)-INDEX(Tables!$B$43:$B$76,MAX(1,MIN(IFERROR(MATCH(AG91,Tables!$A$43:$A$76,1),1),ROWS(Tables!$A$43:$A$76)-1))))/(INDEX(Tables!$A$43:$A$76,MAX(1,MIN(IFERROR(MATCH(AG91,Tables!$A$43:$A$76,1),1),ROWS(Tables!$A$43:$A$76)-1))+1)-INDEX(Tables!$A$43:$A$76,MAX(1,MIN(IFERROR(MATCH(AG91,Tables!$A$43:$A$76,1),1),ROWS(Tables!$A$43:$A$76)-1))))),(INDEX(Tables!$D$43:$D$76,MAX(1,MIN(IFERROR(MATCH(AG91,Tables!$C$43:$C$76,1),1),ROWS(Tables!$C$43:$C$76)-1)))+(AG91-INDEX(Tables!$C$43:$C$76,MAX(1,MIN(IFERROR(MATCH(AG91,Tables!$C$43:$C$76,1),1),ROWS(Tables!$C$43:$C$76)-1))))*(INDEX(Tables!$D$43:$D$76,MAX(1,MIN(IFERROR(MATCH(AG91,Tables!$C$43:$C$76,1),1),ROWS(Tables!$C$43:$C$76)-1))+1)-INDEX(Tables!$D$43:$D$76,MAX(1,MIN(IFERROR(MATCH(AG91,Tables!$C$43:$C$76,1),1),ROWS(Tables!$C$43:$C$76)-1))))/(INDEX(Tables!$C$43:$C$76,MAX(1,MIN(IFERROR(MATCH(AG91,Tables!$C$43:$C$76,1),1),ROWS(Tables!$C$43:$C$76)-1))+1)-INDEX(Tables!$C$43:$C$76,MAX(1,MIN(IFERROR(MATCH(AG91,Tables!$C$43:$C$76,1),1),ROWS(Tables!$C$43:$C$76)-1))))))</f>
        <v>0.92289473684210532</v>
      </c>
      <c r="AM91" s="181">
        <f>(INDEX(Tables!$B$80:$B$87,MAX(1,MIN(IFERROR(MATCH(AH91,Tables!$A$80:$A$87,1),1),ROWS(Tables!$A$80:$A$87)-1)))+(AH91-INDEX(Tables!$A$80:$A$87,MAX(1,MIN(IFERROR(MATCH(AH91,Tables!$A$80:$A$87,1),1),ROWS(Tables!$A$80:$A$87)-1))))*(INDEX(Tables!$B$80:$B$87,MAX(1,MIN(IFERROR(MATCH(AH91,Tables!$A$80:$A$87,1),1),ROWS(Tables!$A$80:$A$87)-1))+1)-INDEX(Tables!$B$80:$B$87,MAX(1,MIN(IFERROR(MATCH(AH91,Tables!$A$80:$A$87,1),1),ROWS(Tables!$A$80:$A$87)-1))))/(INDEX(Tables!$A$80:$A$87,MAX(1,MIN(IFERROR(MATCH(AH91,Tables!$A$80:$A$87,1),1),ROWS(Tables!$A$80:$A$87)-1))+1)-INDEX(Tables!$A$80:$A$87,MAX(1,MIN(IFERROR(MATCH(AH91,Tables!$A$80:$A$87,1),1),ROWS(Tables!$A$80:$A$87)-1)))))</f>
        <v>0.91873333333333329</v>
      </c>
      <c r="AN91" s="181">
        <f t="shared" si="71"/>
        <v>7762.6728950877205</v>
      </c>
      <c r="AO91" s="181">
        <f>(INDEX(Tables!$B$91:$B$94,MAX(1,MIN(IFERROR(MATCH(P91,Tables!$A$91:$A$94,1),1),ROWS(Tables!$A$91:$A$94)-1)))+(P91-INDEX(Tables!$A$91:$A$94,MAX(1,MIN(IFERROR(MATCH(P91,Tables!$A$91:$A$94,1),1),ROWS(Tables!$A$91:$A$94)-1))))*(INDEX(Tables!$B$91:$B$94,MAX(1,MIN(IFERROR(MATCH(P91,Tables!$A$91:$A$94,1),1),ROWS(Tables!$A$91:$A$94)-1))+1)-INDEX(Tables!$B$91:$B$94,MAX(1,MIN(IFERROR(MATCH(P91,Tables!$A$91:$A$94,1),1),ROWS(Tables!$A$91:$A$94)-1))))/(INDEX(Tables!$A$91:$A$94,MAX(1,MIN(IFERROR(MATCH(P91,Tables!$A$91:$A$94,1),1),ROWS(Tables!$A$91:$A$94)-1))+1)-INDEX(Tables!$A$91:$A$94,MAX(1,MIN(IFERROR(MATCH(P91,Tables!$A$91:$A$94,1),1),ROWS(Tables!$A$91:$A$94)-1)))))</f>
        <v>1.2323170731707318</v>
      </c>
      <c r="AP91" s="181">
        <f>IF(AD91=5000,(INDEX(Tables!$B$99:$B$118,MAX(1,MIN(IFERROR(MATCH(AF91,Tables!$A$99:$A$118,1),1),ROWS(Tables!$A$99:$A$118)-1)))+(AF91-INDEX(Tables!$A$99:$A$118,MAX(1,MIN(IFERROR(MATCH(AF91,Tables!$A$99:$A$118,1),1),ROWS(Tables!$A$99:$A$118)-1))))*(INDEX(Tables!$B$99:$B$118,MAX(1,MIN(IFERROR(MATCH(AF91,Tables!$A$99:$A$118,1),1),ROWS(Tables!$A$99:$A$118)-1))+1)-INDEX(Tables!$B$99:$B$118,MAX(1,MIN(IFERROR(MATCH(AF91,Tables!$A$99:$A$118,1),1),ROWS(Tables!$A$99:$A$118)-1))))/(INDEX(Tables!$A$99:$A$118,MAX(1,MIN(IFERROR(MATCH(AF91,Tables!$A$99:$A$118,1),1),ROWS(Tables!$A$99:$A$118)-1))+1)-INDEX(Tables!$A$99:$A$118,MAX(1,MIN(IFERROR(MATCH(AF91,Tables!$A$99:$A$118,1),1),ROWS(Tables!$A$99:$A$118)-1))))),IF(AD91=10000,(INDEX(Tables!$D$99:$D$118,MAX(1,MIN(IFERROR(MATCH(AF91,Tables!$C$99:$C$118,1),1),ROWS(Tables!$C$99:$C$118)-1)))+(AF91-INDEX(Tables!$C$99:$C$118,MAX(1,MIN(IFERROR(MATCH(AF91,Tables!$C$99:$C$118,1),1),ROWS(Tables!$C$99:$C$118)-1))))*(INDEX(Tables!$D$99:$D$118,MAX(1,MIN(IFERROR(MATCH(AF91,Tables!$C$99:$C$118,1),1),ROWS(Tables!$C$99:$C$118)-1))+1)-INDEX(Tables!$D$99:$D$118,MAX(1,MIN(IFERROR(MATCH(AF91,Tables!$C$99:$C$118,1),1),ROWS(Tables!$C$99:$C$118)-1))))/(INDEX(Tables!$C$99:$C$118,MAX(1,MIN(IFERROR(MATCH(AF91,Tables!$C$99:$C$118,1),1),ROWS(Tables!$C$99:$C$118)-1))+1)-INDEX(Tables!$C$99:$C$118,MAX(1,MIN(IFERROR(MATCH(AF91,Tables!$C$99:$C$118,1),1),ROWS(Tables!$C$99:$C$118)-1))))),(INDEX(Tables!$F$99:$F$118,MAX(1,MIN(IFERROR(MATCH(AF91,Tables!$E$99:$E$118,1),1),ROWS(Tables!$E$99:$E$118)-1)))+(AF91-INDEX(Tables!$E$99:$E$118,MAX(1,MIN(IFERROR(MATCH(AF91,Tables!$E$99:$E$118,1),1),ROWS(Tables!$E$99:$E$118)-1))))*(INDEX(Tables!$F$99:$F$118,MAX(1,MIN(IFERROR(MATCH(AF91,Tables!$E$99:$E$118,1),1),ROWS(Tables!$E$99:$E$118)-1))+1)-INDEX(Tables!$F$99:$F$118,MAX(1,MIN(IFERROR(MATCH(AF91,Tables!$E$99:$E$118,1),1),ROWS(Tables!$E$99:$E$118)-1))))/(INDEX(Tables!$E$99:$E$118,MAX(1,MIN(IFERROR(MATCH(AF91,Tables!$E$99:$E$118,1),1),ROWS(Tables!$E$99:$E$118)-1))+1)-INDEX(Tables!$E$99:$E$118,MAX(1,MIN(IFERROR(MATCH(AF91,Tables!$E$99:$E$118,1),1),ROWS(Tables!$E$99:$E$118)-1)))))))</f>
        <v>5.5855038759689926</v>
      </c>
      <c r="AQ91" s="181">
        <f>IF(P91&lt;6,(INDEX(Tables!$B$123:$B$138,MAX(1,MIN(IFERROR(MATCH(U91,Tables!$A$123:$A$138,1),1),ROWS(Tables!$A$123:$A$138)-1)))+(U91-INDEX(Tables!$A$123:$A$138,MAX(1,MIN(IFERROR(MATCH(U91,Tables!$A$123:$A$138,1),1),ROWS(Tables!$A$123:$A$138)-1))))*(INDEX(Tables!$B$123:$B$138,MAX(1,MIN(IFERROR(MATCH(U91,Tables!$A$123:$A$138,1),1),ROWS(Tables!$A$123:$A$138)-1))+1)-INDEX(Tables!$B$123:$B$138,MAX(1,MIN(IFERROR(MATCH(U91,Tables!$A$123:$A$138,1),1),ROWS(Tables!$A$123:$A$138)-1))))/(INDEX(Tables!$A$123:$A$138,MAX(1,MIN(IFERROR(MATCH(U91,Tables!$A$123:$A$138,1),1),ROWS(Tables!$A$123:$A$138)-1))+1)-INDEX(Tables!$A$123:$A$138,MAX(1,MIN(IFERROR(MATCH(U91,Tables!$A$123:$A$138,1),1),ROWS(Tables!$A$123:$A$138)-1))))),IF(P91&lt;8,(INDEX(Tables!$D$123:$D$138,MAX(1,MIN(IFERROR(MATCH(U91,Tables!$C$123:$C$138,1),1),ROWS(Tables!$C$123:$C$138)-1)))+(U91-INDEX(Tables!$C$123:$C$138,MAX(1,MIN(IFERROR(MATCH(U91,Tables!$C$123:$C$138,1),1),ROWS(Tables!$C$123:$C$138)-1))))*(INDEX(Tables!$D$123:$D$138,MAX(1,MIN(IFERROR(MATCH(U91,Tables!$C$123:$C$138,1),1),ROWS(Tables!$C$123:$C$138)-1))+1)-INDEX(Tables!$D$123:$D$138,MAX(1,MIN(IFERROR(MATCH(U91,Tables!$C$123:$C$138,1),1),ROWS(Tables!$C$123:$C$138)-1))))/(INDEX(Tables!$C$123:$C$138,MAX(1,MIN(IFERROR(MATCH(U91,Tables!$C$123:$C$138,1),1),ROWS(Tables!$C$123:$C$138)-1))+1)-INDEX(Tables!$C$123:$C$138,MAX(1,MIN(IFERROR(MATCH(U91,Tables!$C$123:$C$138,1),1),ROWS(Tables!$C$123:$C$138)-1))))),IF(P91&lt;10,(INDEX(Tables!$F$123:$F$138,MAX(1,MIN(IFERROR(MATCH(U91,Tables!$E$123:$E$138,1),1),ROWS(Tables!$E$123:$E$138)-1)))+(U91-INDEX(Tables!$E$123:$E$138,MAX(1,MIN(IFERROR(MATCH(U91,Tables!$E$123:$E$138,1),1),ROWS(Tables!$E$123:$E$138)-1))))*(INDEX(Tables!$F$123:$F$138,MAX(1,MIN(IFERROR(MATCH(U91,Tables!$E$123:$E$138,1),1),ROWS(Tables!$E$123:$E$138)-1))+1)-INDEX(Tables!$F$123:$F$138,MAX(1,MIN(IFERROR(MATCH(U91,Tables!$E$123:$E$138,1),1),ROWS(Tables!$E$123:$E$138)-1))))/(INDEX(Tables!$E$123:$E$138,MAX(1,MIN(IFERROR(MATCH(U91,Tables!$E$123:$E$138,1),1),ROWS(Tables!$E$123:$E$138)-1))+1)-INDEX(Tables!$E$123:$E$138,MAX(1,MIN(IFERROR(MATCH(U91,Tables!$E$123:$E$138,1),1),ROWS(Tables!$E$123:$E$138)-1))))),(INDEX(Tables!$H$123:$H$138,MAX(1,MIN(IFERROR(MATCH(U91,Tables!$G$123:$G$138,1),1),ROWS(Tables!$G$123:$G$138)-1)))+(U91-INDEX(Tables!$G$123:$G$138,MAX(1,MIN(IFERROR(MATCH(U91,Tables!$G$123:$G$138,1),1),ROWS(Tables!$G$123:$G$138)-1))))*(INDEX(Tables!$H$123:$H$138,MAX(1,MIN(IFERROR(MATCH(U91,Tables!$G$123:$G$138,1),1),ROWS(Tables!$G$123:$G$138)-1))+1)-INDEX(Tables!$H$123:$H$138,MAX(1,MIN(IFERROR(MATCH(U91,Tables!$G$123:$G$138,1),1),ROWS(Tables!$G$123:$G$138)-1))))/(INDEX(Tables!$G$123:$G$138,MAX(1,MIN(IFERROR(MATCH(U91,Tables!$G$123:$G$138,1),1),ROWS(Tables!$G$123:$G$138)-1))+1)-INDEX(Tables!$G$123:$G$138,MAX(1,MIN(IFERROR(MATCH(U91,Tables!$G$123:$G$138,1),1),ROWS(Tables!$G$123:$G$138)-1))))))))</f>
        <v>0.50060000000000004</v>
      </c>
      <c r="AR91" s="181">
        <f>IF(OR(P91&gt;=4,U91&gt;12),VLOOKUP(R91&amp;" "&amp;S91,Tables!$D$143:$F$148,2,FALSE),VLOOKUP(R91&amp;" "&amp;S91,Tables!$A$143:$C$148,2,FALSE))</f>
        <v>1</v>
      </c>
      <c r="AS91" s="181">
        <f>IF(OR(P91&gt;=4,U91&gt;12),VLOOKUP(R91&amp;" "&amp;S91,Tables!$D$143:$F$148,3,FALSE),VLOOKUP(R91&amp;" "&amp;S91,Tables!$A$143:$C$148,3,FALSE))</f>
        <v>0.65</v>
      </c>
      <c r="AT91" s="181">
        <f t="shared" si="72"/>
        <v>186.64131207486457</v>
      </c>
      <c r="AU91" s="181">
        <f>IF(AD91=5000,(INDEX(Tables!$B$244:$B$263,MAX(1,MIN(IFERROR(MATCH(AF91,Tables!$A$244:$A$263,1),1),ROWS(Tables!$A$244:$A$263)-1)))+(AF91-INDEX(Tables!$A$244:$A$263,MAX(1,MIN(IFERROR(MATCH(AF91,Tables!$A$244:$A$263,1),1),ROWS(Tables!$A$244:$A$263)-1))))*(INDEX(Tables!$B$244:$B$263,MAX(1,MIN(IFERROR(MATCH(AF91,Tables!$A$244:$A$263,1),1),ROWS(Tables!$A$244:$A$263)-1))+1)-INDEX(Tables!$B$244:$B$263,MAX(1,MIN(IFERROR(MATCH(AF91,Tables!$A$244:$A$263,1),1),ROWS(Tables!$A$244:$A$263)-1))))/(INDEX(Tables!$A$244:$A$263,MAX(1,MIN(IFERROR(MATCH(AF91,Tables!$A$244:$A$263,1),1),ROWS(Tables!$A$244:$A$263)-1))+1)-INDEX(Tables!$A$244:$A$263,MAX(1,MIN(IFERROR(MATCH(AF91,Tables!$A$244:$A$263,1),1),ROWS(Tables!$A$244:$A$263)-1))))),IF(AD91=10000,(INDEX(Tables!$D$244:$D$263,MAX(1,MIN(IFERROR(MATCH(AF91,Tables!$C$244:$C$263,1),1),ROWS(Tables!$C$244:$C$263)-1)))+(AF91-INDEX(Tables!$C$244:$C$263,MAX(1,MIN(IFERROR(MATCH(AF91,Tables!$C$244:$C$263,1),1),ROWS(Tables!$C$244:$C$263)-1))))*(INDEX(Tables!$D$244:$D$263,MAX(1,MIN(IFERROR(MATCH(AF91,Tables!$C$244:$C$263,1),1),ROWS(Tables!$C$244:$C$263)-1))+1)-INDEX(Tables!$D$244:$D$263,MAX(1,MIN(IFERROR(MATCH(AF91,Tables!$C$244:$C$263,1),1),ROWS(Tables!$C$244:$C$263)-1))))/(INDEX(Tables!$C$244:$C$263,MAX(1,MIN(IFERROR(MATCH(AF91,Tables!$C$244:$C$263,1),1),ROWS(Tables!$C$244:$C$263)-1))+1)-INDEX(Tables!$C$244:$C$263,MAX(1,MIN(IFERROR(MATCH(AF91,Tables!$C$244:$C$263,1),1),ROWS(Tables!$C$244:$C$263)-1))))),(INDEX(Tables!$F$244:$F$263,MAX(1,MIN(IFERROR(MATCH(AF91,Tables!$E$244:$E$263,1),1),ROWS(Tables!$E$244:$E$263)-1)))+(AF91-INDEX(Tables!$E$244:$E$263,MAX(1,MIN(IFERROR(MATCH(AF91,Tables!$E$244:$E$263,1),1),ROWS(Tables!$E$244:$E$263)-1))))*(INDEX(Tables!$F$244:$F$263,MAX(1,MIN(IFERROR(MATCH(AF91,Tables!$E$244:$E$263,1),1),ROWS(Tables!$E$244:$E$263)-1))+1)-INDEX(Tables!$F$244:$F$263,MAX(1,MIN(IFERROR(MATCH(AF91,Tables!$E$244:$E$263,1),1),ROWS(Tables!$E$244:$E$263)-1))))/(INDEX(Tables!$E$244:$E$263,MAX(1,MIN(IFERROR(MATCH(AF91,Tables!$E$244:$E$263,1),1),ROWS(Tables!$E$244:$E$263)-1))+1)-INDEX(Tables!$E$244:$E$263,MAX(1,MIN(IFERROR(MATCH(AF91,Tables!$E$244:$E$263,1),1),ROWS(Tables!$E$244:$E$263)-1)))))))</f>
        <v>6.0990000000000002</v>
      </c>
      <c r="AV91" s="181">
        <f>IF(P91&lt;6,(INDEX(Tables!$B$260:$B$274,MAX(1,MIN(IFERROR(MATCH(U91,Tables!$A$260:$A$274,1),1),ROWS(Tables!$A$260:$A$274)-1)))+(U91-INDEX(Tables!$A$260:$A$274,MAX(1,MIN(IFERROR(MATCH(U91,Tables!$A$260:$A$274,1),1),ROWS(Tables!$A$260:$A$274)-1))))*(INDEX(Tables!$B$260:$B$274,MAX(1,MIN(IFERROR(MATCH(U91,Tables!$A$260:$A$274,1),1),ROWS(Tables!$A$260:$A$274)-1))+1)-INDEX(Tables!$B$260:$B$274,MAX(1,MIN(IFERROR(MATCH(U91,Tables!$A$260:$A$274,1),1),ROWS(Tables!$A$260:$A$274)-1))))/(INDEX(Tables!$A$260:$A$274,MAX(1,MIN(IFERROR(MATCH(U91,Tables!$A$260:$A$274,1),1),ROWS(Tables!$A$260:$A$274)-1))+1)-INDEX(Tables!$A$260:$A$274,MAX(1,MIN(IFERROR(MATCH(U91,Tables!$A$260:$A$274,1),1),ROWS(Tables!$A$260:$A$274)-1))))),IF(P91&lt;8,(INDEX(Tables!$D$260:$D$274,MAX(1,MIN(IFERROR(MATCH(U91,Tables!$C$260:$C$274,1),1),ROWS(Tables!$C$260:$C$274)-1)))+(U91-INDEX(Tables!$C$260:$C$274,MAX(1,MIN(IFERROR(MATCH(U91,Tables!$C$260:$C$274,1),1),ROWS(Tables!$C$260:$C$274)-1))))*(INDEX(Tables!$D$260:$D$274,MAX(1,MIN(IFERROR(MATCH(U91,Tables!$C$260:$C$274,1),1),ROWS(Tables!$C$260:$C$274)-1))+1)-INDEX(Tables!$D$260:$D$274,MAX(1,MIN(IFERROR(MATCH(U91,Tables!$C$260:$C$274,1),1),ROWS(Tables!$C$260:$C$274)-1))))/(INDEX(Tables!$C$260:$C$274,MAX(1,MIN(IFERROR(MATCH(U91,Tables!$C$260:$C$274,1),1),ROWS(Tables!$C$260:$C$274)-1))+1)-INDEX(Tables!$C$260:$C$274,MAX(1,MIN(IFERROR(MATCH(U91,Tables!$C$260:$C$274,1),1),ROWS(Tables!$C$260:$C$274)-1))))),IF(P91&lt;10,(INDEX(Tables!$F$260:$F$274,MAX(1,MIN(IFERROR(MATCH(U91,Tables!$E$260:$E$274,1),1),ROWS(Tables!$E$260:$E$274)-1)))+(U91-INDEX(Tables!$E$260:$E$274,MAX(1,MIN(IFERROR(MATCH(U91,Tables!$E$260:$E$274,1),1),ROWS(Tables!$E$260:$E$274)-1))))*(INDEX(Tables!$F$260:$F$274,MAX(1,MIN(IFERROR(MATCH(U91,Tables!$E$260:$E$274,1),1),ROWS(Tables!$E$260:$E$274)-1))+1)-INDEX(Tables!$F$260:$F$274,MAX(1,MIN(IFERROR(MATCH(U91,Tables!$E$260:$E$274,1),1),ROWS(Tables!$E$260:$E$274)-1))))/(INDEX(Tables!$E$260:$E$274,MAX(1,MIN(IFERROR(MATCH(U91,Tables!$E$260:$E$274,1),1),ROWS(Tables!$E$260:$E$274)-1))+1)-INDEX(Tables!$E$260:$E$274,MAX(1,MIN(IFERROR(MATCH(U91,Tables!$E$260:$E$274,1),1),ROWS(Tables!$E$260:$E$274)-1))))),(INDEX(Tables!$H$260:$H$274,MAX(1,MIN(IFERROR(MATCH(U91,Tables!$G$260:$G$274,1),1),ROWS(Tables!$G$260:$G$274)-1)))+(U91-INDEX(Tables!$G$260:$G$274,MAX(1,MIN(IFERROR(MATCH(U91,Tables!$G$260:$G$274,1),1),ROWS(Tables!$G$260:$G$274)-1))))*(INDEX(Tables!$H$260:$H$274,MAX(1,MIN(IFERROR(MATCH(U91,Tables!$G$260:$G$274,1),1),ROWS(Tables!$G$260:$G$274)-1))+1)-INDEX(Tables!$H$260:$H$274,MAX(1,MIN(IFERROR(MATCH(U91,Tables!$G$260:$G$274,1),1),ROWS(Tables!$G$260:$G$274)-1))))/(INDEX(Tables!$G$260:$G$274,MAX(1,MIN(IFERROR(MATCH(U91,Tables!$G$260:$G$274,1),1),ROWS(Tables!$G$260:$G$274)-1))+1)-INDEX(Tables!$G$260:$G$274,MAX(1,MIN(IFERROR(MATCH(U91,Tables!$G$260:$G$274,1),1),ROWS(Tables!$G$260:$G$274)-1))))))))</f>
        <v>0.51828571428571424</v>
      </c>
      <c r="AW91" s="181">
        <f t="shared" si="73"/>
        <v>210.99999635452963</v>
      </c>
      <c r="AX91" s="181">
        <f t="shared" si="74"/>
        <v>82356.923076923078</v>
      </c>
      <c r="AY91" s="181">
        <f t="shared" si="75"/>
        <v>90306.23728408567</v>
      </c>
      <c r="AZ91" s="181">
        <f t="shared" si="76"/>
        <v>27246.878787957769</v>
      </c>
      <c r="BA91" s="181">
        <f t="shared" si="77"/>
        <v>-1440</v>
      </c>
      <c r="BB91" s="181">
        <f t="shared" si="78"/>
        <v>81292.040706104526</v>
      </c>
      <c r="BC91" s="181">
        <f t="shared" si="79"/>
        <v>46800</v>
      </c>
      <c r="BD91" s="181">
        <f>VLOOKUP(V91&amp;" "&amp;J91,Tables!$A$152:$E$239,4,FALSE)</f>
        <v>12000</v>
      </c>
      <c r="BE91" s="181">
        <f>VLOOKUP(V91&amp;" "&amp;J91,Tables!$A$152:$E$239,5,FALSE)</f>
        <v>23000</v>
      </c>
      <c r="BF91" s="181">
        <f t="shared" si="80"/>
        <v>8640</v>
      </c>
      <c r="BG91" s="181">
        <f t="shared" si="81"/>
        <v>16560</v>
      </c>
      <c r="BH91" s="181">
        <f t="shared" si="82"/>
        <v>83076.923076923078</v>
      </c>
      <c r="BI91" s="181">
        <f t="shared" si="83"/>
        <v>46800</v>
      </c>
      <c r="BJ91" s="181">
        <f t="shared" si="84"/>
        <v>81292.040706104526</v>
      </c>
      <c r="BK91" s="181">
        <f t="shared" si="85"/>
        <v>46800</v>
      </c>
      <c r="BL91" s="181">
        <f t="shared" si="86"/>
        <v>210.99999635452963</v>
      </c>
      <c r="BM91" s="181">
        <f t="shared" si="87"/>
        <v>8640</v>
      </c>
      <c r="BN91" s="181">
        <f t="shared" si="88"/>
        <v>186.64131207486457</v>
      </c>
      <c r="BO91" s="181">
        <f t="shared" si="89"/>
        <v>16560</v>
      </c>
      <c r="BP91" t="str">
        <f t="shared" si="90"/>
        <v>Fail</v>
      </c>
      <c r="BQ91" t="str">
        <f t="shared" si="91"/>
        <v>Fail</v>
      </c>
      <c r="BR91" t="str">
        <f t="shared" si="92"/>
        <v>Pass</v>
      </c>
      <c r="BS91" t="str">
        <f t="shared" si="93"/>
        <v>Pass</v>
      </c>
      <c r="BT91" t="str">
        <f t="shared" si="94"/>
        <v>Fail</v>
      </c>
      <c r="BU91" t="str">
        <f t="shared" si="95"/>
        <v>Barlow Stress</v>
      </c>
    </row>
    <row r="92" spans="1:73">
      <c r="A92" t="s">
        <v>684</v>
      </c>
      <c r="B92" s="181">
        <v>90</v>
      </c>
      <c r="C92" t="s">
        <v>594</v>
      </c>
      <c r="D92" s="181">
        <v>48</v>
      </c>
      <c r="E92" s="181">
        <v>0.375</v>
      </c>
      <c r="F92" t="s">
        <v>117</v>
      </c>
      <c r="G92" t="s">
        <v>119</v>
      </c>
      <c r="H92" t="s">
        <v>122</v>
      </c>
      <c r="I92" s="181">
        <v>1</v>
      </c>
      <c r="J92" t="s">
        <v>126</v>
      </c>
      <c r="K92" t="s">
        <v>129</v>
      </c>
      <c r="L92" s="181">
        <v>70</v>
      </c>
      <c r="M92" s="181">
        <v>3000</v>
      </c>
      <c r="N92" t="s">
        <v>388</v>
      </c>
      <c r="O92" s="181">
        <v>120</v>
      </c>
      <c r="P92" s="181">
        <v>30</v>
      </c>
      <c r="Q92" s="181">
        <v>50</v>
      </c>
      <c r="R92" t="s">
        <v>154</v>
      </c>
      <c r="S92" t="s">
        <v>420</v>
      </c>
      <c r="T92" s="181">
        <v>70</v>
      </c>
      <c r="U92" s="181">
        <f>HLOOKUP(D92,'Highway Loading'!$C$155:$AD$156,2,FALSE)</f>
        <v>48</v>
      </c>
      <c r="V92" s="181">
        <f>IF(ISBLANK(G92),"",INDEX('Highway Loading'!$C$216:$AG$216,1,MATCH(G92,'Highway Loading'!$C$215:$AG$215,0)))</f>
        <v>65000</v>
      </c>
      <c r="W92" s="181">
        <f>INDEX('Highway Loading'!$I$245:$L$253,MATCH(H92,'Highway Loading'!$H$245:$H$253,0),MATCH(I92,'Highway Loading'!$I$244:$L$244,0))</f>
        <v>0.72</v>
      </c>
      <c r="X92" s="181">
        <f t="shared" si="64"/>
        <v>1</v>
      </c>
      <c r="Y92" s="181">
        <f>VLOOKUP(K92,'Highway Loading'!$B$283:$E$292,2,FALSE)</f>
        <v>29000000</v>
      </c>
      <c r="Z92" s="181">
        <f>VLOOKUP(K92,'Highway Loading'!$B$283:$E$292,3,FALSE)</f>
        <v>0.3</v>
      </c>
      <c r="AA92" s="181">
        <f>VLOOKUP(K92,'Highway Loading'!$B$283:$E$292,4,FALSE)</f>
        <v>6.4999999999999996E-6</v>
      </c>
      <c r="AB92" s="181">
        <f t="shared" si="65"/>
        <v>1</v>
      </c>
      <c r="AC92" s="181">
        <f>VLOOKUP(N92,'Highway Loading'!$B$256:$D$261,2,FALSE)</f>
        <v>200</v>
      </c>
      <c r="AD92" s="181">
        <f>VLOOKUP(N92,'Highway Loading'!$B$256:$D$261,3,FALSE)</f>
        <v>5000</v>
      </c>
      <c r="AE92" s="181">
        <f>VLOOKUP(S92,'Highway Loading'!$B$340:$C$341,2,FALSE)</f>
        <v>12000</v>
      </c>
      <c r="AF92" s="181">
        <f t="shared" si="66"/>
        <v>7.8125E-3</v>
      </c>
      <c r="AG92" s="181">
        <f t="shared" si="67"/>
        <v>7.2</v>
      </c>
      <c r="AH92" s="181">
        <f t="shared" si="68"/>
        <v>1.0416666666666667</v>
      </c>
      <c r="AI92" s="181">
        <f t="shared" si="69"/>
        <v>192000</v>
      </c>
      <c r="AJ92" s="181">
        <f t="shared" si="70"/>
        <v>46800</v>
      </c>
      <c r="AK92" s="181">
        <f>IF(AC92=200,(INDEX(Tables!$B$17:$B$38,MAX(1,MIN(IFERROR(MATCH(AF92,Tables!$A$17:$A$38,1),1),ROWS(Tables!$A$17:$A$38)-1)))+(AF92-INDEX(Tables!$A$17:$A$38,MAX(1,MIN(IFERROR(MATCH(AF92,Tables!$A$17:$A$38,1),1),ROWS(Tables!$A$17:$A$38)-1))))*(INDEX(Tables!$B$17:$B$38,MAX(1,MIN(IFERROR(MATCH(AF92,Tables!$A$17:$A$38,1),1),ROWS(Tables!$A$17:$A$38)-1))+1)-INDEX(Tables!$B$17:$B$38,MAX(1,MIN(IFERROR(MATCH(AF92,Tables!$A$17:$A$38,1),1),ROWS(Tables!$A$17:$A$38)-1))))/(INDEX(Tables!$A$17:$A$38,MAX(1,MIN(IFERROR(MATCH(AF92,Tables!$A$17:$A$38,1),1),ROWS(Tables!$A$17:$A$38)-1))+1)-INDEX(Tables!$A$17:$A$38,MAX(1,MIN(IFERROR(MATCH(AF92,Tables!$A$17:$A$38,1),1),ROWS(Tables!$A$17:$A$38)-1))))),IF(AC92=500,(INDEX(Tables!$D$17:$D$38,MAX(1,MIN(IFERROR(MATCH(AF92,Tables!$C$17:$C$38,1),1),ROWS(Tables!$C$17:$C$38)-1)))+(AF92-INDEX(Tables!$C$17:$C$38,MAX(1,MIN(IFERROR(MATCH(AF92,Tables!$C$17:$C$38,1),1),ROWS(Tables!$C$17:$C$38)-1))))*(INDEX(Tables!$D$17:$D$38,MAX(1,MIN(IFERROR(MATCH(AF92,Tables!$C$17:$C$38,1),1),ROWS(Tables!$C$17:$C$38)-1))+1)-INDEX(Tables!$D$17:$D$38,MAX(1,MIN(IFERROR(MATCH(AF92,Tables!$C$17:$C$38,1),1),ROWS(Tables!$C$17:$C$38)-1))))/(INDEX(Tables!$C$17:$C$38,MAX(1,MIN(IFERROR(MATCH(AF92,Tables!$C$17:$C$38,1),1),ROWS(Tables!$C$17:$C$38)-1))+1)-INDEX(Tables!$C$17:$C$38,MAX(1,MIN(IFERROR(MATCH(AF92,Tables!$C$17:$C$38,1),1),ROWS(Tables!$C$17:$C$38)-1))))),IF(AC92=1000,(INDEX(Tables!$F$17:$F$38,MAX(1,MIN(IFERROR(MATCH(AF92,Tables!$E$17:$E$38,1),1),ROWS(Tables!$E$17:$E$38)-1)))+(AF92-INDEX(Tables!$E$17:$E$38,MAX(1,MIN(IFERROR(MATCH(AF92,Tables!$E$17:$E$38,1),1),ROWS(Tables!$E$17:$E$38)-1))))*(INDEX(Tables!$F$17:$F$38,MAX(1,MIN(IFERROR(MATCH(AF92,Tables!$E$17:$E$38,1),1),ROWS(Tables!$E$17:$E$38)-1))+1)-INDEX(Tables!$F$17:$F$38,MAX(1,MIN(IFERROR(MATCH(AF92,Tables!$E$17:$E$38,1),1),ROWS(Tables!$E$17:$E$38)-1))))/(INDEX(Tables!$E$17:$E$38,MAX(1,MIN(IFERROR(MATCH(AF92,Tables!$E$17:$E$38,1),1),ROWS(Tables!$E$17:$E$38)-1))+1)-INDEX(Tables!$E$17:$E$38,MAX(1,MIN(IFERROR(MATCH(AF92,Tables!$E$17:$E$38,1),1),ROWS(Tables!$E$17:$E$38)-1))))),(INDEX(Tables!$H$17:$H$38,MAX(1,MIN(IFERROR(MATCH(AF92,Tables!$G$17:$G$38,1),1),ROWS(Tables!$G$17:$G$38)-1)))+(AF92-INDEX(Tables!$G$17:$G$38,MAX(1,MIN(IFERROR(MATCH(AF92,Tables!$G$17:$G$38,1),1),ROWS(Tables!$G$17:$G$38)-1))))*(INDEX(Tables!$H$17:$H$38,MAX(1,MIN(IFERROR(MATCH(AF92,Tables!$G$17:$G$38,1),1),ROWS(Tables!$G$17:$G$38)-1))+1)-INDEX(Tables!$H$17:$H$38,MAX(1,MIN(IFERROR(MATCH(AF92,Tables!$G$17:$G$38,1),1),ROWS(Tables!$G$17:$G$38)-1))))/(INDEX(Tables!$G$17:$G$38,MAX(1,MIN(IFERROR(MATCH(AF92,Tables!$G$17:$G$38,1),1),ROWS(Tables!$G$17:$G$38)-1))+1)-INDEX(Tables!$G$17:$G$38,MAX(1,MIN(IFERROR(MATCH(AF92,Tables!$G$17:$G$38,1),1),ROWS(Tables!$G$17:$G$38)-1))))))))</f>
        <v>11632</v>
      </c>
      <c r="AL92" s="181">
        <f>IF(AC92&lt;1000,(INDEX(Tables!$B$43:$B$76,MAX(1,MIN(IFERROR(MATCH(AG92,Tables!$A$43:$A$76,1),1),ROWS(Tables!$A$43:$A$76)-1)))+(AG92-INDEX(Tables!$A$43:$A$76,MAX(1,MIN(IFERROR(MATCH(AG92,Tables!$A$43:$A$76,1),1),ROWS(Tables!$A$43:$A$76)-1))))*(INDEX(Tables!$B$43:$B$76,MAX(1,MIN(IFERROR(MATCH(AG92,Tables!$A$43:$A$76,1),1),ROWS(Tables!$A$43:$A$76)-1))+1)-INDEX(Tables!$B$43:$B$76,MAX(1,MIN(IFERROR(MATCH(AG92,Tables!$A$43:$A$76,1),1),ROWS(Tables!$A$43:$A$76)-1))))/(INDEX(Tables!$A$43:$A$76,MAX(1,MIN(IFERROR(MATCH(AG92,Tables!$A$43:$A$76,1),1),ROWS(Tables!$A$43:$A$76)-1))+1)-INDEX(Tables!$A$43:$A$76,MAX(1,MIN(IFERROR(MATCH(AG92,Tables!$A$43:$A$76,1),1),ROWS(Tables!$A$43:$A$76)-1))))),(INDEX(Tables!$D$43:$D$76,MAX(1,MIN(IFERROR(MATCH(AG92,Tables!$C$43:$C$76,1),1),ROWS(Tables!$C$43:$C$76)-1)))+(AG92-INDEX(Tables!$C$43:$C$76,MAX(1,MIN(IFERROR(MATCH(AG92,Tables!$C$43:$C$76,1),1),ROWS(Tables!$C$43:$C$76)-1))))*(INDEX(Tables!$D$43:$D$76,MAX(1,MIN(IFERROR(MATCH(AG92,Tables!$C$43:$C$76,1),1),ROWS(Tables!$C$43:$C$76)-1))+1)-INDEX(Tables!$D$43:$D$76,MAX(1,MIN(IFERROR(MATCH(AG92,Tables!$C$43:$C$76,1),1),ROWS(Tables!$C$43:$C$76)-1))))/(INDEX(Tables!$C$43:$C$76,MAX(1,MIN(IFERROR(MATCH(AG92,Tables!$C$43:$C$76,1),1),ROWS(Tables!$C$43:$C$76)-1))+1)-INDEX(Tables!$C$43:$C$76,MAX(1,MIN(IFERROR(MATCH(AG92,Tables!$C$43:$C$76,1),1),ROWS(Tables!$C$43:$C$76)-1))))))</f>
        <v>1.224</v>
      </c>
      <c r="AM92" s="181">
        <f>(INDEX(Tables!$B$80:$B$87,MAX(1,MIN(IFERROR(MATCH(AH92,Tables!$A$80:$A$87,1),1),ROWS(Tables!$A$80:$A$87)-1)))+(AH92-INDEX(Tables!$A$80:$A$87,MAX(1,MIN(IFERROR(MATCH(AH92,Tables!$A$80:$A$87,1),1),ROWS(Tables!$A$80:$A$87)-1))))*(INDEX(Tables!$B$80:$B$87,MAX(1,MIN(IFERROR(MATCH(AH92,Tables!$A$80:$A$87,1),1),ROWS(Tables!$A$80:$A$87)-1))+1)-INDEX(Tables!$B$80:$B$87,MAX(1,MIN(IFERROR(MATCH(AH92,Tables!$A$80:$A$87,1),1),ROWS(Tables!$A$80:$A$87)-1))))/(INDEX(Tables!$A$80:$A$87,MAX(1,MIN(IFERROR(MATCH(AH92,Tables!$A$80:$A$87,1),1),ROWS(Tables!$A$80:$A$87)-1))+1)-INDEX(Tables!$A$80:$A$87,MAX(1,MIN(IFERROR(MATCH(AH92,Tables!$A$80:$A$87,1),1),ROWS(Tables!$A$80:$A$87)-1)))))</f>
        <v>0.89595000000000002</v>
      </c>
      <c r="AN92" s="181">
        <f t="shared" si="71"/>
        <v>42520.496832000004</v>
      </c>
      <c r="AO92" s="181">
        <f>(INDEX(Tables!$B$91:$B$94,MAX(1,MIN(IFERROR(MATCH(P92,Tables!$A$91:$A$94,1),1),ROWS(Tables!$A$91:$A$94)-1)))+(P92-INDEX(Tables!$A$91:$A$94,MAX(1,MIN(IFERROR(MATCH(P92,Tables!$A$91:$A$94,1),1),ROWS(Tables!$A$91:$A$94)-1))))*(INDEX(Tables!$B$91:$B$94,MAX(1,MIN(IFERROR(MATCH(P92,Tables!$A$91:$A$94,1),1),ROWS(Tables!$A$91:$A$94)-1))+1)-INDEX(Tables!$B$91:$B$94,MAX(1,MIN(IFERROR(MATCH(P92,Tables!$A$91:$A$94,1),1),ROWS(Tables!$A$91:$A$94)-1))))/(INDEX(Tables!$A$91:$A$94,MAX(1,MIN(IFERROR(MATCH(P92,Tables!$A$91:$A$94,1),1),ROWS(Tables!$A$91:$A$94)-1))+1)-INDEX(Tables!$A$91:$A$94,MAX(1,MIN(IFERROR(MATCH(P92,Tables!$A$91:$A$94,1),1),ROWS(Tables!$A$91:$A$94)-1)))))</f>
        <v>1</v>
      </c>
      <c r="AP92" s="181">
        <f>IF(AD92=5000,(INDEX(Tables!$B$99:$B$118,MAX(1,MIN(IFERROR(MATCH(AF92,Tables!$A$99:$A$118,1),1),ROWS(Tables!$A$99:$A$118)-1)))+(AF92-INDEX(Tables!$A$99:$A$118,MAX(1,MIN(IFERROR(MATCH(AF92,Tables!$A$99:$A$118,1),1),ROWS(Tables!$A$99:$A$118)-1))))*(INDEX(Tables!$B$99:$B$118,MAX(1,MIN(IFERROR(MATCH(AF92,Tables!$A$99:$A$118,1),1),ROWS(Tables!$A$99:$A$118)-1))+1)-INDEX(Tables!$B$99:$B$118,MAX(1,MIN(IFERROR(MATCH(AF92,Tables!$A$99:$A$118,1),1),ROWS(Tables!$A$99:$A$118)-1))))/(INDEX(Tables!$A$99:$A$118,MAX(1,MIN(IFERROR(MATCH(AF92,Tables!$A$99:$A$118,1),1),ROWS(Tables!$A$99:$A$118)-1))+1)-INDEX(Tables!$A$99:$A$118,MAX(1,MIN(IFERROR(MATCH(AF92,Tables!$A$99:$A$118,1),1),ROWS(Tables!$A$99:$A$118)-1))))),IF(AD92=10000,(INDEX(Tables!$D$99:$D$118,MAX(1,MIN(IFERROR(MATCH(AF92,Tables!$C$99:$C$118,1),1),ROWS(Tables!$C$99:$C$118)-1)))+(AF92-INDEX(Tables!$C$99:$C$118,MAX(1,MIN(IFERROR(MATCH(AF92,Tables!$C$99:$C$118,1),1),ROWS(Tables!$C$99:$C$118)-1))))*(INDEX(Tables!$D$99:$D$118,MAX(1,MIN(IFERROR(MATCH(AF92,Tables!$C$99:$C$118,1),1),ROWS(Tables!$C$99:$C$118)-1))+1)-INDEX(Tables!$D$99:$D$118,MAX(1,MIN(IFERROR(MATCH(AF92,Tables!$C$99:$C$118,1),1),ROWS(Tables!$C$99:$C$118)-1))))/(INDEX(Tables!$C$99:$C$118,MAX(1,MIN(IFERROR(MATCH(AF92,Tables!$C$99:$C$118,1),1),ROWS(Tables!$C$99:$C$118)-1))+1)-INDEX(Tables!$C$99:$C$118,MAX(1,MIN(IFERROR(MATCH(AF92,Tables!$C$99:$C$118,1),1),ROWS(Tables!$C$99:$C$118)-1))))),(INDEX(Tables!$F$99:$F$118,MAX(1,MIN(IFERROR(MATCH(AF92,Tables!$E$99:$E$118,1),1),ROWS(Tables!$E$99:$E$118)-1)))+(AF92-INDEX(Tables!$E$99:$E$118,MAX(1,MIN(IFERROR(MATCH(AF92,Tables!$E$99:$E$118,1),1),ROWS(Tables!$E$99:$E$118)-1))))*(INDEX(Tables!$F$99:$F$118,MAX(1,MIN(IFERROR(MATCH(AF92,Tables!$E$99:$E$118,1),1),ROWS(Tables!$E$99:$E$118)-1))+1)-INDEX(Tables!$F$99:$F$118,MAX(1,MIN(IFERROR(MATCH(AF92,Tables!$E$99:$E$118,1),1),ROWS(Tables!$E$99:$E$118)-1))))/(INDEX(Tables!$E$99:$E$118,MAX(1,MIN(IFERROR(MATCH(AF92,Tables!$E$99:$E$118,1),1),ROWS(Tables!$E$99:$E$118)-1))+1)-INDEX(Tables!$E$99:$E$118,MAX(1,MIN(IFERROR(MATCH(AF92,Tables!$E$99:$E$118,1),1),ROWS(Tables!$E$99:$E$118)-1)))))))</f>
        <v>19.818999999999999</v>
      </c>
      <c r="AQ92" s="181">
        <f>IF(P92&lt;6,(INDEX(Tables!$B$123:$B$138,MAX(1,MIN(IFERROR(MATCH(U92,Tables!$A$123:$A$138,1),1),ROWS(Tables!$A$123:$A$138)-1)))+(U92-INDEX(Tables!$A$123:$A$138,MAX(1,MIN(IFERROR(MATCH(U92,Tables!$A$123:$A$138,1),1),ROWS(Tables!$A$123:$A$138)-1))))*(INDEX(Tables!$B$123:$B$138,MAX(1,MIN(IFERROR(MATCH(U92,Tables!$A$123:$A$138,1),1),ROWS(Tables!$A$123:$A$138)-1))+1)-INDEX(Tables!$B$123:$B$138,MAX(1,MIN(IFERROR(MATCH(U92,Tables!$A$123:$A$138,1),1),ROWS(Tables!$A$123:$A$138)-1))))/(INDEX(Tables!$A$123:$A$138,MAX(1,MIN(IFERROR(MATCH(U92,Tables!$A$123:$A$138,1),1),ROWS(Tables!$A$123:$A$138)-1))+1)-INDEX(Tables!$A$123:$A$138,MAX(1,MIN(IFERROR(MATCH(U92,Tables!$A$123:$A$138,1),1),ROWS(Tables!$A$123:$A$138)-1))))),IF(P92&lt;8,(INDEX(Tables!$D$123:$D$138,MAX(1,MIN(IFERROR(MATCH(U92,Tables!$C$123:$C$138,1),1),ROWS(Tables!$C$123:$C$138)-1)))+(U92-INDEX(Tables!$C$123:$C$138,MAX(1,MIN(IFERROR(MATCH(U92,Tables!$C$123:$C$138,1),1),ROWS(Tables!$C$123:$C$138)-1))))*(INDEX(Tables!$D$123:$D$138,MAX(1,MIN(IFERROR(MATCH(U92,Tables!$C$123:$C$138,1),1),ROWS(Tables!$C$123:$C$138)-1))+1)-INDEX(Tables!$D$123:$D$138,MAX(1,MIN(IFERROR(MATCH(U92,Tables!$C$123:$C$138,1),1),ROWS(Tables!$C$123:$C$138)-1))))/(INDEX(Tables!$C$123:$C$138,MAX(1,MIN(IFERROR(MATCH(U92,Tables!$C$123:$C$138,1),1),ROWS(Tables!$C$123:$C$138)-1))+1)-INDEX(Tables!$C$123:$C$138,MAX(1,MIN(IFERROR(MATCH(U92,Tables!$C$123:$C$138,1),1),ROWS(Tables!$C$123:$C$138)-1))))),IF(P92&lt;10,(INDEX(Tables!$F$123:$F$138,MAX(1,MIN(IFERROR(MATCH(U92,Tables!$E$123:$E$138,1),1),ROWS(Tables!$E$123:$E$138)-1)))+(U92-INDEX(Tables!$E$123:$E$138,MAX(1,MIN(IFERROR(MATCH(U92,Tables!$E$123:$E$138,1),1),ROWS(Tables!$E$123:$E$138)-1))))*(INDEX(Tables!$F$123:$F$138,MAX(1,MIN(IFERROR(MATCH(U92,Tables!$E$123:$E$138,1),1),ROWS(Tables!$E$123:$E$138)-1))+1)-INDEX(Tables!$F$123:$F$138,MAX(1,MIN(IFERROR(MATCH(U92,Tables!$E$123:$E$138,1),1),ROWS(Tables!$E$123:$E$138)-1))))/(INDEX(Tables!$E$123:$E$138,MAX(1,MIN(IFERROR(MATCH(U92,Tables!$E$123:$E$138,1),1),ROWS(Tables!$E$123:$E$138)-1))+1)-INDEX(Tables!$E$123:$E$138,MAX(1,MIN(IFERROR(MATCH(U92,Tables!$E$123:$E$138,1),1),ROWS(Tables!$E$123:$E$138)-1))))),(INDEX(Tables!$H$123:$H$138,MAX(1,MIN(IFERROR(MATCH(U92,Tables!$G$123:$G$138,1),1),ROWS(Tables!$G$123:$G$138)-1)))+(U92-INDEX(Tables!$G$123:$G$138,MAX(1,MIN(IFERROR(MATCH(U92,Tables!$G$123:$G$138,1),1),ROWS(Tables!$G$123:$G$138)-1))))*(INDEX(Tables!$H$123:$H$138,MAX(1,MIN(IFERROR(MATCH(U92,Tables!$G$123:$G$138,1),1),ROWS(Tables!$G$123:$G$138)-1))+1)-INDEX(Tables!$H$123:$H$138,MAX(1,MIN(IFERROR(MATCH(U92,Tables!$G$123:$G$138,1),1),ROWS(Tables!$G$123:$G$138)-1))))/(INDEX(Tables!$G$123:$G$138,MAX(1,MIN(IFERROR(MATCH(U92,Tables!$G$123:$G$138,1),1),ROWS(Tables!$G$123:$G$138)-1))+1)-INDEX(Tables!$G$123:$G$138,MAX(1,MIN(IFERROR(MATCH(U92,Tables!$G$123:$G$138,1),1),ROWS(Tables!$G$123:$G$138)-1))))))))</f>
        <v>0.46899999999999997</v>
      </c>
      <c r="AR92" s="181">
        <f>IF(OR(P92&gt;=4,U92&gt;12),VLOOKUP(R92&amp;" "&amp;S92,Tables!$D$143:$F$148,2,FALSE),VLOOKUP(R92&amp;" "&amp;S92,Tables!$A$143:$C$148,2,FALSE))</f>
        <v>1</v>
      </c>
      <c r="AS92" s="181">
        <f>IF(OR(P92&gt;=4,U92&gt;12),VLOOKUP(R92&amp;" "&amp;S92,Tables!$D$143:$F$148,3,FALSE),VLOOKUP(R92&amp;" "&amp;S92,Tables!$A$143:$C$148,3,FALSE))</f>
        <v>0.65</v>
      </c>
      <c r="AT92" s="181">
        <f t="shared" si="72"/>
        <v>503.48517916666657</v>
      </c>
      <c r="AU92" s="181">
        <f>IF(AD92=5000,(INDEX(Tables!$B$244:$B$263,MAX(1,MIN(IFERROR(MATCH(AF92,Tables!$A$244:$A$263,1),1),ROWS(Tables!$A$244:$A$263)-1)))+(AF92-INDEX(Tables!$A$244:$A$263,MAX(1,MIN(IFERROR(MATCH(AF92,Tables!$A$244:$A$263,1),1),ROWS(Tables!$A$244:$A$263)-1))))*(INDEX(Tables!$B$244:$B$263,MAX(1,MIN(IFERROR(MATCH(AF92,Tables!$A$244:$A$263,1),1),ROWS(Tables!$A$244:$A$263)-1))+1)-INDEX(Tables!$B$244:$B$263,MAX(1,MIN(IFERROR(MATCH(AF92,Tables!$A$244:$A$263,1),1),ROWS(Tables!$A$244:$A$263)-1))))/(INDEX(Tables!$A$244:$A$263,MAX(1,MIN(IFERROR(MATCH(AF92,Tables!$A$244:$A$263,1),1),ROWS(Tables!$A$244:$A$263)-1))+1)-INDEX(Tables!$A$244:$A$263,MAX(1,MIN(IFERROR(MATCH(AF92,Tables!$A$244:$A$263,1),1),ROWS(Tables!$A$244:$A$263)-1))))),IF(AD92=10000,(INDEX(Tables!$D$244:$D$263,MAX(1,MIN(IFERROR(MATCH(AF92,Tables!$C$244:$C$263,1),1),ROWS(Tables!$C$244:$C$263)-1)))+(AF92-INDEX(Tables!$C$244:$C$263,MAX(1,MIN(IFERROR(MATCH(AF92,Tables!$C$244:$C$263,1),1),ROWS(Tables!$C$244:$C$263)-1))))*(INDEX(Tables!$D$244:$D$263,MAX(1,MIN(IFERROR(MATCH(AF92,Tables!$C$244:$C$263,1),1),ROWS(Tables!$C$244:$C$263)-1))+1)-INDEX(Tables!$D$244:$D$263,MAX(1,MIN(IFERROR(MATCH(AF92,Tables!$C$244:$C$263,1),1),ROWS(Tables!$C$244:$C$263)-1))))/(INDEX(Tables!$C$244:$C$263,MAX(1,MIN(IFERROR(MATCH(AF92,Tables!$C$244:$C$263,1),1),ROWS(Tables!$C$244:$C$263)-1))+1)-INDEX(Tables!$C$244:$C$263,MAX(1,MIN(IFERROR(MATCH(AF92,Tables!$C$244:$C$263,1),1),ROWS(Tables!$C$244:$C$263)-1))))),(INDEX(Tables!$F$244:$F$263,MAX(1,MIN(IFERROR(MATCH(AF92,Tables!$E$244:$E$263,1),1),ROWS(Tables!$E$244:$E$263)-1)))+(AF92-INDEX(Tables!$E$244:$E$263,MAX(1,MIN(IFERROR(MATCH(AF92,Tables!$E$244:$E$263,1),1),ROWS(Tables!$E$244:$E$263)-1))))*(INDEX(Tables!$F$244:$F$263,MAX(1,MIN(IFERROR(MATCH(AF92,Tables!$E$244:$E$263,1),1),ROWS(Tables!$E$244:$E$263)-1))+1)-INDEX(Tables!$F$244:$F$263,MAX(1,MIN(IFERROR(MATCH(AF92,Tables!$E$244:$E$263,1),1),ROWS(Tables!$E$244:$E$263)-1))))/(INDEX(Tables!$E$244:$E$263,MAX(1,MIN(IFERROR(MATCH(AF92,Tables!$E$244:$E$263,1),1),ROWS(Tables!$E$244:$E$263)-1))+1)-INDEX(Tables!$E$244:$E$263,MAX(1,MIN(IFERROR(MATCH(AF92,Tables!$E$244:$E$263,1),1),ROWS(Tables!$E$244:$E$263)-1)))))))</f>
        <v>14.659000000000001</v>
      </c>
      <c r="AV92" s="181">
        <f>IF(P92&lt;6,(INDEX(Tables!$B$260:$B$274,MAX(1,MIN(IFERROR(MATCH(U92,Tables!$A$260:$A$274,1),1),ROWS(Tables!$A$260:$A$274)-1)))+(U92-INDEX(Tables!$A$260:$A$274,MAX(1,MIN(IFERROR(MATCH(U92,Tables!$A$260:$A$274,1),1),ROWS(Tables!$A$260:$A$274)-1))))*(INDEX(Tables!$B$260:$B$274,MAX(1,MIN(IFERROR(MATCH(U92,Tables!$A$260:$A$274,1),1),ROWS(Tables!$A$260:$A$274)-1))+1)-INDEX(Tables!$B$260:$B$274,MAX(1,MIN(IFERROR(MATCH(U92,Tables!$A$260:$A$274,1),1),ROWS(Tables!$A$260:$A$274)-1))))/(INDEX(Tables!$A$260:$A$274,MAX(1,MIN(IFERROR(MATCH(U92,Tables!$A$260:$A$274,1),1),ROWS(Tables!$A$260:$A$274)-1))+1)-INDEX(Tables!$A$260:$A$274,MAX(1,MIN(IFERROR(MATCH(U92,Tables!$A$260:$A$274,1),1),ROWS(Tables!$A$260:$A$274)-1))))),IF(P92&lt;8,(INDEX(Tables!$D$260:$D$274,MAX(1,MIN(IFERROR(MATCH(U92,Tables!$C$260:$C$274,1),1),ROWS(Tables!$C$260:$C$274)-1)))+(U92-INDEX(Tables!$C$260:$C$274,MAX(1,MIN(IFERROR(MATCH(U92,Tables!$C$260:$C$274,1),1),ROWS(Tables!$C$260:$C$274)-1))))*(INDEX(Tables!$D$260:$D$274,MAX(1,MIN(IFERROR(MATCH(U92,Tables!$C$260:$C$274,1),1),ROWS(Tables!$C$260:$C$274)-1))+1)-INDEX(Tables!$D$260:$D$274,MAX(1,MIN(IFERROR(MATCH(U92,Tables!$C$260:$C$274,1),1),ROWS(Tables!$C$260:$C$274)-1))))/(INDEX(Tables!$C$260:$C$274,MAX(1,MIN(IFERROR(MATCH(U92,Tables!$C$260:$C$274,1),1),ROWS(Tables!$C$260:$C$274)-1))+1)-INDEX(Tables!$C$260:$C$274,MAX(1,MIN(IFERROR(MATCH(U92,Tables!$C$260:$C$274,1),1),ROWS(Tables!$C$260:$C$274)-1))))),IF(P92&lt;10,(INDEX(Tables!$F$260:$F$274,MAX(1,MIN(IFERROR(MATCH(U92,Tables!$E$260:$E$274,1),1),ROWS(Tables!$E$260:$E$274)-1)))+(U92-INDEX(Tables!$E$260:$E$274,MAX(1,MIN(IFERROR(MATCH(U92,Tables!$E$260:$E$274,1),1),ROWS(Tables!$E$260:$E$274)-1))))*(INDEX(Tables!$F$260:$F$274,MAX(1,MIN(IFERROR(MATCH(U92,Tables!$E$260:$E$274,1),1),ROWS(Tables!$E$260:$E$274)-1))+1)-INDEX(Tables!$F$260:$F$274,MAX(1,MIN(IFERROR(MATCH(U92,Tables!$E$260:$E$274,1),1),ROWS(Tables!$E$260:$E$274)-1))))/(INDEX(Tables!$E$260:$E$274,MAX(1,MIN(IFERROR(MATCH(U92,Tables!$E$260:$E$274,1),1),ROWS(Tables!$E$260:$E$274)-1))+1)-INDEX(Tables!$E$260:$E$274,MAX(1,MIN(IFERROR(MATCH(U92,Tables!$E$260:$E$274,1),1),ROWS(Tables!$E$260:$E$274)-1))))),(INDEX(Tables!$H$260:$H$274,MAX(1,MIN(IFERROR(MATCH(U92,Tables!$G$260:$G$274,1),1),ROWS(Tables!$G$260:$G$274)-1)))+(U92-INDEX(Tables!$G$260:$G$274,MAX(1,MIN(IFERROR(MATCH(U92,Tables!$G$260:$G$274,1),1),ROWS(Tables!$G$260:$G$274)-1))))*(INDEX(Tables!$H$260:$H$274,MAX(1,MIN(IFERROR(MATCH(U92,Tables!$G$260:$G$274,1),1),ROWS(Tables!$G$260:$G$274)-1))+1)-INDEX(Tables!$H$260:$H$274,MAX(1,MIN(IFERROR(MATCH(U92,Tables!$G$260:$G$274,1),1),ROWS(Tables!$G$260:$G$274)-1))))/(INDEX(Tables!$G$260:$G$274,MAX(1,MIN(IFERROR(MATCH(U92,Tables!$G$260:$G$274,1),1),ROWS(Tables!$G$260:$G$274)-1))+1)-INDEX(Tables!$G$260:$G$274,MAX(1,MIN(IFERROR(MATCH(U92,Tables!$G$260:$G$274,1),1),ROWS(Tables!$G$260:$G$274)-1))))))))</f>
        <v>0.45700000000000002</v>
      </c>
      <c r="AW92" s="181">
        <f t="shared" si="73"/>
        <v>362.87132916666667</v>
      </c>
      <c r="AX92" s="181">
        <f t="shared" si="74"/>
        <v>190500</v>
      </c>
      <c r="AY92" s="181">
        <f t="shared" si="75"/>
        <v>233523.98201116666</v>
      </c>
      <c r="AZ92" s="181">
        <f t="shared" si="76"/>
        <v>70269.020378766669</v>
      </c>
      <c r="BA92" s="181">
        <f t="shared" si="77"/>
        <v>-3000</v>
      </c>
      <c r="BB92" s="181">
        <f t="shared" si="78"/>
        <v>209719.00952379018</v>
      </c>
      <c r="BC92" s="181">
        <f t="shared" si="79"/>
        <v>46800</v>
      </c>
      <c r="BD92" s="181">
        <f>VLOOKUP(V92&amp;" "&amp;J92,Tables!$A$152:$E$239,4,FALSE)</f>
        <v>12000</v>
      </c>
      <c r="BE92" s="181">
        <f>VLOOKUP(V92&amp;" "&amp;J92,Tables!$A$152:$E$239,5,FALSE)</f>
        <v>23000</v>
      </c>
      <c r="BF92" s="181">
        <f t="shared" si="80"/>
        <v>8640</v>
      </c>
      <c r="BG92" s="181">
        <f t="shared" si="81"/>
        <v>16560</v>
      </c>
      <c r="BH92" s="181">
        <f t="shared" si="82"/>
        <v>192000</v>
      </c>
      <c r="BI92" s="181">
        <f t="shared" si="83"/>
        <v>46800</v>
      </c>
      <c r="BJ92" s="181">
        <f t="shared" si="84"/>
        <v>209719.00952379018</v>
      </c>
      <c r="BK92" s="181">
        <f t="shared" si="85"/>
        <v>46800</v>
      </c>
      <c r="BL92" s="181">
        <f t="shared" si="86"/>
        <v>362.87132916666667</v>
      </c>
      <c r="BM92" s="181">
        <f t="shared" si="87"/>
        <v>8640</v>
      </c>
      <c r="BN92" s="181">
        <f t="shared" si="88"/>
        <v>503.48517916666657</v>
      </c>
      <c r="BO92" s="181">
        <f t="shared" si="89"/>
        <v>16560</v>
      </c>
      <c r="BP92" t="str">
        <f t="shared" si="90"/>
        <v>Fail</v>
      </c>
      <c r="BQ92" t="str">
        <f t="shared" si="91"/>
        <v>Fail</v>
      </c>
      <c r="BR92" t="str">
        <f t="shared" si="92"/>
        <v>Pass</v>
      </c>
      <c r="BS92" t="str">
        <f t="shared" si="93"/>
        <v>Pass</v>
      </c>
      <c r="BT92" t="str">
        <f t="shared" si="94"/>
        <v>Fail</v>
      </c>
      <c r="BU92" t="str">
        <f t="shared" si="95"/>
        <v>Effective Stress</v>
      </c>
    </row>
    <row r="93" spans="1:73">
      <c r="A93" t="s">
        <v>685</v>
      </c>
      <c r="B93" s="181">
        <v>91</v>
      </c>
      <c r="C93" t="s">
        <v>594</v>
      </c>
      <c r="D93" s="181">
        <v>6</v>
      </c>
      <c r="E93" s="181">
        <v>0.34399999999999997</v>
      </c>
      <c r="F93" t="s">
        <v>117</v>
      </c>
      <c r="G93" t="s">
        <v>119</v>
      </c>
      <c r="H93" t="s">
        <v>122</v>
      </c>
      <c r="I93" s="181">
        <v>1</v>
      </c>
      <c r="J93" t="s">
        <v>126</v>
      </c>
      <c r="K93" t="s">
        <v>129</v>
      </c>
      <c r="L93" s="181">
        <v>70</v>
      </c>
      <c r="M93" s="181">
        <v>3000</v>
      </c>
      <c r="N93" t="s">
        <v>388</v>
      </c>
      <c r="O93" s="181">
        <v>120</v>
      </c>
      <c r="P93" s="181">
        <v>1</v>
      </c>
      <c r="Q93" s="181">
        <v>8.625</v>
      </c>
      <c r="R93" t="s">
        <v>418</v>
      </c>
      <c r="S93" t="s">
        <v>420</v>
      </c>
      <c r="T93" s="181">
        <v>70</v>
      </c>
      <c r="U93" s="181">
        <f>HLOOKUP(D93,'Highway Loading'!$C$155:$AD$156,2,FALSE)</f>
        <v>6.625</v>
      </c>
      <c r="V93" s="181">
        <f>IF(ISBLANK(G93),"",INDEX('Highway Loading'!$C$216:$AG$216,1,MATCH(G93,'Highway Loading'!$C$215:$AG$215,0)))</f>
        <v>65000</v>
      </c>
      <c r="W93" s="181">
        <f>INDEX('Highway Loading'!$I$245:$L$253,MATCH(H93,'Highway Loading'!$H$245:$H$253,0),MATCH(I93,'Highway Loading'!$I$244:$L$244,0))</f>
        <v>0.72</v>
      </c>
      <c r="X93" s="181">
        <f t="shared" si="64"/>
        <v>1</v>
      </c>
      <c r="Y93" s="181">
        <f>VLOOKUP(K93,'Highway Loading'!$B$283:$E$292,2,FALSE)</f>
        <v>29000000</v>
      </c>
      <c r="Z93" s="181">
        <f>VLOOKUP(K93,'Highway Loading'!$B$283:$E$292,3,FALSE)</f>
        <v>0.3</v>
      </c>
      <c r="AA93" s="181">
        <f>VLOOKUP(K93,'Highway Loading'!$B$283:$E$292,4,FALSE)</f>
        <v>6.4999999999999996E-6</v>
      </c>
      <c r="AB93" s="181">
        <f t="shared" si="65"/>
        <v>1</v>
      </c>
      <c r="AC93" s="181">
        <f>VLOOKUP(N93,'Highway Loading'!$B$256:$D$261,2,FALSE)</f>
        <v>200</v>
      </c>
      <c r="AD93" s="181">
        <f>VLOOKUP(N93,'Highway Loading'!$B$256:$D$261,3,FALSE)</f>
        <v>5000</v>
      </c>
      <c r="AE93" s="181">
        <f>VLOOKUP(S93,'Highway Loading'!$B$340:$C$341,2,FALSE)</f>
        <v>12000</v>
      </c>
      <c r="AF93" s="181">
        <f t="shared" si="66"/>
        <v>5.1924528301886791E-2</v>
      </c>
      <c r="AG93" s="181">
        <f t="shared" si="67"/>
        <v>1.3913043478260869</v>
      </c>
      <c r="AH93" s="181">
        <f t="shared" si="68"/>
        <v>1.3018867924528301</v>
      </c>
      <c r="AI93" s="181">
        <f t="shared" si="69"/>
        <v>28888.08139534884</v>
      </c>
      <c r="AJ93" s="181">
        <f t="shared" si="70"/>
        <v>46800</v>
      </c>
      <c r="AK93" s="181">
        <f>IF(AC93=200,(INDEX(Tables!$B$17:$B$38,MAX(1,MIN(IFERROR(MATCH(AF93,Tables!$A$17:$A$38,1),1),ROWS(Tables!$A$17:$A$38)-1)))+(AF93-INDEX(Tables!$A$17:$A$38,MAX(1,MIN(IFERROR(MATCH(AF93,Tables!$A$17:$A$38,1),1),ROWS(Tables!$A$17:$A$38)-1))))*(INDEX(Tables!$B$17:$B$38,MAX(1,MIN(IFERROR(MATCH(AF93,Tables!$A$17:$A$38,1),1),ROWS(Tables!$A$17:$A$38)-1))+1)-INDEX(Tables!$B$17:$B$38,MAX(1,MIN(IFERROR(MATCH(AF93,Tables!$A$17:$A$38,1),1),ROWS(Tables!$A$17:$A$38)-1))))/(INDEX(Tables!$A$17:$A$38,MAX(1,MIN(IFERROR(MATCH(AF93,Tables!$A$17:$A$38,1),1),ROWS(Tables!$A$17:$A$38)-1))+1)-INDEX(Tables!$A$17:$A$38,MAX(1,MIN(IFERROR(MATCH(AF93,Tables!$A$17:$A$38,1),1),ROWS(Tables!$A$17:$A$38)-1))))),IF(AC93=500,(INDEX(Tables!$D$17:$D$38,MAX(1,MIN(IFERROR(MATCH(AF93,Tables!$C$17:$C$38,1),1),ROWS(Tables!$C$17:$C$38)-1)))+(AF93-INDEX(Tables!$C$17:$C$38,MAX(1,MIN(IFERROR(MATCH(AF93,Tables!$C$17:$C$38,1),1),ROWS(Tables!$C$17:$C$38)-1))))*(INDEX(Tables!$D$17:$D$38,MAX(1,MIN(IFERROR(MATCH(AF93,Tables!$C$17:$C$38,1),1),ROWS(Tables!$C$17:$C$38)-1))+1)-INDEX(Tables!$D$17:$D$38,MAX(1,MIN(IFERROR(MATCH(AF93,Tables!$C$17:$C$38,1),1),ROWS(Tables!$C$17:$C$38)-1))))/(INDEX(Tables!$C$17:$C$38,MAX(1,MIN(IFERROR(MATCH(AF93,Tables!$C$17:$C$38,1),1),ROWS(Tables!$C$17:$C$38)-1))+1)-INDEX(Tables!$C$17:$C$38,MAX(1,MIN(IFERROR(MATCH(AF93,Tables!$C$17:$C$38,1),1),ROWS(Tables!$C$17:$C$38)-1))))),IF(AC93=1000,(INDEX(Tables!$F$17:$F$38,MAX(1,MIN(IFERROR(MATCH(AF93,Tables!$E$17:$E$38,1),1),ROWS(Tables!$E$17:$E$38)-1)))+(AF93-INDEX(Tables!$E$17:$E$38,MAX(1,MIN(IFERROR(MATCH(AF93,Tables!$E$17:$E$38,1),1),ROWS(Tables!$E$17:$E$38)-1))))*(INDEX(Tables!$F$17:$F$38,MAX(1,MIN(IFERROR(MATCH(AF93,Tables!$E$17:$E$38,1),1),ROWS(Tables!$E$17:$E$38)-1))+1)-INDEX(Tables!$F$17:$F$38,MAX(1,MIN(IFERROR(MATCH(AF93,Tables!$E$17:$E$38,1),1),ROWS(Tables!$E$17:$E$38)-1))))/(INDEX(Tables!$E$17:$E$38,MAX(1,MIN(IFERROR(MATCH(AF93,Tables!$E$17:$E$38,1),1),ROWS(Tables!$E$17:$E$38)-1))+1)-INDEX(Tables!$E$17:$E$38,MAX(1,MIN(IFERROR(MATCH(AF93,Tables!$E$17:$E$38,1),1),ROWS(Tables!$E$17:$E$38)-1))))),(INDEX(Tables!$H$17:$H$38,MAX(1,MIN(IFERROR(MATCH(AF93,Tables!$G$17:$G$38,1),1),ROWS(Tables!$G$17:$G$38)-1)))+(AF93-INDEX(Tables!$G$17:$G$38,MAX(1,MIN(IFERROR(MATCH(AF93,Tables!$G$17:$G$38,1),1),ROWS(Tables!$G$17:$G$38)-1))))*(INDEX(Tables!$H$17:$H$38,MAX(1,MIN(IFERROR(MATCH(AF93,Tables!$G$17:$G$38,1),1),ROWS(Tables!$G$17:$G$38)-1))+1)-INDEX(Tables!$H$17:$H$38,MAX(1,MIN(IFERROR(MATCH(AF93,Tables!$G$17:$G$38,1),1),ROWS(Tables!$G$17:$G$38)-1))))/(INDEX(Tables!$G$17:$G$38,MAX(1,MIN(IFERROR(MATCH(AF93,Tables!$G$17:$G$38,1),1),ROWS(Tables!$G$17:$G$38)-1))+1)-INDEX(Tables!$G$17:$G$38,MAX(1,MIN(IFERROR(MATCH(AF93,Tables!$G$17:$G$38,1),1),ROWS(Tables!$G$17:$G$38)-1))))))))</f>
        <v>434.21132075471701</v>
      </c>
      <c r="AL93" s="181">
        <f>IF(AC93&lt;1000,(INDEX(Tables!$B$43:$B$76,MAX(1,MIN(IFERROR(MATCH(AG93,Tables!$A$43:$A$76,1),1),ROWS(Tables!$A$43:$A$76)-1)))+(AG93-INDEX(Tables!$A$43:$A$76,MAX(1,MIN(IFERROR(MATCH(AG93,Tables!$A$43:$A$76,1),1),ROWS(Tables!$A$43:$A$76)-1))))*(INDEX(Tables!$B$43:$B$76,MAX(1,MIN(IFERROR(MATCH(AG93,Tables!$A$43:$A$76,1),1),ROWS(Tables!$A$43:$A$76)-1))+1)-INDEX(Tables!$B$43:$B$76,MAX(1,MIN(IFERROR(MATCH(AG93,Tables!$A$43:$A$76,1),1),ROWS(Tables!$A$43:$A$76)-1))))/(INDEX(Tables!$A$43:$A$76,MAX(1,MIN(IFERROR(MATCH(AG93,Tables!$A$43:$A$76,1),1),ROWS(Tables!$A$43:$A$76)-1))+1)-INDEX(Tables!$A$43:$A$76,MAX(1,MIN(IFERROR(MATCH(AG93,Tables!$A$43:$A$76,1),1),ROWS(Tables!$A$43:$A$76)-1))))),(INDEX(Tables!$D$43:$D$76,MAX(1,MIN(IFERROR(MATCH(AG93,Tables!$C$43:$C$76,1),1),ROWS(Tables!$C$43:$C$76)-1)))+(AG93-INDEX(Tables!$C$43:$C$76,MAX(1,MIN(IFERROR(MATCH(AG93,Tables!$C$43:$C$76,1),1),ROWS(Tables!$C$43:$C$76)-1))))*(INDEX(Tables!$D$43:$D$76,MAX(1,MIN(IFERROR(MATCH(AG93,Tables!$C$43:$C$76,1),1),ROWS(Tables!$C$43:$C$76)-1))+1)-INDEX(Tables!$D$43:$D$76,MAX(1,MIN(IFERROR(MATCH(AG93,Tables!$C$43:$C$76,1),1),ROWS(Tables!$C$43:$C$76)-1))))/(INDEX(Tables!$C$43:$C$76,MAX(1,MIN(IFERROR(MATCH(AG93,Tables!$C$43:$C$76,1),1),ROWS(Tables!$C$43:$C$76)-1))+1)-INDEX(Tables!$C$43:$C$76,MAX(1,MIN(IFERROR(MATCH(AG93,Tables!$C$43:$C$76,1),1),ROWS(Tables!$C$43:$C$76)-1))))))</f>
        <v>0.44739130434782609</v>
      </c>
      <c r="AM93" s="181">
        <f>(INDEX(Tables!$B$80:$B$87,MAX(1,MIN(IFERROR(MATCH(AH93,Tables!$A$80:$A$87,1),1),ROWS(Tables!$A$80:$A$87)-1)))+(AH93-INDEX(Tables!$A$80:$A$87,MAX(1,MIN(IFERROR(MATCH(AH93,Tables!$A$80:$A$87,1),1),ROWS(Tables!$A$80:$A$87)-1))))*(INDEX(Tables!$B$80:$B$87,MAX(1,MIN(IFERROR(MATCH(AH93,Tables!$A$80:$A$87,1),1),ROWS(Tables!$A$80:$A$87)-1))+1)-INDEX(Tables!$B$80:$B$87,MAX(1,MIN(IFERROR(MATCH(AH93,Tables!$A$80:$A$87,1),1),ROWS(Tables!$A$80:$A$87)-1))))/(INDEX(Tables!$A$80:$A$87,MAX(1,MIN(IFERROR(MATCH(AH93,Tables!$A$80:$A$87,1),1),ROWS(Tables!$A$80:$A$87)-1))+1)-INDEX(Tables!$A$80:$A$87,MAX(1,MIN(IFERROR(MATCH(AH93,Tables!$A$80:$A$87,1),1),ROWS(Tables!$A$80:$A$87)-1)))))</f>
        <v>1.403996226415094</v>
      </c>
      <c r="AN93" s="181">
        <f t="shared" si="71"/>
        <v>125.48101181502938</v>
      </c>
      <c r="AO93" s="181">
        <f>(INDEX(Tables!$B$91:$B$94,MAX(1,MIN(IFERROR(MATCH(P93,Tables!$A$91:$A$94,1),1),ROWS(Tables!$A$91:$A$94)-1)))+(P93-INDEX(Tables!$A$91:$A$94,MAX(1,MIN(IFERROR(MATCH(P93,Tables!$A$91:$A$94,1),1),ROWS(Tables!$A$91:$A$94)-1))))*(INDEX(Tables!$B$91:$B$94,MAX(1,MIN(IFERROR(MATCH(P93,Tables!$A$91:$A$94,1),1),ROWS(Tables!$A$91:$A$94)-1))+1)-INDEX(Tables!$B$91:$B$94,MAX(1,MIN(IFERROR(MATCH(P93,Tables!$A$91:$A$94,1),1),ROWS(Tables!$A$91:$A$94)-1))))/(INDEX(Tables!$A$91:$A$94,MAX(1,MIN(IFERROR(MATCH(P93,Tables!$A$91:$A$94,1),1),ROWS(Tables!$A$91:$A$94)-1))+1)-INDEX(Tables!$A$91:$A$94,MAX(1,MIN(IFERROR(MATCH(P93,Tables!$A$91:$A$94,1),1),ROWS(Tables!$A$91:$A$94)-1)))))</f>
        <v>1.5</v>
      </c>
      <c r="AP93" s="181">
        <f>IF(AD93=5000,(INDEX(Tables!$B$99:$B$118,MAX(1,MIN(IFERROR(MATCH(AF93,Tables!$A$99:$A$118,1),1),ROWS(Tables!$A$99:$A$118)-1)))+(AF93-INDEX(Tables!$A$99:$A$118,MAX(1,MIN(IFERROR(MATCH(AF93,Tables!$A$99:$A$118,1),1),ROWS(Tables!$A$99:$A$118)-1))))*(INDEX(Tables!$B$99:$B$118,MAX(1,MIN(IFERROR(MATCH(AF93,Tables!$A$99:$A$118,1),1),ROWS(Tables!$A$99:$A$118)-1))+1)-INDEX(Tables!$B$99:$B$118,MAX(1,MIN(IFERROR(MATCH(AF93,Tables!$A$99:$A$118,1),1),ROWS(Tables!$A$99:$A$118)-1))))/(INDEX(Tables!$A$99:$A$118,MAX(1,MIN(IFERROR(MATCH(AF93,Tables!$A$99:$A$118,1),1),ROWS(Tables!$A$99:$A$118)-1))+1)-INDEX(Tables!$A$99:$A$118,MAX(1,MIN(IFERROR(MATCH(AF93,Tables!$A$99:$A$118,1),1),ROWS(Tables!$A$99:$A$118)-1))))),IF(AD93=10000,(INDEX(Tables!$D$99:$D$118,MAX(1,MIN(IFERROR(MATCH(AF93,Tables!$C$99:$C$118,1),1),ROWS(Tables!$C$99:$C$118)-1)))+(AF93-INDEX(Tables!$C$99:$C$118,MAX(1,MIN(IFERROR(MATCH(AF93,Tables!$C$99:$C$118,1),1),ROWS(Tables!$C$99:$C$118)-1))))*(INDEX(Tables!$D$99:$D$118,MAX(1,MIN(IFERROR(MATCH(AF93,Tables!$C$99:$C$118,1),1),ROWS(Tables!$C$99:$C$118)-1))+1)-INDEX(Tables!$D$99:$D$118,MAX(1,MIN(IFERROR(MATCH(AF93,Tables!$C$99:$C$118,1),1),ROWS(Tables!$C$99:$C$118)-1))))/(INDEX(Tables!$C$99:$C$118,MAX(1,MIN(IFERROR(MATCH(AF93,Tables!$C$99:$C$118,1),1),ROWS(Tables!$C$99:$C$118)-1))+1)-INDEX(Tables!$C$99:$C$118,MAX(1,MIN(IFERROR(MATCH(AF93,Tables!$C$99:$C$118,1),1),ROWS(Tables!$C$99:$C$118)-1))))),(INDEX(Tables!$F$99:$F$118,MAX(1,MIN(IFERROR(MATCH(AF93,Tables!$E$99:$E$118,1),1),ROWS(Tables!$E$99:$E$118)-1)))+(AF93-INDEX(Tables!$E$99:$E$118,MAX(1,MIN(IFERROR(MATCH(AF93,Tables!$E$99:$E$118,1),1),ROWS(Tables!$E$99:$E$118)-1))))*(INDEX(Tables!$F$99:$F$118,MAX(1,MIN(IFERROR(MATCH(AF93,Tables!$E$99:$E$118,1),1),ROWS(Tables!$E$99:$E$118)-1))+1)-INDEX(Tables!$F$99:$F$118,MAX(1,MIN(IFERROR(MATCH(AF93,Tables!$E$99:$E$118,1),1),ROWS(Tables!$E$99:$E$118)-1))))/(INDEX(Tables!$E$99:$E$118,MAX(1,MIN(IFERROR(MATCH(AF93,Tables!$E$99:$E$118,1),1),ROWS(Tables!$E$99:$E$118)-1))+1)-INDEX(Tables!$E$99:$E$118,MAX(1,MIN(IFERROR(MATCH(AF93,Tables!$E$99:$E$118,1),1),ROWS(Tables!$E$99:$E$118)-1)))))))</f>
        <v>5.6291529705286134</v>
      </c>
      <c r="AQ93" s="181">
        <f>IF(P93&lt;6,(INDEX(Tables!$B$123:$B$138,MAX(1,MIN(IFERROR(MATCH(U93,Tables!$A$123:$A$138,1),1),ROWS(Tables!$A$123:$A$138)-1)))+(U93-INDEX(Tables!$A$123:$A$138,MAX(1,MIN(IFERROR(MATCH(U93,Tables!$A$123:$A$138,1),1),ROWS(Tables!$A$123:$A$138)-1))))*(INDEX(Tables!$B$123:$B$138,MAX(1,MIN(IFERROR(MATCH(U93,Tables!$A$123:$A$138,1),1),ROWS(Tables!$A$123:$A$138)-1))+1)-INDEX(Tables!$B$123:$B$138,MAX(1,MIN(IFERROR(MATCH(U93,Tables!$A$123:$A$138,1),1),ROWS(Tables!$A$123:$A$138)-1))))/(INDEX(Tables!$A$123:$A$138,MAX(1,MIN(IFERROR(MATCH(U93,Tables!$A$123:$A$138,1),1),ROWS(Tables!$A$123:$A$138)-1))+1)-INDEX(Tables!$A$123:$A$138,MAX(1,MIN(IFERROR(MATCH(U93,Tables!$A$123:$A$138,1),1),ROWS(Tables!$A$123:$A$138)-1))))),IF(P93&lt;8,(INDEX(Tables!$D$123:$D$138,MAX(1,MIN(IFERROR(MATCH(U93,Tables!$C$123:$C$138,1),1),ROWS(Tables!$C$123:$C$138)-1)))+(U93-INDEX(Tables!$C$123:$C$138,MAX(1,MIN(IFERROR(MATCH(U93,Tables!$C$123:$C$138,1),1),ROWS(Tables!$C$123:$C$138)-1))))*(INDEX(Tables!$D$123:$D$138,MAX(1,MIN(IFERROR(MATCH(U93,Tables!$C$123:$C$138,1),1),ROWS(Tables!$C$123:$C$138)-1))+1)-INDEX(Tables!$D$123:$D$138,MAX(1,MIN(IFERROR(MATCH(U93,Tables!$C$123:$C$138,1),1),ROWS(Tables!$C$123:$C$138)-1))))/(INDEX(Tables!$C$123:$C$138,MAX(1,MIN(IFERROR(MATCH(U93,Tables!$C$123:$C$138,1),1),ROWS(Tables!$C$123:$C$138)-1))+1)-INDEX(Tables!$C$123:$C$138,MAX(1,MIN(IFERROR(MATCH(U93,Tables!$C$123:$C$138,1),1),ROWS(Tables!$C$123:$C$138)-1))))),IF(P93&lt;10,(INDEX(Tables!$F$123:$F$138,MAX(1,MIN(IFERROR(MATCH(U93,Tables!$E$123:$E$138,1),1),ROWS(Tables!$E$123:$E$138)-1)))+(U93-INDEX(Tables!$E$123:$E$138,MAX(1,MIN(IFERROR(MATCH(U93,Tables!$E$123:$E$138,1),1),ROWS(Tables!$E$123:$E$138)-1))))*(INDEX(Tables!$F$123:$F$138,MAX(1,MIN(IFERROR(MATCH(U93,Tables!$E$123:$E$138,1),1),ROWS(Tables!$E$123:$E$138)-1))+1)-INDEX(Tables!$F$123:$F$138,MAX(1,MIN(IFERROR(MATCH(U93,Tables!$E$123:$E$138,1),1),ROWS(Tables!$E$123:$E$138)-1))))/(INDEX(Tables!$E$123:$E$138,MAX(1,MIN(IFERROR(MATCH(U93,Tables!$E$123:$E$138,1),1),ROWS(Tables!$E$123:$E$138)-1))+1)-INDEX(Tables!$E$123:$E$138,MAX(1,MIN(IFERROR(MATCH(U93,Tables!$E$123:$E$138,1),1),ROWS(Tables!$E$123:$E$138)-1))))),(INDEX(Tables!$H$123:$H$138,MAX(1,MIN(IFERROR(MATCH(U93,Tables!$G$123:$G$138,1),1),ROWS(Tables!$G$123:$G$138)-1)))+(U93-INDEX(Tables!$G$123:$G$138,MAX(1,MIN(IFERROR(MATCH(U93,Tables!$G$123:$G$138,1),1),ROWS(Tables!$G$123:$G$138)-1))))*(INDEX(Tables!$H$123:$H$138,MAX(1,MIN(IFERROR(MATCH(U93,Tables!$G$123:$G$138,1),1),ROWS(Tables!$G$123:$G$138)-1))+1)-INDEX(Tables!$H$123:$H$138,MAX(1,MIN(IFERROR(MATCH(U93,Tables!$G$123:$G$138,1),1),ROWS(Tables!$G$123:$G$138)-1))))/(INDEX(Tables!$G$123:$G$138,MAX(1,MIN(IFERROR(MATCH(U93,Tables!$G$123:$G$138,1),1),ROWS(Tables!$G$123:$G$138)-1))+1)-INDEX(Tables!$G$123:$G$138,MAX(1,MIN(IFERROR(MATCH(U93,Tables!$G$123:$G$138,1),1),ROWS(Tables!$G$123:$G$138)-1))))))))</f>
        <v>1.4501250000000001</v>
      </c>
      <c r="AR93" s="181">
        <f>IF(OR(P93&gt;=4,U93&gt;12),VLOOKUP(R93&amp;" "&amp;S93,Tables!$D$143:$F$148,2,FALSE),VLOOKUP(R93&amp;" "&amp;S93,Tables!$A$143:$C$148,2,FALSE))</f>
        <v>0.9</v>
      </c>
      <c r="AS93" s="181">
        <f>IF(OR(P93&gt;=4,U93&gt;12),VLOOKUP(R93&amp;" "&amp;S93,Tables!$D$143:$F$148,3,FALSE),VLOOKUP(R93&amp;" "&amp;S93,Tables!$A$143:$C$148,3,FALSE))</f>
        <v>0.65</v>
      </c>
      <c r="AT93" s="181">
        <f t="shared" si="72"/>
        <v>596.91757988273321</v>
      </c>
      <c r="AU93" s="181">
        <f>IF(AD93=5000,(INDEX(Tables!$B$244:$B$263,MAX(1,MIN(IFERROR(MATCH(AF93,Tables!$A$244:$A$263,1),1),ROWS(Tables!$A$244:$A$263)-1)))+(AF93-INDEX(Tables!$A$244:$A$263,MAX(1,MIN(IFERROR(MATCH(AF93,Tables!$A$244:$A$263,1),1),ROWS(Tables!$A$244:$A$263)-1))))*(INDEX(Tables!$B$244:$B$263,MAX(1,MIN(IFERROR(MATCH(AF93,Tables!$A$244:$A$263,1),1),ROWS(Tables!$A$244:$A$263)-1))+1)-INDEX(Tables!$B$244:$B$263,MAX(1,MIN(IFERROR(MATCH(AF93,Tables!$A$244:$A$263,1),1),ROWS(Tables!$A$244:$A$263)-1))))/(INDEX(Tables!$A$244:$A$263,MAX(1,MIN(IFERROR(MATCH(AF93,Tables!$A$244:$A$263,1),1),ROWS(Tables!$A$244:$A$263)-1))+1)-INDEX(Tables!$A$244:$A$263,MAX(1,MIN(IFERROR(MATCH(AF93,Tables!$A$244:$A$263,1),1),ROWS(Tables!$A$244:$A$263)-1))))),IF(AD93=10000,(INDEX(Tables!$D$244:$D$263,MAX(1,MIN(IFERROR(MATCH(AF93,Tables!$C$244:$C$263,1),1),ROWS(Tables!$C$244:$C$263)-1)))+(AF93-INDEX(Tables!$C$244:$C$263,MAX(1,MIN(IFERROR(MATCH(AF93,Tables!$C$244:$C$263,1),1),ROWS(Tables!$C$244:$C$263)-1))))*(INDEX(Tables!$D$244:$D$263,MAX(1,MIN(IFERROR(MATCH(AF93,Tables!$C$244:$C$263,1),1),ROWS(Tables!$C$244:$C$263)-1))+1)-INDEX(Tables!$D$244:$D$263,MAX(1,MIN(IFERROR(MATCH(AF93,Tables!$C$244:$C$263,1),1),ROWS(Tables!$C$244:$C$263)-1))))/(INDEX(Tables!$C$244:$C$263,MAX(1,MIN(IFERROR(MATCH(AF93,Tables!$C$244:$C$263,1),1),ROWS(Tables!$C$244:$C$263)-1))+1)-INDEX(Tables!$C$244:$C$263,MAX(1,MIN(IFERROR(MATCH(AF93,Tables!$C$244:$C$263,1),1),ROWS(Tables!$C$244:$C$263)-1))))),(INDEX(Tables!$F$244:$F$263,MAX(1,MIN(IFERROR(MATCH(AF93,Tables!$E$244:$E$263,1),1),ROWS(Tables!$E$244:$E$263)-1)))+(AF93-INDEX(Tables!$E$244:$E$263,MAX(1,MIN(IFERROR(MATCH(AF93,Tables!$E$244:$E$263,1),1),ROWS(Tables!$E$244:$E$263)-1))))*(INDEX(Tables!$F$244:$F$263,MAX(1,MIN(IFERROR(MATCH(AF93,Tables!$E$244:$E$263,1),1),ROWS(Tables!$E$244:$E$263)-1))+1)-INDEX(Tables!$F$244:$F$263,MAX(1,MIN(IFERROR(MATCH(AF93,Tables!$E$244:$E$263,1),1),ROWS(Tables!$E$244:$E$263)-1))))/(INDEX(Tables!$E$244:$E$263,MAX(1,MIN(IFERROR(MATCH(AF93,Tables!$E$244:$E$263,1),1),ROWS(Tables!$E$244:$E$263)-1))+1)-INDEX(Tables!$E$244:$E$263,MAX(1,MIN(IFERROR(MATCH(AF93,Tables!$E$244:$E$263,1),1),ROWS(Tables!$E$244:$E$263)-1)))))))</f>
        <v>8.2111547169811328</v>
      </c>
      <c r="AV93" s="181">
        <f>IF(P93&lt;6,(INDEX(Tables!$B$260:$B$274,MAX(1,MIN(IFERROR(MATCH(U93,Tables!$A$260:$A$274,1),1),ROWS(Tables!$A$260:$A$274)-1)))+(U93-INDEX(Tables!$A$260:$A$274,MAX(1,MIN(IFERROR(MATCH(U93,Tables!$A$260:$A$274,1),1),ROWS(Tables!$A$260:$A$274)-1))))*(INDEX(Tables!$B$260:$B$274,MAX(1,MIN(IFERROR(MATCH(U93,Tables!$A$260:$A$274,1),1),ROWS(Tables!$A$260:$A$274)-1))+1)-INDEX(Tables!$B$260:$B$274,MAX(1,MIN(IFERROR(MATCH(U93,Tables!$A$260:$A$274,1),1),ROWS(Tables!$A$260:$A$274)-1))))/(INDEX(Tables!$A$260:$A$274,MAX(1,MIN(IFERROR(MATCH(U93,Tables!$A$260:$A$274,1),1),ROWS(Tables!$A$260:$A$274)-1))+1)-INDEX(Tables!$A$260:$A$274,MAX(1,MIN(IFERROR(MATCH(U93,Tables!$A$260:$A$274,1),1),ROWS(Tables!$A$260:$A$274)-1))))),IF(P93&lt;8,(INDEX(Tables!$D$260:$D$274,MAX(1,MIN(IFERROR(MATCH(U93,Tables!$C$260:$C$274,1),1),ROWS(Tables!$C$260:$C$274)-1)))+(U93-INDEX(Tables!$C$260:$C$274,MAX(1,MIN(IFERROR(MATCH(U93,Tables!$C$260:$C$274,1),1),ROWS(Tables!$C$260:$C$274)-1))))*(INDEX(Tables!$D$260:$D$274,MAX(1,MIN(IFERROR(MATCH(U93,Tables!$C$260:$C$274,1),1),ROWS(Tables!$C$260:$C$274)-1))+1)-INDEX(Tables!$D$260:$D$274,MAX(1,MIN(IFERROR(MATCH(U93,Tables!$C$260:$C$274,1),1),ROWS(Tables!$C$260:$C$274)-1))))/(INDEX(Tables!$C$260:$C$274,MAX(1,MIN(IFERROR(MATCH(U93,Tables!$C$260:$C$274,1),1),ROWS(Tables!$C$260:$C$274)-1))+1)-INDEX(Tables!$C$260:$C$274,MAX(1,MIN(IFERROR(MATCH(U93,Tables!$C$260:$C$274,1),1),ROWS(Tables!$C$260:$C$274)-1))))),IF(P93&lt;10,(INDEX(Tables!$F$260:$F$274,MAX(1,MIN(IFERROR(MATCH(U93,Tables!$E$260:$E$274,1),1),ROWS(Tables!$E$260:$E$274)-1)))+(U93-INDEX(Tables!$E$260:$E$274,MAX(1,MIN(IFERROR(MATCH(U93,Tables!$E$260:$E$274,1),1),ROWS(Tables!$E$260:$E$274)-1))))*(INDEX(Tables!$F$260:$F$274,MAX(1,MIN(IFERROR(MATCH(U93,Tables!$E$260:$E$274,1),1),ROWS(Tables!$E$260:$E$274)-1))+1)-INDEX(Tables!$F$260:$F$274,MAX(1,MIN(IFERROR(MATCH(U93,Tables!$E$260:$E$274,1),1),ROWS(Tables!$E$260:$E$274)-1))))/(INDEX(Tables!$E$260:$E$274,MAX(1,MIN(IFERROR(MATCH(U93,Tables!$E$260:$E$274,1),1),ROWS(Tables!$E$260:$E$274)-1))+1)-INDEX(Tables!$E$260:$E$274,MAX(1,MIN(IFERROR(MATCH(U93,Tables!$E$260:$E$274,1),1),ROWS(Tables!$E$260:$E$274)-1))))),(INDEX(Tables!$H$260:$H$274,MAX(1,MIN(IFERROR(MATCH(U93,Tables!$G$260:$G$274,1),1),ROWS(Tables!$G$260:$G$274)-1)))+(U93-INDEX(Tables!$G$260:$G$274,MAX(1,MIN(IFERROR(MATCH(U93,Tables!$G$260:$G$274,1),1),ROWS(Tables!$G$260:$G$274)-1))))*(INDEX(Tables!$H$260:$H$274,MAX(1,MIN(IFERROR(MATCH(U93,Tables!$G$260:$G$274,1),1),ROWS(Tables!$G$260:$G$274)-1))+1)-INDEX(Tables!$H$260:$H$274,MAX(1,MIN(IFERROR(MATCH(U93,Tables!$G$260:$G$274,1),1),ROWS(Tables!$G$260:$G$274)-1))))/(INDEX(Tables!$G$260:$G$274,MAX(1,MIN(IFERROR(MATCH(U93,Tables!$G$260:$G$274,1),1),ROWS(Tables!$G$260:$G$274)-1))+1)-INDEX(Tables!$G$260:$G$274,MAX(1,MIN(IFERROR(MATCH(U93,Tables!$G$260:$G$274,1),1),ROWS(Tables!$G$260:$G$274)-1))))))))</f>
        <v>1.4965000000000002</v>
      </c>
      <c r="AW93" s="181">
        <f t="shared" si="73"/>
        <v>898.55949060849082</v>
      </c>
      <c r="AX93" s="181">
        <f t="shared" si="74"/>
        <v>27388.08139534884</v>
      </c>
      <c r="AY93" s="181">
        <f t="shared" si="75"/>
        <v>28110.479987046601</v>
      </c>
      <c r="AZ93" s="181">
        <f t="shared" si="76"/>
        <v>9152.6282127576524</v>
      </c>
      <c r="BA93" s="181">
        <f t="shared" si="77"/>
        <v>-3000</v>
      </c>
      <c r="BB93" s="181">
        <f t="shared" si="78"/>
        <v>27156.476956684302</v>
      </c>
      <c r="BC93" s="181">
        <f t="shared" si="79"/>
        <v>46800</v>
      </c>
      <c r="BD93" s="181">
        <f>VLOOKUP(V93&amp;" "&amp;J93,Tables!$A$152:$E$239,4,FALSE)</f>
        <v>12000</v>
      </c>
      <c r="BE93" s="181">
        <f>VLOOKUP(V93&amp;" "&amp;J93,Tables!$A$152:$E$239,5,FALSE)</f>
        <v>23000</v>
      </c>
      <c r="BF93" s="181">
        <f t="shared" si="80"/>
        <v>8640</v>
      </c>
      <c r="BG93" s="181">
        <f t="shared" si="81"/>
        <v>16560</v>
      </c>
      <c r="BH93" s="181">
        <f t="shared" si="82"/>
        <v>28888.08139534884</v>
      </c>
      <c r="BI93" s="181">
        <f t="shared" si="83"/>
        <v>46800</v>
      </c>
      <c r="BJ93" s="181">
        <f t="shared" si="84"/>
        <v>27156.476956684302</v>
      </c>
      <c r="BK93" s="181">
        <f t="shared" si="85"/>
        <v>46800</v>
      </c>
      <c r="BL93" s="181">
        <f t="shared" si="86"/>
        <v>898.55949060849082</v>
      </c>
      <c r="BM93" s="181">
        <f t="shared" si="87"/>
        <v>8640</v>
      </c>
      <c r="BN93" s="181">
        <f t="shared" si="88"/>
        <v>596.91757988273321</v>
      </c>
      <c r="BO93" s="181">
        <f t="shared" si="89"/>
        <v>16560</v>
      </c>
      <c r="BP93" t="str">
        <f t="shared" si="90"/>
        <v>Pass</v>
      </c>
      <c r="BQ93" t="str">
        <f t="shared" si="91"/>
        <v>Pass</v>
      </c>
      <c r="BR93" t="str">
        <f t="shared" si="92"/>
        <v>Pass</v>
      </c>
      <c r="BS93" t="str">
        <f t="shared" si="93"/>
        <v>Pass</v>
      </c>
      <c r="BT93" t="str">
        <f t="shared" si="94"/>
        <v>Pass</v>
      </c>
      <c r="BU93" t="str">
        <f t="shared" si="95"/>
        <v>Barlow Stress</v>
      </c>
    </row>
    <row r="94" spans="1:73">
      <c r="A94" t="s">
        <v>686</v>
      </c>
      <c r="B94" s="181">
        <v>92</v>
      </c>
      <c r="C94" t="s">
        <v>594</v>
      </c>
      <c r="D94" s="181">
        <v>8</v>
      </c>
      <c r="E94" s="181">
        <v>0.375</v>
      </c>
      <c r="F94" t="s">
        <v>117</v>
      </c>
      <c r="G94" t="s">
        <v>119</v>
      </c>
      <c r="H94" t="s">
        <v>122</v>
      </c>
      <c r="I94" s="181">
        <v>1</v>
      </c>
      <c r="J94" t="s">
        <v>126</v>
      </c>
      <c r="K94" t="s">
        <v>129</v>
      </c>
      <c r="L94" s="181">
        <v>70</v>
      </c>
      <c r="M94" s="181">
        <v>3000</v>
      </c>
      <c r="N94" t="s">
        <v>388</v>
      </c>
      <c r="O94" s="181">
        <v>120</v>
      </c>
      <c r="P94" s="181">
        <v>3</v>
      </c>
      <c r="Q94" s="181">
        <v>10.625</v>
      </c>
      <c r="R94" t="s">
        <v>418</v>
      </c>
      <c r="S94" t="s">
        <v>420</v>
      </c>
      <c r="T94" s="181">
        <v>70</v>
      </c>
      <c r="U94" s="181">
        <f>HLOOKUP(D94,'Highway Loading'!$C$155:$AD$156,2,FALSE)</f>
        <v>8.625</v>
      </c>
      <c r="V94" s="181">
        <f>IF(ISBLANK(G94),"",INDEX('Highway Loading'!$C$216:$AG$216,1,MATCH(G94,'Highway Loading'!$C$215:$AG$215,0)))</f>
        <v>65000</v>
      </c>
      <c r="W94" s="181">
        <f>INDEX('Highway Loading'!$I$245:$L$253,MATCH(H94,'Highway Loading'!$H$245:$H$253,0),MATCH(I94,'Highway Loading'!$I$244:$L$244,0))</f>
        <v>0.72</v>
      </c>
      <c r="X94" s="181">
        <f t="shared" si="64"/>
        <v>1</v>
      </c>
      <c r="Y94" s="181">
        <f>VLOOKUP(K94,'Highway Loading'!$B$283:$E$292,2,FALSE)</f>
        <v>29000000</v>
      </c>
      <c r="Z94" s="181">
        <f>VLOOKUP(K94,'Highway Loading'!$B$283:$E$292,3,FALSE)</f>
        <v>0.3</v>
      </c>
      <c r="AA94" s="181">
        <f>VLOOKUP(K94,'Highway Loading'!$B$283:$E$292,4,FALSE)</f>
        <v>6.4999999999999996E-6</v>
      </c>
      <c r="AB94" s="181">
        <f t="shared" si="65"/>
        <v>1</v>
      </c>
      <c r="AC94" s="181">
        <f>VLOOKUP(N94,'Highway Loading'!$B$256:$D$261,2,FALSE)</f>
        <v>200</v>
      </c>
      <c r="AD94" s="181">
        <f>VLOOKUP(N94,'Highway Loading'!$B$256:$D$261,3,FALSE)</f>
        <v>5000</v>
      </c>
      <c r="AE94" s="181">
        <f>VLOOKUP(S94,'Highway Loading'!$B$340:$C$341,2,FALSE)</f>
        <v>12000</v>
      </c>
      <c r="AF94" s="181">
        <f t="shared" si="66"/>
        <v>4.3478260869565216E-2</v>
      </c>
      <c r="AG94" s="181">
        <f t="shared" si="67"/>
        <v>3.388235294117647</v>
      </c>
      <c r="AH94" s="181">
        <f t="shared" si="68"/>
        <v>1.2318840579710144</v>
      </c>
      <c r="AI94" s="181">
        <f t="shared" si="69"/>
        <v>34500</v>
      </c>
      <c r="AJ94" s="181">
        <f t="shared" si="70"/>
        <v>46800</v>
      </c>
      <c r="AK94" s="181">
        <f>IF(AC94=200,(INDEX(Tables!$B$17:$B$38,MAX(1,MIN(IFERROR(MATCH(AF94,Tables!$A$17:$A$38,1),1),ROWS(Tables!$A$17:$A$38)-1)))+(AF94-INDEX(Tables!$A$17:$A$38,MAX(1,MIN(IFERROR(MATCH(AF94,Tables!$A$17:$A$38,1),1),ROWS(Tables!$A$17:$A$38)-1))))*(INDEX(Tables!$B$17:$B$38,MAX(1,MIN(IFERROR(MATCH(AF94,Tables!$A$17:$A$38,1),1),ROWS(Tables!$A$17:$A$38)-1))+1)-INDEX(Tables!$B$17:$B$38,MAX(1,MIN(IFERROR(MATCH(AF94,Tables!$A$17:$A$38,1),1),ROWS(Tables!$A$17:$A$38)-1))))/(INDEX(Tables!$A$17:$A$38,MAX(1,MIN(IFERROR(MATCH(AF94,Tables!$A$17:$A$38,1),1),ROWS(Tables!$A$17:$A$38)-1))+1)-INDEX(Tables!$A$17:$A$38,MAX(1,MIN(IFERROR(MATCH(AF94,Tables!$A$17:$A$38,1),1),ROWS(Tables!$A$17:$A$38)-1))))),IF(AC94=500,(INDEX(Tables!$D$17:$D$38,MAX(1,MIN(IFERROR(MATCH(AF94,Tables!$C$17:$C$38,1),1),ROWS(Tables!$C$17:$C$38)-1)))+(AF94-INDEX(Tables!$C$17:$C$38,MAX(1,MIN(IFERROR(MATCH(AF94,Tables!$C$17:$C$38,1),1),ROWS(Tables!$C$17:$C$38)-1))))*(INDEX(Tables!$D$17:$D$38,MAX(1,MIN(IFERROR(MATCH(AF94,Tables!$C$17:$C$38,1),1),ROWS(Tables!$C$17:$C$38)-1))+1)-INDEX(Tables!$D$17:$D$38,MAX(1,MIN(IFERROR(MATCH(AF94,Tables!$C$17:$C$38,1),1),ROWS(Tables!$C$17:$C$38)-1))))/(INDEX(Tables!$C$17:$C$38,MAX(1,MIN(IFERROR(MATCH(AF94,Tables!$C$17:$C$38,1),1),ROWS(Tables!$C$17:$C$38)-1))+1)-INDEX(Tables!$C$17:$C$38,MAX(1,MIN(IFERROR(MATCH(AF94,Tables!$C$17:$C$38,1),1),ROWS(Tables!$C$17:$C$38)-1))))),IF(AC94=1000,(INDEX(Tables!$F$17:$F$38,MAX(1,MIN(IFERROR(MATCH(AF94,Tables!$E$17:$E$38,1),1),ROWS(Tables!$E$17:$E$38)-1)))+(AF94-INDEX(Tables!$E$17:$E$38,MAX(1,MIN(IFERROR(MATCH(AF94,Tables!$E$17:$E$38,1),1),ROWS(Tables!$E$17:$E$38)-1))))*(INDEX(Tables!$F$17:$F$38,MAX(1,MIN(IFERROR(MATCH(AF94,Tables!$E$17:$E$38,1),1),ROWS(Tables!$E$17:$E$38)-1))+1)-INDEX(Tables!$F$17:$F$38,MAX(1,MIN(IFERROR(MATCH(AF94,Tables!$E$17:$E$38,1),1),ROWS(Tables!$E$17:$E$38)-1))))/(INDEX(Tables!$E$17:$E$38,MAX(1,MIN(IFERROR(MATCH(AF94,Tables!$E$17:$E$38,1),1),ROWS(Tables!$E$17:$E$38)-1))+1)-INDEX(Tables!$E$17:$E$38,MAX(1,MIN(IFERROR(MATCH(AF94,Tables!$E$17:$E$38,1),1),ROWS(Tables!$E$17:$E$38)-1))))),(INDEX(Tables!$H$17:$H$38,MAX(1,MIN(IFERROR(MATCH(AF94,Tables!$G$17:$G$38,1),1),ROWS(Tables!$G$17:$G$38)-1)))+(AF94-INDEX(Tables!$G$17:$G$38,MAX(1,MIN(IFERROR(MATCH(AF94,Tables!$G$17:$G$38,1),1),ROWS(Tables!$G$17:$G$38)-1))))*(INDEX(Tables!$H$17:$H$38,MAX(1,MIN(IFERROR(MATCH(AF94,Tables!$G$17:$G$38,1),1),ROWS(Tables!$G$17:$G$38)-1))+1)-INDEX(Tables!$H$17:$H$38,MAX(1,MIN(IFERROR(MATCH(AF94,Tables!$G$17:$G$38,1),1),ROWS(Tables!$G$17:$G$38)-1))))/(INDEX(Tables!$G$17:$G$38,MAX(1,MIN(IFERROR(MATCH(AF94,Tables!$G$17:$G$38,1),1),ROWS(Tables!$G$17:$G$38)-1))+1)-INDEX(Tables!$G$17:$G$38,MAX(1,MIN(IFERROR(MATCH(AF94,Tables!$G$17:$G$38,1),1),ROWS(Tables!$G$17:$G$38)-1))))))))</f>
        <v>560.60869565217388</v>
      </c>
      <c r="AL94" s="181">
        <f>IF(AC94&lt;1000,(INDEX(Tables!$B$43:$B$76,MAX(1,MIN(IFERROR(MATCH(AG94,Tables!$A$43:$A$76,1),1),ROWS(Tables!$A$43:$A$76)-1)))+(AG94-INDEX(Tables!$A$43:$A$76,MAX(1,MIN(IFERROR(MATCH(AG94,Tables!$A$43:$A$76,1),1),ROWS(Tables!$A$43:$A$76)-1))))*(INDEX(Tables!$B$43:$B$76,MAX(1,MIN(IFERROR(MATCH(AG94,Tables!$A$43:$A$76,1),1),ROWS(Tables!$A$43:$A$76)-1))+1)-INDEX(Tables!$B$43:$B$76,MAX(1,MIN(IFERROR(MATCH(AG94,Tables!$A$43:$A$76,1),1),ROWS(Tables!$A$43:$A$76)-1))))/(INDEX(Tables!$A$43:$A$76,MAX(1,MIN(IFERROR(MATCH(AG94,Tables!$A$43:$A$76,1),1),ROWS(Tables!$A$43:$A$76)-1))+1)-INDEX(Tables!$A$43:$A$76,MAX(1,MIN(IFERROR(MATCH(AG94,Tables!$A$43:$A$76,1),1),ROWS(Tables!$A$43:$A$76)-1))))),(INDEX(Tables!$D$43:$D$76,MAX(1,MIN(IFERROR(MATCH(AG94,Tables!$C$43:$C$76,1),1),ROWS(Tables!$C$43:$C$76)-1)))+(AG94-INDEX(Tables!$C$43:$C$76,MAX(1,MIN(IFERROR(MATCH(AG94,Tables!$C$43:$C$76,1),1),ROWS(Tables!$C$43:$C$76)-1))))*(INDEX(Tables!$D$43:$D$76,MAX(1,MIN(IFERROR(MATCH(AG94,Tables!$C$43:$C$76,1),1),ROWS(Tables!$C$43:$C$76)-1))+1)-INDEX(Tables!$D$43:$D$76,MAX(1,MIN(IFERROR(MATCH(AG94,Tables!$C$43:$C$76,1),1),ROWS(Tables!$C$43:$C$76)-1))))/(INDEX(Tables!$C$43:$C$76,MAX(1,MIN(IFERROR(MATCH(AG94,Tables!$C$43:$C$76,1),1),ROWS(Tables!$C$43:$C$76)-1))+1)-INDEX(Tables!$C$43:$C$76,MAX(1,MIN(IFERROR(MATCH(AG94,Tables!$C$43:$C$76,1),1),ROWS(Tables!$C$43:$C$76)-1))))))</f>
        <v>0.89796470588235289</v>
      </c>
      <c r="AM94" s="181">
        <f>(INDEX(Tables!$B$80:$B$87,MAX(1,MIN(IFERROR(MATCH(AH94,Tables!$A$80:$A$87,1),1),ROWS(Tables!$A$80:$A$87)-1)))+(AH94-INDEX(Tables!$A$80:$A$87,MAX(1,MIN(IFERROR(MATCH(AH94,Tables!$A$80:$A$87,1),1),ROWS(Tables!$A$80:$A$87)-1))))*(INDEX(Tables!$B$80:$B$87,MAX(1,MIN(IFERROR(MATCH(AH94,Tables!$A$80:$A$87,1),1),ROWS(Tables!$A$80:$A$87)-1))+1)-INDEX(Tables!$B$80:$B$87,MAX(1,MIN(IFERROR(MATCH(AH94,Tables!$A$80:$A$87,1),1),ROWS(Tables!$A$80:$A$87)-1))))/(INDEX(Tables!$A$80:$A$87,MAX(1,MIN(IFERROR(MATCH(AH94,Tables!$A$80:$A$87,1),1),ROWS(Tables!$A$80:$A$87)-1))+1)-INDEX(Tables!$A$80:$A$87,MAX(1,MIN(IFERROR(MATCH(AH94,Tables!$A$80:$A$87,1),1),ROWS(Tables!$A$80:$A$87)-1)))))</f>
        <v>1.2567086956521738</v>
      </c>
      <c r="AN94" s="181">
        <f t="shared" si="71"/>
        <v>378.92244322321761</v>
      </c>
      <c r="AO94" s="181">
        <f>(INDEX(Tables!$B$91:$B$94,MAX(1,MIN(IFERROR(MATCH(P94,Tables!$A$91:$A$94,1),1),ROWS(Tables!$A$91:$A$94)-1)))+(P94-INDEX(Tables!$A$91:$A$94,MAX(1,MIN(IFERROR(MATCH(P94,Tables!$A$91:$A$94,1),1),ROWS(Tables!$A$91:$A$94)-1))))*(INDEX(Tables!$B$91:$B$94,MAX(1,MIN(IFERROR(MATCH(P94,Tables!$A$91:$A$94,1),1),ROWS(Tables!$A$91:$A$94)-1))+1)-INDEX(Tables!$B$91:$B$94,MAX(1,MIN(IFERROR(MATCH(P94,Tables!$A$91:$A$94,1),1),ROWS(Tables!$A$91:$A$94)-1))))/(INDEX(Tables!$A$91:$A$94,MAX(1,MIN(IFERROR(MATCH(P94,Tables!$A$91:$A$94,1),1),ROWS(Tables!$A$91:$A$94)-1))+1)-INDEX(Tables!$A$91:$A$94,MAX(1,MIN(IFERROR(MATCH(P94,Tables!$A$91:$A$94,1),1),ROWS(Tables!$A$91:$A$94)-1)))))</f>
        <v>1.5</v>
      </c>
      <c r="AP94" s="181">
        <f>IF(AD94=5000,(INDEX(Tables!$B$99:$B$118,MAX(1,MIN(IFERROR(MATCH(AF94,Tables!$A$99:$A$118,1),1),ROWS(Tables!$A$99:$A$118)-1)))+(AF94-INDEX(Tables!$A$99:$A$118,MAX(1,MIN(IFERROR(MATCH(AF94,Tables!$A$99:$A$118,1),1),ROWS(Tables!$A$99:$A$118)-1))))*(INDEX(Tables!$B$99:$B$118,MAX(1,MIN(IFERROR(MATCH(AF94,Tables!$A$99:$A$118,1),1),ROWS(Tables!$A$99:$A$118)-1))+1)-INDEX(Tables!$B$99:$B$118,MAX(1,MIN(IFERROR(MATCH(AF94,Tables!$A$99:$A$118,1),1),ROWS(Tables!$A$99:$A$118)-1))))/(INDEX(Tables!$A$99:$A$118,MAX(1,MIN(IFERROR(MATCH(AF94,Tables!$A$99:$A$118,1),1),ROWS(Tables!$A$99:$A$118)-1))+1)-INDEX(Tables!$A$99:$A$118,MAX(1,MIN(IFERROR(MATCH(AF94,Tables!$A$99:$A$118,1),1),ROWS(Tables!$A$99:$A$118)-1))))),IF(AD94=10000,(INDEX(Tables!$D$99:$D$118,MAX(1,MIN(IFERROR(MATCH(AF94,Tables!$C$99:$C$118,1),1),ROWS(Tables!$C$99:$C$118)-1)))+(AF94-INDEX(Tables!$C$99:$C$118,MAX(1,MIN(IFERROR(MATCH(AF94,Tables!$C$99:$C$118,1),1),ROWS(Tables!$C$99:$C$118)-1))))*(INDEX(Tables!$D$99:$D$118,MAX(1,MIN(IFERROR(MATCH(AF94,Tables!$C$99:$C$118,1),1),ROWS(Tables!$C$99:$C$118)-1))+1)-INDEX(Tables!$D$99:$D$118,MAX(1,MIN(IFERROR(MATCH(AF94,Tables!$C$99:$C$118,1),1),ROWS(Tables!$C$99:$C$118)-1))))/(INDEX(Tables!$C$99:$C$118,MAX(1,MIN(IFERROR(MATCH(AF94,Tables!$C$99:$C$118,1),1),ROWS(Tables!$C$99:$C$118)-1))+1)-INDEX(Tables!$C$99:$C$118,MAX(1,MIN(IFERROR(MATCH(AF94,Tables!$C$99:$C$118,1),1),ROWS(Tables!$C$99:$C$118)-1))))),(INDEX(Tables!$F$99:$F$118,MAX(1,MIN(IFERROR(MATCH(AF94,Tables!$E$99:$E$118,1),1),ROWS(Tables!$E$99:$E$118)-1)))+(AF94-INDEX(Tables!$E$99:$E$118,MAX(1,MIN(IFERROR(MATCH(AF94,Tables!$E$99:$E$118,1),1),ROWS(Tables!$E$99:$E$118)-1))))*(INDEX(Tables!$F$99:$F$118,MAX(1,MIN(IFERROR(MATCH(AF94,Tables!$E$99:$E$118,1),1),ROWS(Tables!$E$99:$E$118)-1))+1)-INDEX(Tables!$F$99:$F$118,MAX(1,MIN(IFERROR(MATCH(AF94,Tables!$E$99:$E$118,1),1),ROWS(Tables!$E$99:$E$118)-1))))/(INDEX(Tables!$E$99:$E$118,MAX(1,MIN(IFERROR(MATCH(AF94,Tables!$E$99:$E$118,1),1),ROWS(Tables!$E$99:$E$118)-1))+1)-INDEX(Tables!$E$99:$E$118,MAX(1,MIN(IFERROR(MATCH(AF94,Tables!$E$99:$E$118,1),1),ROWS(Tables!$E$99:$E$118)-1)))))))</f>
        <v>7.5349097621000816</v>
      </c>
      <c r="AQ94" s="181">
        <f>IF(P94&lt;6,(INDEX(Tables!$B$123:$B$138,MAX(1,MIN(IFERROR(MATCH(U94,Tables!$A$123:$A$138,1),1),ROWS(Tables!$A$123:$A$138)-1)))+(U94-INDEX(Tables!$A$123:$A$138,MAX(1,MIN(IFERROR(MATCH(U94,Tables!$A$123:$A$138,1),1),ROWS(Tables!$A$123:$A$138)-1))))*(INDEX(Tables!$B$123:$B$138,MAX(1,MIN(IFERROR(MATCH(U94,Tables!$A$123:$A$138,1),1),ROWS(Tables!$A$123:$A$138)-1))+1)-INDEX(Tables!$B$123:$B$138,MAX(1,MIN(IFERROR(MATCH(U94,Tables!$A$123:$A$138,1),1),ROWS(Tables!$A$123:$A$138)-1))))/(INDEX(Tables!$A$123:$A$138,MAX(1,MIN(IFERROR(MATCH(U94,Tables!$A$123:$A$138,1),1),ROWS(Tables!$A$123:$A$138)-1))+1)-INDEX(Tables!$A$123:$A$138,MAX(1,MIN(IFERROR(MATCH(U94,Tables!$A$123:$A$138,1),1),ROWS(Tables!$A$123:$A$138)-1))))),IF(P94&lt;8,(INDEX(Tables!$D$123:$D$138,MAX(1,MIN(IFERROR(MATCH(U94,Tables!$C$123:$C$138,1),1),ROWS(Tables!$C$123:$C$138)-1)))+(U94-INDEX(Tables!$C$123:$C$138,MAX(1,MIN(IFERROR(MATCH(U94,Tables!$C$123:$C$138,1),1),ROWS(Tables!$C$123:$C$138)-1))))*(INDEX(Tables!$D$123:$D$138,MAX(1,MIN(IFERROR(MATCH(U94,Tables!$C$123:$C$138,1),1),ROWS(Tables!$C$123:$C$138)-1))+1)-INDEX(Tables!$D$123:$D$138,MAX(1,MIN(IFERROR(MATCH(U94,Tables!$C$123:$C$138,1),1),ROWS(Tables!$C$123:$C$138)-1))))/(INDEX(Tables!$C$123:$C$138,MAX(1,MIN(IFERROR(MATCH(U94,Tables!$C$123:$C$138,1),1),ROWS(Tables!$C$123:$C$138)-1))+1)-INDEX(Tables!$C$123:$C$138,MAX(1,MIN(IFERROR(MATCH(U94,Tables!$C$123:$C$138,1),1),ROWS(Tables!$C$123:$C$138)-1))))),IF(P94&lt;10,(INDEX(Tables!$F$123:$F$138,MAX(1,MIN(IFERROR(MATCH(U94,Tables!$E$123:$E$138,1),1),ROWS(Tables!$E$123:$E$138)-1)))+(U94-INDEX(Tables!$E$123:$E$138,MAX(1,MIN(IFERROR(MATCH(U94,Tables!$E$123:$E$138,1),1),ROWS(Tables!$E$123:$E$138)-1))))*(INDEX(Tables!$F$123:$F$138,MAX(1,MIN(IFERROR(MATCH(U94,Tables!$E$123:$E$138,1),1),ROWS(Tables!$E$123:$E$138)-1))+1)-INDEX(Tables!$F$123:$F$138,MAX(1,MIN(IFERROR(MATCH(U94,Tables!$E$123:$E$138,1),1),ROWS(Tables!$E$123:$E$138)-1))))/(INDEX(Tables!$E$123:$E$138,MAX(1,MIN(IFERROR(MATCH(U94,Tables!$E$123:$E$138,1),1),ROWS(Tables!$E$123:$E$138)-1))+1)-INDEX(Tables!$E$123:$E$138,MAX(1,MIN(IFERROR(MATCH(U94,Tables!$E$123:$E$138,1),1),ROWS(Tables!$E$123:$E$138)-1))))),(INDEX(Tables!$H$123:$H$138,MAX(1,MIN(IFERROR(MATCH(U94,Tables!$G$123:$G$138,1),1),ROWS(Tables!$G$123:$G$138)-1)))+(U94-INDEX(Tables!$G$123:$G$138,MAX(1,MIN(IFERROR(MATCH(U94,Tables!$G$123:$G$138,1),1),ROWS(Tables!$G$123:$G$138)-1))))*(INDEX(Tables!$H$123:$H$138,MAX(1,MIN(IFERROR(MATCH(U94,Tables!$G$123:$G$138,1),1),ROWS(Tables!$G$123:$G$138)-1))+1)-INDEX(Tables!$H$123:$H$138,MAX(1,MIN(IFERROR(MATCH(U94,Tables!$G$123:$G$138,1),1),ROWS(Tables!$G$123:$G$138)-1))))/(INDEX(Tables!$G$123:$G$138,MAX(1,MIN(IFERROR(MATCH(U94,Tables!$G$123:$G$138,1),1),ROWS(Tables!$G$123:$G$138)-1))+1)-INDEX(Tables!$G$123:$G$138,MAX(1,MIN(IFERROR(MATCH(U94,Tables!$G$123:$G$138,1),1),ROWS(Tables!$G$123:$G$138)-1))))))))</f>
        <v>1.389875</v>
      </c>
      <c r="AR94" s="181">
        <f>IF(OR(P94&gt;=4,U94&gt;12),VLOOKUP(R94&amp;" "&amp;S94,Tables!$D$143:$F$148,2,FALSE),VLOOKUP(R94&amp;" "&amp;S94,Tables!$A$143:$C$148,2,FALSE))</f>
        <v>0.9</v>
      </c>
      <c r="AS94" s="181">
        <f>IF(OR(P94&gt;=4,U94&gt;12),VLOOKUP(R94&amp;" "&amp;S94,Tables!$D$143:$F$148,3,FALSE),VLOOKUP(R94&amp;" "&amp;S94,Tables!$A$143:$C$148,3,FALSE))</f>
        <v>0.65</v>
      </c>
      <c r="AT94" s="181">
        <f t="shared" si="72"/>
        <v>765.80761034691614</v>
      </c>
      <c r="AU94" s="181">
        <f>IF(AD94=5000,(INDEX(Tables!$B$244:$B$263,MAX(1,MIN(IFERROR(MATCH(AF94,Tables!$A$244:$A$263,1),1),ROWS(Tables!$A$244:$A$263)-1)))+(AF94-INDEX(Tables!$A$244:$A$263,MAX(1,MIN(IFERROR(MATCH(AF94,Tables!$A$244:$A$263,1),1),ROWS(Tables!$A$244:$A$263)-1))))*(INDEX(Tables!$B$244:$B$263,MAX(1,MIN(IFERROR(MATCH(AF94,Tables!$A$244:$A$263,1),1),ROWS(Tables!$A$244:$A$263)-1))+1)-INDEX(Tables!$B$244:$B$263,MAX(1,MIN(IFERROR(MATCH(AF94,Tables!$A$244:$A$263,1),1),ROWS(Tables!$A$244:$A$263)-1))))/(INDEX(Tables!$A$244:$A$263,MAX(1,MIN(IFERROR(MATCH(AF94,Tables!$A$244:$A$263,1),1),ROWS(Tables!$A$244:$A$263)-1))+1)-INDEX(Tables!$A$244:$A$263,MAX(1,MIN(IFERROR(MATCH(AF94,Tables!$A$244:$A$263,1),1),ROWS(Tables!$A$244:$A$263)-1))))),IF(AD94=10000,(INDEX(Tables!$D$244:$D$263,MAX(1,MIN(IFERROR(MATCH(AF94,Tables!$C$244:$C$263,1),1),ROWS(Tables!$C$244:$C$263)-1)))+(AF94-INDEX(Tables!$C$244:$C$263,MAX(1,MIN(IFERROR(MATCH(AF94,Tables!$C$244:$C$263,1),1),ROWS(Tables!$C$244:$C$263)-1))))*(INDEX(Tables!$D$244:$D$263,MAX(1,MIN(IFERROR(MATCH(AF94,Tables!$C$244:$C$263,1),1),ROWS(Tables!$C$244:$C$263)-1))+1)-INDEX(Tables!$D$244:$D$263,MAX(1,MIN(IFERROR(MATCH(AF94,Tables!$C$244:$C$263,1),1),ROWS(Tables!$C$244:$C$263)-1))))/(INDEX(Tables!$C$244:$C$263,MAX(1,MIN(IFERROR(MATCH(AF94,Tables!$C$244:$C$263,1),1),ROWS(Tables!$C$244:$C$263)-1))+1)-INDEX(Tables!$C$244:$C$263,MAX(1,MIN(IFERROR(MATCH(AF94,Tables!$C$244:$C$263,1),1),ROWS(Tables!$C$244:$C$263)-1))))),(INDEX(Tables!$F$244:$F$263,MAX(1,MIN(IFERROR(MATCH(AF94,Tables!$E$244:$E$263,1),1),ROWS(Tables!$E$244:$E$263)-1)))+(AF94-INDEX(Tables!$E$244:$E$263,MAX(1,MIN(IFERROR(MATCH(AF94,Tables!$E$244:$E$263,1),1),ROWS(Tables!$E$244:$E$263)-1))))*(INDEX(Tables!$F$244:$F$263,MAX(1,MIN(IFERROR(MATCH(AF94,Tables!$E$244:$E$263,1),1),ROWS(Tables!$E$244:$E$263)-1))+1)-INDEX(Tables!$F$244:$F$263,MAX(1,MIN(IFERROR(MATCH(AF94,Tables!$E$244:$E$263,1),1),ROWS(Tables!$E$244:$E$263)-1))))/(INDEX(Tables!$E$244:$E$263,MAX(1,MIN(IFERROR(MATCH(AF94,Tables!$E$244:$E$263,1),1),ROWS(Tables!$E$244:$E$263)-1))+1)-INDEX(Tables!$E$244:$E$263,MAX(1,MIN(IFERROR(MATCH(AF94,Tables!$E$244:$E$263,1),1),ROWS(Tables!$E$244:$E$263)-1)))))))</f>
        <v>9.2075652173913038</v>
      </c>
      <c r="AV94" s="181">
        <f>IF(P94&lt;6,(INDEX(Tables!$B$260:$B$274,MAX(1,MIN(IFERROR(MATCH(U94,Tables!$A$260:$A$274,1),1),ROWS(Tables!$A$260:$A$274)-1)))+(U94-INDEX(Tables!$A$260:$A$274,MAX(1,MIN(IFERROR(MATCH(U94,Tables!$A$260:$A$274,1),1),ROWS(Tables!$A$260:$A$274)-1))))*(INDEX(Tables!$B$260:$B$274,MAX(1,MIN(IFERROR(MATCH(U94,Tables!$A$260:$A$274,1),1),ROWS(Tables!$A$260:$A$274)-1))+1)-INDEX(Tables!$B$260:$B$274,MAX(1,MIN(IFERROR(MATCH(U94,Tables!$A$260:$A$274,1),1),ROWS(Tables!$A$260:$A$274)-1))))/(INDEX(Tables!$A$260:$A$274,MAX(1,MIN(IFERROR(MATCH(U94,Tables!$A$260:$A$274,1),1),ROWS(Tables!$A$260:$A$274)-1))+1)-INDEX(Tables!$A$260:$A$274,MAX(1,MIN(IFERROR(MATCH(U94,Tables!$A$260:$A$274,1),1),ROWS(Tables!$A$260:$A$274)-1))))),IF(P94&lt;8,(INDEX(Tables!$D$260:$D$274,MAX(1,MIN(IFERROR(MATCH(U94,Tables!$C$260:$C$274,1),1),ROWS(Tables!$C$260:$C$274)-1)))+(U94-INDEX(Tables!$C$260:$C$274,MAX(1,MIN(IFERROR(MATCH(U94,Tables!$C$260:$C$274,1),1),ROWS(Tables!$C$260:$C$274)-1))))*(INDEX(Tables!$D$260:$D$274,MAX(1,MIN(IFERROR(MATCH(U94,Tables!$C$260:$C$274,1),1),ROWS(Tables!$C$260:$C$274)-1))+1)-INDEX(Tables!$D$260:$D$274,MAX(1,MIN(IFERROR(MATCH(U94,Tables!$C$260:$C$274,1),1),ROWS(Tables!$C$260:$C$274)-1))))/(INDEX(Tables!$C$260:$C$274,MAX(1,MIN(IFERROR(MATCH(U94,Tables!$C$260:$C$274,1),1),ROWS(Tables!$C$260:$C$274)-1))+1)-INDEX(Tables!$C$260:$C$274,MAX(1,MIN(IFERROR(MATCH(U94,Tables!$C$260:$C$274,1),1),ROWS(Tables!$C$260:$C$274)-1))))),IF(P94&lt;10,(INDEX(Tables!$F$260:$F$274,MAX(1,MIN(IFERROR(MATCH(U94,Tables!$E$260:$E$274,1),1),ROWS(Tables!$E$260:$E$274)-1)))+(U94-INDEX(Tables!$E$260:$E$274,MAX(1,MIN(IFERROR(MATCH(U94,Tables!$E$260:$E$274,1),1),ROWS(Tables!$E$260:$E$274)-1))))*(INDEX(Tables!$F$260:$F$274,MAX(1,MIN(IFERROR(MATCH(U94,Tables!$E$260:$E$274,1),1),ROWS(Tables!$E$260:$E$274)-1))+1)-INDEX(Tables!$F$260:$F$274,MAX(1,MIN(IFERROR(MATCH(U94,Tables!$E$260:$E$274,1),1),ROWS(Tables!$E$260:$E$274)-1))))/(INDEX(Tables!$E$260:$E$274,MAX(1,MIN(IFERROR(MATCH(U94,Tables!$E$260:$E$274,1),1),ROWS(Tables!$E$260:$E$274)-1))+1)-INDEX(Tables!$E$260:$E$274,MAX(1,MIN(IFERROR(MATCH(U94,Tables!$E$260:$E$274,1),1),ROWS(Tables!$E$260:$E$274)-1))))),(INDEX(Tables!$H$260:$H$274,MAX(1,MIN(IFERROR(MATCH(U94,Tables!$G$260:$G$274,1),1),ROWS(Tables!$G$260:$G$274)-1)))+(U94-INDEX(Tables!$G$260:$G$274,MAX(1,MIN(IFERROR(MATCH(U94,Tables!$G$260:$G$274,1),1),ROWS(Tables!$G$260:$G$274)-1))))*(INDEX(Tables!$H$260:$H$274,MAX(1,MIN(IFERROR(MATCH(U94,Tables!$G$260:$G$274,1),1),ROWS(Tables!$G$260:$G$274)-1))+1)-INDEX(Tables!$H$260:$H$274,MAX(1,MIN(IFERROR(MATCH(U94,Tables!$G$260:$G$274,1),1),ROWS(Tables!$G$260:$G$274)-1))))/(INDEX(Tables!$G$260:$G$274,MAX(1,MIN(IFERROR(MATCH(U94,Tables!$G$260:$G$274,1),1),ROWS(Tables!$G$260:$G$274)-1))+1)-INDEX(Tables!$G$260:$G$274,MAX(1,MIN(IFERROR(MATCH(U94,Tables!$G$260:$G$274,1),1),ROWS(Tables!$G$260:$G$274)-1))))))))</f>
        <v>1.3123750000000001</v>
      </c>
      <c r="AW94" s="181">
        <f t="shared" si="73"/>
        <v>883.62629565896736</v>
      </c>
      <c r="AX94" s="181">
        <f t="shared" si="74"/>
        <v>33000</v>
      </c>
      <c r="AY94" s="181">
        <f t="shared" si="75"/>
        <v>34144.730053570136</v>
      </c>
      <c r="AZ94" s="181">
        <f t="shared" si="76"/>
        <v>10897.303028625931</v>
      </c>
      <c r="BA94" s="181">
        <f t="shared" si="77"/>
        <v>-3000</v>
      </c>
      <c r="BB94" s="181">
        <f t="shared" si="78"/>
        <v>32506.221446841206</v>
      </c>
      <c r="BC94" s="181">
        <f t="shared" si="79"/>
        <v>46800</v>
      </c>
      <c r="BD94" s="181">
        <f>VLOOKUP(V94&amp;" "&amp;J94,Tables!$A$152:$E$239,4,FALSE)</f>
        <v>12000</v>
      </c>
      <c r="BE94" s="181">
        <f>VLOOKUP(V94&amp;" "&amp;J94,Tables!$A$152:$E$239,5,FALSE)</f>
        <v>23000</v>
      </c>
      <c r="BF94" s="181">
        <f t="shared" si="80"/>
        <v>8640</v>
      </c>
      <c r="BG94" s="181">
        <f t="shared" si="81"/>
        <v>16560</v>
      </c>
      <c r="BH94" s="181">
        <f t="shared" si="82"/>
        <v>34500</v>
      </c>
      <c r="BI94" s="181">
        <f t="shared" si="83"/>
        <v>46800</v>
      </c>
      <c r="BJ94" s="181">
        <f t="shared" si="84"/>
        <v>32506.221446841206</v>
      </c>
      <c r="BK94" s="181">
        <f t="shared" si="85"/>
        <v>46800</v>
      </c>
      <c r="BL94" s="181">
        <f t="shared" si="86"/>
        <v>883.62629565896736</v>
      </c>
      <c r="BM94" s="181">
        <f t="shared" si="87"/>
        <v>8640</v>
      </c>
      <c r="BN94" s="181">
        <f t="shared" si="88"/>
        <v>765.80761034691614</v>
      </c>
      <c r="BO94" s="181">
        <f t="shared" si="89"/>
        <v>16560</v>
      </c>
      <c r="BP94" t="str">
        <f t="shared" si="90"/>
        <v>Pass</v>
      </c>
      <c r="BQ94" t="str">
        <f t="shared" si="91"/>
        <v>Pass</v>
      </c>
      <c r="BR94" t="str">
        <f t="shared" si="92"/>
        <v>Pass</v>
      </c>
      <c r="BS94" t="str">
        <f t="shared" si="93"/>
        <v>Pass</v>
      </c>
      <c r="BT94" t="str">
        <f t="shared" si="94"/>
        <v>Pass</v>
      </c>
      <c r="BU94" t="str">
        <f t="shared" si="95"/>
        <v>Barlow Stress</v>
      </c>
    </row>
    <row r="95" spans="1:73">
      <c r="A95" t="s">
        <v>687</v>
      </c>
      <c r="B95" s="181">
        <v>93</v>
      </c>
      <c r="C95" t="s">
        <v>594</v>
      </c>
      <c r="D95" s="181">
        <v>12</v>
      </c>
      <c r="E95" s="181">
        <v>0.40600000000000003</v>
      </c>
      <c r="F95" t="s">
        <v>117</v>
      </c>
      <c r="G95" t="s">
        <v>119</v>
      </c>
      <c r="H95" t="s">
        <v>122</v>
      </c>
      <c r="I95" s="181">
        <v>1</v>
      </c>
      <c r="J95" t="s">
        <v>126</v>
      </c>
      <c r="K95" t="s">
        <v>129</v>
      </c>
      <c r="L95" s="181">
        <v>70</v>
      </c>
      <c r="M95" s="181">
        <v>6000</v>
      </c>
      <c r="N95" t="s">
        <v>388</v>
      </c>
      <c r="O95" s="181">
        <v>120</v>
      </c>
      <c r="P95" s="181">
        <v>6</v>
      </c>
      <c r="Q95" s="181">
        <v>14.75</v>
      </c>
      <c r="R95" t="s">
        <v>418</v>
      </c>
      <c r="S95" t="s">
        <v>420</v>
      </c>
      <c r="T95" s="181">
        <v>70</v>
      </c>
      <c r="U95" s="181">
        <f>HLOOKUP(D95,'Highway Loading'!$C$155:$AD$156,2,FALSE)</f>
        <v>12.75</v>
      </c>
      <c r="V95" s="181">
        <f>IF(ISBLANK(G95),"",INDEX('Highway Loading'!$C$216:$AG$216,1,MATCH(G95,'Highway Loading'!$C$215:$AG$215,0)))</f>
        <v>65000</v>
      </c>
      <c r="W95" s="181">
        <f>INDEX('Highway Loading'!$I$245:$L$253,MATCH(H95,'Highway Loading'!$H$245:$H$253,0),MATCH(I95,'Highway Loading'!$I$244:$L$244,0))</f>
        <v>0.72</v>
      </c>
      <c r="X95" s="181">
        <f t="shared" si="64"/>
        <v>1</v>
      </c>
      <c r="Y95" s="181">
        <f>VLOOKUP(K95,'Highway Loading'!$B$283:$E$292,2,FALSE)</f>
        <v>29000000</v>
      </c>
      <c r="Z95" s="181">
        <f>VLOOKUP(K95,'Highway Loading'!$B$283:$E$292,3,FALSE)</f>
        <v>0.3</v>
      </c>
      <c r="AA95" s="181">
        <f>VLOOKUP(K95,'Highway Loading'!$B$283:$E$292,4,FALSE)</f>
        <v>6.4999999999999996E-6</v>
      </c>
      <c r="AB95" s="181">
        <f t="shared" si="65"/>
        <v>1</v>
      </c>
      <c r="AC95" s="181">
        <f>VLOOKUP(N95,'Highway Loading'!$B$256:$D$261,2,FALSE)</f>
        <v>200</v>
      </c>
      <c r="AD95" s="181">
        <f>VLOOKUP(N95,'Highway Loading'!$B$256:$D$261,3,FALSE)</f>
        <v>5000</v>
      </c>
      <c r="AE95" s="181">
        <f>VLOOKUP(S95,'Highway Loading'!$B$340:$C$341,2,FALSE)</f>
        <v>12000</v>
      </c>
      <c r="AF95" s="181">
        <f t="shared" si="66"/>
        <v>3.1843137254901961E-2</v>
      </c>
      <c r="AG95" s="181">
        <f t="shared" si="67"/>
        <v>4.8813559322033901</v>
      </c>
      <c r="AH95" s="181">
        <f t="shared" si="68"/>
        <v>1.1568627450980393</v>
      </c>
      <c r="AI95" s="181">
        <f t="shared" si="69"/>
        <v>94211.822660098522</v>
      </c>
      <c r="AJ95" s="181">
        <f t="shared" si="70"/>
        <v>46800</v>
      </c>
      <c r="AK95" s="181">
        <f>IF(AC95=200,(INDEX(Tables!$B$17:$B$38,MAX(1,MIN(IFERROR(MATCH(AF95,Tables!$A$17:$A$38,1),1),ROWS(Tables!$A$17:$A$38)-1)))+(AF95-INDEX(Tables!$A$17:$A$38,MAX(1,MIN(IFERROR(MATCH(AF95,Tables!$A$17:$A$38,1),1),ROWS(Tables!$A$17:$A$38)-1))))*(INDEX(Tables!$B$17:$B$38,MAX(1,MIN(IFERROR(MATCH(AF95,Tables!$A$17:$A$38,1),1),ROWS(Tables!$A$17:$A$38)-1))+1)-INDEX(Tables!$B$17:$B$38,MAX(1,MIN(IFERROR(MATCH(AF95,Tables!$A$17:$A$38,1),1),ROWS(Tables!$A$17:$A$38)-1))))/(INDEX(Tables!$A$17:$A$38,MAX(1,MIN(IFERROR(MATCH(AF95,Tables!$A$17:$A$38,1),1),ROWS(Tables!$A$17:$A$38)-1))+1)-INDEX(Tables!$A$17:$A$38,MAX(1,MIN(IFERROR(MATCH(AF95,Tables!$A$17:$A$38,1),1),ROWS(Tables!$A$17:$A$38)-1))))),IF(AC95=500,(INDEX(Tables!$D$17:$D$38,MAX(1,MIN(IFERROR(MATCH(AF95,Tables!$C$17:$C$38,1),1),ROWS(Tables!$C$17:$C$38)-1)))+(AF95-INDEX(Tables!$C$17:$C$38,MAX(1,MIN(IFERROR(MATCH(AF95,Tables!$C$17:$C$38,1),1),ROWS(Tables!$C$17:$C$38)-1))))*(INDEX(Tables!$D$17:$D$38,MAX(1,MIN(IFERROR(MATCH(AF95,Tables!$C$17:$C$38,1),1),ROWS(Tables!$C$17:$C$38)-1))+1)-INDEX(Tables!$D$17:$D$38,MAX(1,MIN(IFERROR(MATCH(AF95,Tables!$C$17:$C$38,1),1),ROWS(Tables!$C$17:$C$38)-1))))/(INDEX(Tables!$C$17:$C$38,MAX(1,MIN(IFERROR(MATCH(AF95,Tables!$C$17:$C$38,1),1),ROWS(Tables!$C$17:$C$38)-1))+1)-INDEX(Tables!$C$17:$C$38,MAX(1,MIN(IFERROR(MATCH(AF95,Tables!$C$17:$C$38,1),1),ROWS(Tables!$C$17:$C$38)-1))))),IF(AC95=1000,(INDEX(Tables!$F$17:$F$38,MAX(1,MIN(IFERROR(MATCH(AF95,Tables!$E$17:$E$38,1),1),ROWS(Tables!$E$17:$E$38)-1)))+(AF95-INDEX(Tables!$E$17:$E$38,MAX(1,MIN(IFERROR(MATCH(AF95,Tables!$E$17:$E$38,1),1),ROWS(Tables!$E$17:$E$38)-1))))*(INDEX(Tables!$F$17:$F$38,MAX(1,MIN(IFERROR(MATCH(AF95,Tables!$E$17:$E$38,1),1),ROWS(Tables!$E$17:$E$38)-1))+1)-INDEX(Tables!$F$17:$F$38,MAX(1,MIN(IFERROR(MATCH(AF95,Tables!$E$17:$E$38,1),1),ROWS(Tables!$E$17:$E$38)-1))))/(INDEX(Tables!$E$17:$E$38,MAX(1,MIN(IFERROR(MATCH(AF95,Tables!$E$17:$E$38,1),1),ROWS(Tables!$E$17:$E$38)-1))+1)-INDEX(Tables!$E$17:$E$38,MAX(1,MIN(IFERROR(MATCH(AF95,Tables!$E$17:$E$38,1),1),ROWS(Tables!$E$17:$E$38)-1))))),(INDEX(Tables!$H$17:$H$38,MAX(1,MIN(IFERROR(MATCH(AF95,Tables!$G$17:$G$38,1),1),ROWS(Tables!$G$17:$G$38)-1)))+(AF95-INDEX(Tables!$G$17:$G$38,MAX(1,MIN(IFERROR(MATCH(AF95,Tables!$G$17:$G$38,1),1),ROWS(Tables!$G$17:$G$38)-1))))*(INDEX(Tables!$H$17:$H$38,MAX(1,MIN(IFERROR(MATCH(AF95,Tables!$G$17:$G$38,1),1),ROWS(Tables!$G$17:$G$38)-1))+1)-INDEX(Tables!$H$17:$H$38,MAX(1,MIN(IFERROR(MATCH(AF95,Tables!$G$17:$G$38,1),1),ROWS(Tables!$G$17:$G$38)-1))))/(INDEX(Tables!$G$17:$G$38,MAX(1,MIN(IFERROR(MATCH(AF95,Tables!$G$17:$G$38,1),1),ROWS(Tables!$G$17:$G$38)-1))+1)-INDEX(Tables!$G$17:$G$38,MAX(1,MIN(IFERROR(MATCH(AF95,Tables!$G$17:$G$38,1),1),ROWS(Tables!$G$17:$G$38)-1))))))))</f>
        <v>1029.8784313725491</v>
      </c>
      <c r="AL95" s="181">
        <f>IF(AC95&lt;1000,(INDEX(Tables!$B$43:$B$76,MAX(1,MIN(IFERROR(MATCH(AG95,Tables!$A$43:$A$76,1),1),ROWS(Tables!$A$43:$A$76)-1)))+(AG95-INDEX(Tables!$A$43:$A$76,MAX(1,MIN(IFERROR(MATCH(AG95,Tables!$A$43:$A$76,1),1),ROWS(Tables!$A$43:$A$76)-1))))*(INDEX(Tables!$B$43:$B$76,MAX(1,MIN(IFERROR(MATCH(AG95,Tables!$A$43:$A$76,1),1),ROWS(Tables!$A$43:$A$76)-1))+1)-INDEX(Tables!$B$43:$B$76,MAX(1,MIN(IFERROR(MATCH(AG95,Tables!$A$43:$A$76,1),1),ROWS(Tables!$A$43:$A$76)-1))))/(INDEX(Tables!$A$43:$A$76,MAX(1,MIN(IFERROR(MATCH(AG95,Tables!$A$43:$A$76,1),1),ROWS(Tables!$A$43:$A$76)-1))+1)-INDEX(Tables!$A$43:$A$76,MAX(1,MIN(IFERROR(MATCH(AG95,Tables!$A$43:$A$76,1),1),ROWS(Tables!$A$43:$A$76)-1))))),(INDEX(Tables!$D$43:$D$76,MAX(1,MIN(IFERROR(MATCH(AG95,Tables!$C$43:$C$76,1),1),ROWS(Tables!$C$43:$C$76)-1)))+(AG95-INDEX(Tables!$C$43:$C$76,MAX(1,MIN(IFERROR(MATCH(AG95,Tables!$C$43:$C$76,1),1),ROWS(Tables!$C$43:$C$76)-1))))*(INDEX(Tables!$D$43:$D$76,MAX(1,MIN(IFERROR(MATCH(AG95,Tables!$C$43:$C$76,1),1),ROWS(Tables!$C$43:$C$76)-1))+1)-INDEX(Tables!$D$43:$D$76,MAX(1,MIN(IFERROR(MATCH(AG95,Tables!$C$43:$C$76,1),1),ROWS(Tables!$C$43:$C$76)-1))))/(INDEX(Tables!$C$43:$C$76,MAX(1,MIN(IFERROR(MATCH(AG95,Tables!$C$43:$C$76,1),1),ROWS(Tables!$C$43:$C$76)-1))+1)-INDEX(Tables!$C$43:$C$76,MAX(1,MIN(IFERROR(MATCH(AG95,Tables!$C$43:$C$76,1),1),ROWS(Tables!$C$43:$C$76)-1))))))</f>
        <v>1.0658474576271186</v>
      </c>
      <c r="AM95" s="181">
        <f>(INDEX(Tables!$B$80:$B$87,MAX(1,MIN(IFERROR(MATCH(AH95,Tables!$A$80:$A$87,1),1),ROWS(Tables!$A$80:$A$87)-1)))+(AH95-INDEX(Tables!$A$80:$A$87,MAX(1,MIN(IFERROR(MATCH(AH95,Tables!$A$80:$A$87,1),1),ROWS(Tables!$A$80:$A$87)-1))))*(INDEX(Tables!$B$80:$B$87,MAX(1,MIN(IFERROR(MATCH(AH95,Tables!$A$80:$A$87,1),1),ROWS(Tables!$A$80:$A$87)-1))+1)-INDEX(Tables!$B$80:$B$87,MAX(1,MIN(IFERROR(MATCH(AH95,Tables!$A$80:$A$87,1),1),ROWS(Tables!$A$80:$A$87)-1))))/(INDEX(Tables!$A$80:$A$87,MAX(1,MIN(IFERROR(MATCH(AH95,Tables!$A$80:$A$87,1),1),ROWS(Tables!$A$80:$A$87)-1))+1)-INDEX(Tables!$A$80:$A$87,MAX(1,MIN(IFERROR(MATCH(AH95,Tables!$A$80:$A$87,1),1),ROWS(Tables!$A$80:$A$87)-1)))))</f>
        <v>1.1041078431372553</v>
      </c>
      <c r="AN95" s="181">
        <f t="shared" si="71"/>
        <v>1073.1000227843585</v>
      </c>
      <c r="AO95" s="181">
        <f>(INDEX(Tables!$B$91:$B$94,MAX(1,MIN(IFERROR(MATCH(P95,Tables!$A$91:$A$94,1),1),ROWS(Tables!$A$91:$A$94)-1)))+(P95-INDEX(Tables!$A$91:$A$94,MAX(1,MIN(IFERROR(MATCH(P95,Tables!$A$91:$A$94,1),1),ROWS(Tables!$A$91:$A$94)-1))))*(INDEX(Tables!$B$91:$B$94,MAX(1,MIN(IFERROR(MATCH(P95,Tables!$A$91:$A$94,1),1),ROWS(Tables!$A$91:$A$94)-1))+1)-INDEX(Tables!$B$91:$B$94,MAX(1,MIN(IFERROR(MATCH(P95,Tables!$A$91:$A$94,1),1),ROWS(Tables!$A$91:$A$94)-1))))/(INDEX(Tables!$A$91:$A$94,MAX(1,MIN(IFERROR(MATCH(P95,Tables!$A$91:$A$94,1),1),ROWS(Tables!$A$91:$A$94)-1))+1)-INDEX(Tables!$A$91:$A$94,MAX(1,MIN(IFERROR(MATCH(P95,Tables!$A$91:$A$94,1),1),ROWS(Tables!$A$91:$A$94)-1)))))</f>
        <v>1.476219512195122</v>
      </c>
      <c r="AP95" s="181">
        <f>IF(AD95=5000,(INDEX(Tables!$B$99:$B$118,MAX(1,MIN(IFERROR(MATCH(AF95,Tables!$A$99:$A$118,1),1),ROWS(Tables!$A$99:$A$118)-1)))+(AF95-INDEX(Tables!$A$99:$A$118,MAX(1,MIN(IFERROR(MATCH(AF95,Tables!$A$99:$A$118,1),1),ROWS(Tables!$A$99:$A$118)-1))))*(INDEX(Tables!$B$99:$B$118,MAX(1,MIN(IFERROR(MATCH(AF95,Tables!$A$99:$A$118,1),1),ROWS(Tables!$A$99:$A$118)-1))+1)-INDEX(Tables!$B$99:$B$118,MAX(1,MIN(IFERROR(MATCH(AF95,Tables!$A$99:$A$118,1),1),ROWS(Tables!$A$99:$A$118)-1))))/(INDEX(Tables!$A$99:$A$118,MAX(1,MIN(IFERROR(MATCH(AF95,Tables!$A$99:$A$118,1),1),ROWS(Tables!$A$99:$A$118)-1))+1)-INDEX(Tables!$A$99:$A$118,MAX(1,MIN(IFERROR(MATCH(AF95,Tables!$A$99:$A$118,1),1),ROWS(Tables!$A$99:$A$118)-1))))),IF(AD95=10000,(INDEX(Tables!$D$99:$D$118,MAX(1,MIN(IFERROR(MATCH(AF95,Tables!$C$99:$C$118,1),1),ROWS(Tables!$C$99:$C$118)-1)))+(AF95-INDEX(Tables!$C$99:$C$118,MAX(1,MIN(IFERROR(MATCH(AF95,Tables!$C$99:$C$118,1),1),ROWS(Tables!$C$99:$C$118)-1))))*(INDEX(Tables!$D$99:$D$118,MAX(1,MIN(IFERROR(MATCH(AF95,Tables!$C$99:$C$118,1),1),ROWS(Tables!$C$99:$C$118)-1))+1)-INDEX(Tables!$D$99:$D$118,MAX(1,MIN(IFERROR(MATCH(AF95,Tables!$C$99:$C$118,1),1),ROWS(Tables!$C$99:$C$118)-1))))/(INDEX(Tables!$C$99:$C$118,MAX(1,MIN(IFERROR(MATCH(AF95,Tables!$C$99:$C$118,1),1),ROWS(Tables!$C$99:$C$118)-1))+1)-INDEX(Tables!$C$99:$C$118,MAX(1,MIN(IFERROR(MATCH(AF95,Tables!$C$99:$C$118,1),1),ROWS(Tables!$C$99:$C$118)-1))))),(INDEX(Tables!$F$99:$F$118,MAX(1,MIN(IFERROR(MATCH(AF95,Tables!$E$99:$E$118,1),1),ROWS(Tables!$E$99:$E$118)-1)))+(AF95-INDEX(Tables!$E$99:$E$118,MAX(1,MIN(IFERROR(MATCH(AF95,Tables!$E$99:$E$118,1),1),ROWS(Tables!$E$99:$E$118)-1))))*(INDEX(Tables!$F$99:$F$118,MAX(1,MIN(IFERROR(MATCH(AF95,Tables!$E$99:$E$118,1),1),ROWS(Tables!$E$99:$E$118)-1))+1)-INDEX(Tables!$F$99:$F$118,MAX(1,MIN(IFERROR(MATCH(AF95,Tables!$E$99:$E$118,1),1),ROWS(Tables!$E$99:$E$118)-1))))/(INDEX(Tables!$E$99:$E$118,MAX(1,MIN(IFERROR(MATCH(AF95,Tables!$E$99:$E$118,1),1),ROWS(Tables!$E$99:$E$118)-1))+1)-INDEX(Tables!$E$99:$E$118,MAX(1,MIN(IFERROR(MATCH(AF95,Tables!$E$99:$E$118,1),1),ROWS(Tables!$E$99:$E$118)-1)))))))</f>
        <v>12.445423111376529</v>
      </c>
      <c r="AQ95" s="181">
        <f>IF(P95&lt;6,(INDEX(Tables!$B$123:$B$138,MAX(1,MIN(IFERROR(MATCH(U95,Tables!$A$123:$A$138,1),1),ROWS(Tables!$A$123:$A$138)-1)))+(U95-INDEX(Tables!$A$123:$A$138,MAX(1,MIN(IFERROR(MATCH(U95,Tables!$A$123:$A$138,1),1),ROWS(Tables!$A$123:$A$138)-1))))*(INDEX(Tables!$B$123:$B$138,MAX(1,MIN(IFERROR(MATCH(U95,Tables!$A$123:$A$138,1),1),ROWS(Tables!$A$123:$A$138)-1))+1)-INDEX(Tables!$B$123:$B$138,MAX(1,MIN(IFERROR(MATCH(U95,Tables!$A$123:$A$138,1),1),ROWS(Tables!$A$123:$A$138)-1))))/(INDEX(Tables!$A$123:$A$138,MAX(1,MIN(IFERROR(MATCH(U95,Tables!$A$123:$A$138,1),1),ROWS(Tables!$A$123:$A$138)-1))+1)-INDEX(Tables!$A$123:$A$138,MAX(1,MIN(IFERROR(MATCH(U95,Tables!$A$123:$A$138,1),1),ROWS(Tables!$A$123:$A$138)-1))))),IF(P95&lt;8,(INDEX(Tables!$D$123:$D$138,MAX(1,MIN(IFERROR(MATCH(U95,Tables!$C$123:$C$138,1),1),ROWS(Tables!$C$123:$C$138)-1)))+(U95-INDEX(Tables!$C$123:$C$138,MAX(1,MIN(IFERROR(MATCH(U95,Tables!$C$123:$C$138,1),1),ROWS(Tables!$C$123:$C$138)-1))))*(INDEX(Tables!$D$123:$D$138,MAX(1,MIN(IFERROR(MATCH(U95,Tables!$C$123:$C$138,1),1),ROWS(Tables!$C$123:$C$138)-1))+1)-INDEX(Tables!$D$123:$D$138,MAX(1,MIN(IFERROR(MATCH(U95,Tables!$C$123:$C$138,1),1),ROWS(Tables!$C$123:$C$138)-1))))/(INDEX(Tables!$C$123:$C$138,MAX(1,MIN(IFERROR(MATCH(U95,Tables!$C$123:$C$138,1),1),ROWS(Tables!$C$123:$C$138)-1))+1)-INDEX(Tables!$C$123:$C$138,MAX(1,MIN(IFERROR(MATCH(U95,Tables!$C$123:$C$138,1),1),ROWS(Tables!$C$123:$C$138)-1))))),IF(P95&lt;10,(INDEX(Tables!$F$123:$F$138,MAX(1,MIN(IFERROR(MATCH(U95,Tables!$E$123:$E$138,1),1),ROWS(Tables!$E$123:$E$138)-1)))+(U95-INDEX(Tables!$E$123:$E$138,MAX(1,MIN(IFERROR(MATCH(U95,Tables!$E$123:$E$138,1),1),ROWS(Tables!$E$123:$E$138)-1))))*(INDEX(Tables!$F$123:$F$138,MAX(1,MIN(IFERROR(MATCH(U95,Tables!$E$123:$E$138,1),1),ROWS(Tables!$E$123:$E$138)-1))+1)-INDEX(Tables!$F$123:$F$138,MAX(1,MIN(IFERROR(MATCH(U95,Tables!$E$123:$E$138,1),1),ROWS(Tables!$E$123:$E$138)-1))))/(INDEX(Tables!$E$123:$E$138,MAX(1,MIN(IFERROR(MATCH(U95,Tables!$E$123:$E$138,1),1),ROWS(Tables!$E$123:$E$138)-1))+1)-INDEX(Tables!$E$123:$E$138,MAX(1,MIN(IFERROR(MATCH(U95,Tables!$E$123:$E$138,1),1),ROWS(Tables!$E$123:$E$138)-1))))),(INDEX(Tables!$H$123:$H$138,MAX(1,MIN(IFERROR(MATCH(U95,Tables!$G$123:$G$138,1),1),ROWS(Tables!$G$123:$G$138)-1)))+(U95-INDEX(Tables!$G$123:$G$138,MAX(1,MIN(IFERROR(MATCH(U95,Tables!$G$123:$G$138,1),1),ROWS(Tables!$G$123:$G$138)-1))))*(INDEX(Tables!$H$123:$H$138,MAX(1,MIN(IFERROR(MATCH(U95,Tables!$G$123:$G$138,1),1),ROWS(Tables!$G$123:$G$138)-1))+1)-INDEX(Tables!$H$123:$H$138,MAX(1,MIN(IFERROR(MATCH(U95,Tables!$G$123:$G$138,1),1),ROWS(Tables!$G$123:$G$138)-1))))/(INDEX(Tables!$G$123:$G$138,MAX(1,MIN(IFERROR(MATCH(U95,Tables!$G$123:$G$138,1),1),ROWS(Tables!$G$123:$G$138)-1))+1)-INDEX(Tables!$G$123:$G$138,MAX(1,MIN(IFERROR(MATCH(U95,Tables!$G$123:$G$138,1),1),ROWS(Tables!$G$123:$G$138)-1))))))))</f>
        <v>1.01675</v>
      </c>
      <c r="AR95" s="181">
        <f>IF(OR(P95&gt;=4,U95&gt;12),VLOOKUP(R95&amp;" "&amp;S95,Tables!$D$143:$F$148,2,FALSE),VLOOKUP(R95&amp;" "&amp;S95,Tables!$A$143:$C$148,2,FALSE))</f>
        <v>0.9</v>
      </c>
      <c r="AS95" s="181">
        <f>IF(OR(P95&gt;=4,U95&gt;12),VLOOKUP(R95&amp;" "&amp;S95,Tables!$D$143:$F$148,3,FALSE),VLOOKUP(R95&amp;" "&amp;S95,Tables!$A$143:$C$148,3,FALSE))</f>
        <v>0.65</v>
      </c>
      <c r="AT95" s="181">
        <f t="shared" si="72"/>
        <v>910.64563150356275</v>
      </c>
      <c r="AU95" s="181">
        <f>IF(AD95=5000,(INDEX(Tables!$B$244:$B$263,MAX(1,MIN(IFERROR(MATCH(AF95,Tables!$A$244:$A$263,1),1),ROWS(Tables!$A$244:$A$263)-1)))+(AF95-INDEX(Tables!$A$244:$A$263,MAX(1,MIN(IFERROR(MATCH(AF95,Tables!$A$244:$A$263,1),1),ROWS(Tables!$A$244:$A$263)-1))))*(INDEX(Tables!$B$244:$B$263,MAX(1,MIN(IFERROR(MATCH(AF95,Tables!$A$244:$A$263,1),1),ROWS(Tables!$A$244:$A$263)-1))+1)-INDEX(Tables!$B$244:$B$263,MAX(1,MIN(IFERROR(MATCH(AF95,Tables!$A$244:$A$263,1),1),ROWS(Tables!$A$244:$A$263)-1))))/(INDEX(Tables!$A$244:$A$263,MAX(1,MIN(IFERROR(MATCH(AF95,Tables!$A$244:$A$263,1),1),ROWS(Tables!$A$244:$A$263)-1))+1)-INDEX(Tables!$A$244:$A$263,MAX(1,MIN(IFERROR(MATCH(AF95,Tables!$A$244:$A$263,1),1),ROWS(Tables!$A$244:$A$263)-1))))),IF(AD95=10000,(INDEX(Tables!$D$244:$D$263,MAX(1,MIN(IFERROR(MATCH(AF95,Tables!$C$244:$C$263,1),1),ROWS(Tables!$C$244:$C$263)-1)))+(AF95-INDEX(Tables!$C$244:$C$263,MAX(1,MIN(IFERROR(MATCH(AF95,Tables!$C$244:$C$263,1),1),ROWS(Tables!$C$244:$C$263)-1))))*(INDEX(Tables!$D$244:$D$263,MAX(1,MIN(IFERROR(MATCH(AF95,Tables!$C$244:$C$263,1),1),ROWS(Tables!$C$244:$C$263)-1))+1)-INDEX(Tables!$D$244:$D$263,MAX(1,MIN(IFERROR(MATCH(AF95,Tables!$C$244:$C$263,1),1),ROWS(Tables!$C$244:$C$263)-1))))/(INDEX(Tables!$C$244:$C$263,MAX(1,MIN(IFERROR(MATCH(AF95,Tables!$C$244:$C$263,1),1),ROWS(Tables!$C$244:$C$263)-1))+1)-INDEX(Tables!$C$244:$C$263,MAX(1,MIN(IFERROR(MATCH(AF95,Tables!$C$244:$C$263,1),1),ROWS(Tables!$C$244:$C$263)-1))))),(INDEX(Tables!$F$244:$F$263,MAX(1,MIN(IFERROR(MATCH(AF95,Tables!$E$244:$E$263,1),1),ROWS(Tables!$E$244:$E$263)-1)))+(AF95-INDEX(Tables!$E$244:$E$263,MAX(1,MIN(IFERROR(MATCH(AF95,Tables!$E$244:$E$263,1),1),ROWS(Tables!$E$244:$E$263)-1))))*(INDEX(Tables!$F$244:$F$263,MAX(1,MIN(IFERROR(MATCH(AF95,Tables!$E$244:$E$263,1),1),ROWS(Tables!$E$244:$E$263)-1))+1)-INDEX(Tables!$F$244:$F$263,MAX(1,MIN(IFERROR(MATCH(AF95,Tables!$E$244:$E$263,1),1),ROWS(Tables!$E$244:$E$263)-1))))/(INDEX(Tables!$E$244:$E$263,MAX(1,MIN(IFERROR(MATCH(AF95,Tables!$E$244:$E$263,1),1),ROWS(Tables!$E$244:$E$263)-1))+1)-INDEX(Tables!$E$244:$E$263,MAX(1,MIN(IFERROR(MATCH(AF95,Tables!$E$244:$E$263,1),1),ROWS(Tables!$E$244:$E$263)-1)))))))</f>
        <v>11.380729411764705</v>
      </c>
      <c r="AV95" s="181">
        <f>IF(P95&lt;6,(INDEX(Tables!$B$260:$B$274,MAX(1,MIN(IFERROR(MATCH(U95,Tables!$A$260:$A$274,1),1),ROWS(Tables!$A$260:$A$274)-1)))+(U95-INDEX(Tables!$A$260:$A$274,MAX(1,MIN(IFERROR(MATCH(U95,Tables!$A$260:$A$274,1),1),ROWS(Tables!$A$260:$A$274)-1))))*(INDEX(Tables!$B$260:$B$274,MAX(1,MIN(IFERROR(MATCH(U95,Tables!$A$260:$A$274,1),1),ROWS(Tables!$A$260:$A$274)-1))+1)-INDEX(Tables!$B$260:$B$274,MAX(1,MIN(IFERROR(MATCH(U95,Tables!$A$260:$A$274,1),1),ROWS(Tables!$A$260:$A$274)-1))))/(INDEX(Tables!$A$260:$A$274,MAX(1,MIN(IFERROR(MATCH(U95,Tables!$A$260:$A$274,1),1),ROWS(Tables!$A$260:$A$274)-1))+1)-INDEX(Tables!$A$260:$A$274,MAX(1,MIN(IFERROR(MATCH(U95,Tables!$A$260:$A$274,1),1),ROWS(Tables!$A$260:$A$274)-1))))),IF(P95&lt;8,(INDEX(Tables!$D$260:$D$274,MAX(1,MIN(IFERROR(MATCH(U95,Tables!$C$260:$C$274,1),1),ROWS(Tables!$C$260:$C$274)-1)))+(U95-INDEX(Tables!$C$260:$C$274,MAX(1,MIN(IFERROR(MATCH(U95,Tables!$C$260:$C$274,1),1),ROWS(Tables!$C$260:$C$274)-1))))*(INDEX(Tables!$D$260:$D$274,MAX(1,MIN(IFERROR(MATCH(U95,Tables!$C$260:$C$274,1),1),ROWS(Tables!$C$260:$C$274)-1))+1)-INDEX(Tables!$D$260:$D$274,MAX(1,MIN(IFERROR(MATCH(U95,Tables!$C$260:$C$274,1),1),ROWS(Tables!$C$260:$C$274)-1))))/(INDEX(Tables!$C$260:$C$274,MAX(1,MIN(IFERROR(MATCH(U95,Tables!$C$260:$C$274,1),1),ROWS(Tables!$C$260:$C$274)-1))+1)-INDEX(Tables!$C$260:$C$274,MAX(1,MIN(IFERROR(MATCH(U95,Tables!$C$260:$C$274,1),1),ROWS(Tables!$C$260:$C$274)-1))))),IF(P95&lt;10,(INDEX(Tables!$F$260:$F$274,MAX(1,MIN(IFERROR(MATCH(U95,Tables!$E$260:$E$274,1),1),ROWS(Tables!$E$260:$E$274)-1)))+(U95-INDEX(Tables!$E$260:$E$274,MAX(1,MIN(IFERROR(MATCH(U95,Tables!$E$260:$E$274,1),1),ROWS(Tables!$E$260:$E$274)-1))))*(INDEX(Tables!$F$260:$F$274,MAX(1,MIN(IFERROR(MATCH(U95,Tables!$E$260:$E$274,1),1),ROWS(Tables!$E$260:$E$274)-1))+1)-INDEX(Tables!$F$260:$F$274,MAX(1,MIN(IFERROR(MATCH(U95,Tables!$E$260:$E$274,1),1),ROWS(Tables!$E$260:$E$274)-1))))/(INDEX(Tables!$E$260:$E$274,MAX(1,MIN(IFERROR(MATCH(U95,Tables!$E$260:$E$274,1),1),ROWS(Tables!$E$260:$E$274)-1))+1)-INDEX(Tables!$E$260:$E$274,MAX(1,MIN(IFERROR(MATCH(U95,Tables!$E$260:$E$274,1),1),ROWS(Tables!$E$260:$E$274)-1))))),(INDEX(Tables!$H$260:$H$274,MAX(1,MIN(IFERROR(MATCH(U95,Tables!$G$260:$G$274,1),1),ROWS(Tables!$G$260:$G$274)-1)))+(U95-INDEX(Tables!$G$260:$G$274,MAX(1,MIN(IFERROR(MATCH(U95,Tables!$G$260:$G$274,1),1),ROWS(Tables!$G$260:$G$274)-1))))*(INDEX(Tables!$H$260:$H$274,MAX(1,MIN(IFERROR(MATCH(U95,Tables!$G$260:$G$274,1),1),ROWS(Tables!$G$260:$G$274)-1))+1)-INDEX(Tables!$H$260:$H$274,MAX(1,MIN(IFERROR(MATCH(U95,Tables!$G$260:$G$274,1),1),ROWS(Tables!$G$260:$G$274)-1))))/(INDEX(Tables!$G$260:$G$274,MAX(1,MIN(IFERROR(MATCH(U95,Tables!$G$260:$G$274,1),1),ROWS(Tables!$G$260:$G$274)-1))+1)-INDEX(Tables!$G$260:$G$274,MAX(1,MIN(IFERROR(MATCH(U95,Tables!$G$260:$G$274,1),1),ROWS(Tables!$G$260:$G$274)-1))))))))</f>
        <v>1.0024999999999999</v>
      </c>
      <c r="AW95" s="181">
        <f t="shared" si="73"/>
        <v>821.06972793844136</v>
      </c>
      <c r="AX95" s="181">
        <f t="shared" si="74"/>
        <v>91211.822660098522</v>
      </c>
      <c r="AY95" s="181">
        <f t="shared" si="75"/>
        <v>93195.568314386444</v>
      </c>
      <c r="AZ95" s="181">
        <f t="shared" si="76"/>
        <v>28506.546532803306</v>
      </c>
      <c r="BA95" s="181">
        <f t="shared" si="77"/>
        <v>-6000</v>
      </c>
      <c r="BB95" s="181">
        <f t="shared" si="78"/>
        <v>87221.362251150276</v>
      </c>
      <c r="BC95" s="181">
        <f t="shared" si="79"/>
        <v>46800</v>
      </c>
      <c r="BD95" s="181">
        <f>VLOOKUP(V95&amp;" "&amp;J95,Tables!$A$152:$E$239,4,FALSE)</f>
        <v>12000</v>
      </c>
      <c r="BE95" s="181">
        <f>VLOOKUP(V95&amp;" "&amp;J95,Tables!$A$152:$E$239,5,FALSE)</f>
        <v>23000</v>
      </c>
      <c r="BF95" s="181">
        <f t="shared" si="80"/>
        <v>8640</v>
      </c>
      <c r="BG95" s="181">
        <f t="shared" si="81"/>
        <v>16560</v>
      </c>
      <c r="BH95" s="181">
        <f t="shared" si="82"/>
        <v>94211.822660098522</v>
      </c>
      <c r="BI95" s="181">
        <f t="shared" si="83"/>
        <v>46800</v>
      </c>
      <c r="BJ95" s="181">
        <f t="shared" si="84"/>
        <v>87221.362251150276</v>
      </c>
      <c r="BK95" s="181">
        <f t="shared" si="85"/>
        <v>46800</v>
      </c>
      <c r="BL95" s="181">
        <f t="shared" si="86"/>
        <v>821.06972793844136</v>
      </c>
      <c r="BM95" s="181">
        <f t="shared" si="87"/>
        <v>8640</v>
      </c>
      <c r="BN95" s="181">
        <f t="shared" si="88"/>
        <v>910.64563150356275</v>
      </c>
      <c r="BO95" s="181">
        <f t="shared" si="89"/>
        <v>16560</v>
      </c>
      <c r="BP95" t="str">
        <f t="shared" si="90"/>
        <v>Fail</v>
      </c>
      <c r="BQ95" t="str">
        <f t="shared" si="91"/>
        <v>Fail</v>
      </c>
      <c r="BR95" t="str">
        <f t="shared" si="92"/>
        <v>Pass</v>
      </c>
      <c r="BS95" t="str">
        <f t="shared" si="93"/>
        <v>Pass</v>
      </c>
      <c r="BT95" t="str">
        <f t="shared" si="94"/>
        <v>Fail</v>
      </c>
      <c r="BU95" t="str">
        <f t="shared" si="95"/>
        <v>Barlow Stress</v>
      </c>
    </row>
    <row r="96" spans="1:73">
      <c r="A96" t="s">
        <v>688</v>
      </c>
      <c r="B96" s="181">
        <v>94</v>
      </c>
      <c r="C96" t="s">
        <v>594</v>
      </c>
      <c r="D96" s="181">
        <v>16</v>
      </c>
      <c r="E96" s="181">
        <v>0.81200000000000006</v>
      </c>
      <c r="F96" t="s">
        <v>117</v>
      </c>
      <c r="G96" t="s">
        <v>119</v>
      </c>
      <c r="H96" t="s">
        <v>122</v>
      </c>
      <c r="I96" s="181">
        <v>1</v>
      </c>
      <c r="J96" t="s">
        <v>126</v>
      </c>
      <c r="K96" t="s">
        <v>129</v>
      </c>
      <c r="L96" s="181">
        <v>70</v>
      </c>
      <c r="M96" s="181">
        <v>6000</v>
      </c>
      <c r="N96" t="s">
        <v>388</v>
      </c>
      <c r="O96" s="181">
        <v>120</v>
      </c>
      <c r="P96" s="181">
        <v>8</v>
      </c>
      <c r="Q96" s="181">
        <v>18</v>
      </c>
      <c r="R96" t="s">
        <v>418</v>
      </c>
      <c r="S96" t="s">
        <v>420</v>
      </c>
      <c r="T96" s="181">
        <v>70</v>
      </c>
      <c r="U96" s="181">
        <f>HLOOKUP(D96,'Highway Loading'!$C$155:$AD$156,2,FALSE)</f>
        <v>16</v>
      </c>
      <c r="V96" s="181">
        <f>IF(ISBLANK(G96),"",INDEX('Highway Loading'!$C$216:$AG$216,1,MATCH(G96,'Highway Loading'!$C$215:$AG$215,0)))</f>
        <v>65000</v>
      </c>
      <c r="W96" s="181">
        <f>INDEX('Highway Loading'!$I$245:$L$253,MATCH(H96,'Highway Loading'!$H$245:$H$253,0),MATCH(I96,'Highway Loading'!$I$244:$L$244,0))</f>
        <v>0.72</v>
      </c>
      <c r="X96" s="181">
        <f t="shared" si="64"/>
        <v>1</v>
      </c>
      <c r="Y96" s="181">
        <f>VLOOKUP(K96,'Highway Loading'!$B$283:$E$292,2,FALSE)</f>
        <v>29000000</v>
      </c>
      <c r="Z96" s="181">
        <f>VLOOKUP(K96,'Highway Loading'!$B$283:$E$292,3,FALSE)</f>
        <v>0.3</v>
      </c>
      <c r="AA96" s="181">
        <f>VLOOKUP(K96,'Highway Loading'!$B$283:$E$292,4,FALSE)</f>
        <v>6.4999999999999996E-6</v>
      </c>
      <c r="AB96" s="181">
        <f t="shared" si="65"/>
        <v>1</v>
      </c>
      <c r="AC96" s="181">
        <f>VLOOKUP(N96,'Highway Loading'!$B$256:$D$261,2,FALSE)</f>
        <v>200</v>
      </c>
      <c r="AD96" s="181">
        <f>VLOOKUP(N96,'Highway Loading'!$B$256:$D$261,3,FALSE)</f>
        <v>5000</v>
      </c>
      <c r="AE96" s="181">
        <f>VLOOKUP(S96,'Highway Loading'!$B$340:$C$341,2,FALSE)</f>
        <v>12000</v>
      </c>
      <c r="AF96" s="181">
        <f t="shared" si="66"/>
        <v>5.0750000000000003E-2</v>
      </c>
      <c r="AG96" s="181">
        <f t="shared" si="67"/>
        <v>5.333333333333333</v>
      </c>
      <c r="AH96" s="181">
        <f t="shared" si="68"/>
        <v>1.125</v>
      </c>
      <c r="AI96" s="181">
        <f t="shared" si="69"/>
        <v>59113.300492610833</v>
      </c>
      <c r="AJ96" s="181">
        <f t="shared" si="70"/>
        <v>46800</v>
      </c>
      <c r="AK96" s="181">
        <f>IF(AC96=200,(INDEX(Tables!$B$17:$B$38,MAX(1,MIN(IFERROR(MATCH(AF96,Tables!$A$17:$A$38,1),1),ROWS(Tables!$A$17:$A$38)-1)))+(AF96-INDEX(Tables!$A$17:$A$38,MAX(1,MIN(IFERROR(MATCH(AF96,Tables!$A$17:$A$38,1),1),ROWS(Tables!$A$17:$A$38)-1))))*(INDEX(Tables!$B$17:$B$38,MAX(1,MIN(IFERROR(MATCH(AF96,Tables!$A$17:$A$38,1),1),ROWS(Tables!$A$17:$A$38)-1))+1)-INDEX(Tables!$B$17:$B$38,MAX(1,MIN(IFERROR(MATCH(AF96,Tables!$A$17:$A$38,1),1),ROWS(Tables!$A$17:$A$38)-1))))/(INDEX(Tables!$A$17:$A$38,MAX(1,MIN(IFERROR(MATCH(AF96,Tables!$A$17:$A$38,1),1),ROWS(Tables!$A$17:$A$38)-1))+1)-INDEX(Tables!$A$17:$A$38,MAX(1,MIN(IFERROR(MATCH(AF96,Tables!$A$17:$A$38,1),1),ROWS(Tables!$A$17:$A$38)-1))))),IF(AC96=500,(INDEX(Tables!$D$17:$D$38,MAX(1,MIN(IFERROR(MATCH(AF96,Tables!$C$17:$C$38,1),1),ROWS(Tables!$C$17:$C$38)-1)))+(AF96-INDEX(Tables!$C$17:$C$38,MAX(1,MIN(IFERROR(MATCH(AF96,Tables!$C$17:$C$38,1),1),ROWS(Tables!$C$17:$C$38)-1))))*(INDEX(Tables!$D$17:$D$38,MAX(1,MIN(IFERROR(MATCH(AF96,Tables!$C$17:$C$38,1),1),ROWS(Tables!$C$17:$C$38)-1))+1)-INDEX(Tables!$D$17:$D$38,MAX(1,MIN(IFERROR(MATCH(AF96,Tables!$C$17:$C$38,1),1),ROWS(Tables!$C$17:$C$38)-1))))/(INDEX(Tables!$C$17:$C$38,MAX(1,MIN(IFERROR(MATCH(AF96,Tables!$C$17:$C$38,1),1),ROWS(Tables!$C$17:$C$38)-1))+1)-INDEX(Tables!$C$17:$C$38,MAX(1,MIN(IFERROR(MATCH(AF96,Tables!$C$17:$C$38,1),1),ROWS(Tables!$C$17:$C$38)-1))))),IF(AC96=1000,(INDEX(Tables!$F$17:$F$38,MAX(1,MIN(IFERROR(MATCH(AF96,Tables!$E$17:$E$38,1),1),ROWS(Tables!$E$17:$E$38)-1)))+(AF96-INDEX(Tables!$E$17:$E$38,MAX(1,MIN(IFERROR(MATCH(AF96,Tables!$E$17:$E$38,1),1),ROWS(Tables!$E$17:$E$38)-1))))*(INDEX(Tables!$F$17:$F$38,MAX(1,MIN(IFERROR(MATCH(AF96,Tables!$E$17:$E$38,1),1),ROWS(Tables!$E$17:$E$38)-1))+1)-INDEX(Tables!$F$17:$F$38,MAX(1,MIN(IFERROR(MATCH(AF96,Tables!$E$17:$E$38,1),1),ROWS(Tables!$E$17:$E$38)-1))))/(INDEX(Tables!$E$17:$E$38,MAX(1,MIN(IFERROR(MATCH(AF96,Tables!$E$17:$E$38,1),1),ROWS(Tables!$E$17:$E$38)-1))+1)-INDEX(Tables!$E$17:$E$38,MAX(1,MIN(IFERROR(MATCH(AF96,Tables!$E$17:$E$38,1),1),ROWS(Tables!$E$17:$E$38)-1))))),(INDEX(Tables!$H$17:$H$38,MAX(1,MIN(IFERROR(MATCH(AF96,Tables!$G$17:$G$38,1),1),ROWS(Tables!$G$17:$G$38)-1)))+(AF96-INDEX(Tables!$G$17:$G$38,MAX(1,MIN(IFERROR(MATCH(AF96,Tables!$G$17:$G$38,1),1),ROWS(Tables!$G$17:$G$38)-1))))*(INDEX(Tables!$H$17:$H$38,MAX(1,MIN(IFERROR(MATCH(AF96,Tables!$G$17:$G$38,1),1),ROWS(Tables!$G$17:$G$38)-1))+1)-INDEX(Tables!$H$17:$H$38,MAX(1,MIN(IFERROR(MATCH(AF96,Tables!$G$17:$G$38,1),1),ROWS(Tables!$G$17:$G$38)-1))))/(INDEX(Tables!$G$17:$G$38,MAX(1,MIN(IFERROR(MATCH(AF96,Tables!$G$17:$G$38,1),1),ROWS(Tables!$G$17:$G$38)-1))+1)-INDEX(Tables!$G$17:$G$38,MAX(1,MIN(IFERROR(MATCH(AF96,Tables!$G$17:$G$38,1),1),ROWS(Tables!$G$17:$G$38)-1))))))))</f>
        <v>449.95</v>
      </c>
      <c r="AL96" s="181">
        <f>IF(AC96&lt;1000,(INDEX(Tables!$B$43:$B$76,MAX(1,MIN(IFERROR(MATCH(AG96,Tables!$A$43:$A$76,1),1),ROWS(Tables!$A$43:$A$76)-1)))+(AG96-INDEX(Tables!$A$43:$A$76,MAX(1,MIN(IFERROR(MATCH(AG96,Tables!$A$43:$A$76,1),1),ROWS(Tables!$A$43:$A$76)-1))))*(INDEX(Tables!$B$43:$B$76,MAX(1,MIN(IFERROR(MATCH(AG96,Tables!$A$43:$A$76,1),1),ROWS(Tables!$A$43:$A$76)-1))+1)-INDEX(Tables!$B$43:$B$76,MAX(1,MIN(IFERROR(MATCH(AG96,Tables!$A$43:$A$76,1),1),ROWS(Tables!$A$43:$A$76)-1))))/(INDEX(Tables!$A$43:$A$76,MAX(1,MIN(IFERROR(MATCH(AG96,Tables!$A$43:$A$76,1),1),ROWS(Tables!$A$43:$A$76)-1))+1)-INDEX(Tables!$A$43:$A$76,MAX(1,MIN(IFERROR(MATCH(AG96,Tables!$A$43:$A$76,1),1),ROWS(Tables!$A$43:$A$76)-1))))),(INDEX(Tables!$D$43:$D$76,MAX(1,MIN(IFERROR(MATCH(AG96,Tables!$C$43:$C$76,1),1),ROWS(Tables!$C$43:$C$76)-1)))+(AG96-INDEX(Tables!$C$43:$C$76,MAX(1,MIN(IFERROR(MATCH(AG96,Tables!$C$43:$C$76,1),1),ROWS(Tables!$C$43:$C$76)-1))))*(INDEX(Tables!$D$43:$D$76,MAX(1,MIN(IFERROR(MATCH(AG96,Tables!$C$43:$C$76,1),1),ROWS(Tables!$C$43:$C$76)-1))+1)-INDEX(Tables!$D$43:$D$76,MAX(1,MIN(IFERROR(MATCH(AG96,Tables!$C$43:$C$76,1),1),ROWS(Tables!$C$43:$C$76)-1))))/(INDEX(Tables!$C$43:$C$76,MAX(1,MIN(IFERROR(MATCH(AG96,Tables!$C$43:$C$76,1),1),ROWS(Tables!$C$43:$C$76)-1))+1)-INDEX(Tables!$C$43:$C$76,MAX(1,MIN(IFERROR(MATCH(AG96,Tables!$C$43:$C$76,1),1),ROWS(Tables!$C$43:$C$76)-1))))))</f>
        <v>1.1053333333333333</v>
      </c>
      <c r="AM96" s="181">
        <f>(INDEX(Tables!$B$80:$B$87,MAX(1,MIN(IFERROR(MATCH(AH96,Tables!$A$80:$A$87,1),1),ROWS(Tables!$A$80:$A$87)-1)))+(AH96-INDEX(Tables!$A$80:$A$87,MAX(1,MIN(IFERROR(MATCH(AH96,Tables!$A$80:$A$87,1),1),ROWS(Tables!$A$80:$A$87)-1))))*(INDEX(Tables!$B$80:$B$87,MAX(1,MIN(IFERROR(MATCH(AH96,Tables!$A$80:$A$87,1),1),ROWS(Tables!$A$80:$A$87)-1))+1)-INDEX(Tables!$B$80:$B$87,MAX(1,MIN(IFERROR(MATCH(AH96,Tables!$A$80:$A$87,1),1),ROWS(Tables!$A$80:$A$87)-1))))/(INDEX(Tables!$A$80:$A$87,MAX(1,MIN(IFERROR(MATCH(AH96,Tables!$A$80:$A$87,1),1),ROWS(Tables!$A$80:$A$87)-1))+1)-INDEX(Tables!$A$80:$A$87,MAX(1,MIN(IFERROR(MATCH(AH96,Tables!$A$80:$A$87,1),1),ROWS(Tables!$A$80:$A$87)-1)))))</f>
        <v>1.04345</v>
      </c>
      <c r="AN96" s="181">
        <f t="shared" si="71"/>
        <v>576.6159577740741</v>
      </c>
      <c r="AO96" s="181">
        <f>(INDEX(Tables!$B$91:$B$94,MAX(1,MIN(IFERROR(MATCH(P96,Tables!$A$91:$A$94,1),1),ROWS(Tables!$A$91:$A$94)-1)))+(P96-INDEX(Tables!$A$91:$A$94,MAX(1,MIN(IFERROR(MATCH(P96,Tables!$A$91:$A$94,1),1),ROWS(Tables!$A$91:$A$94)-1))))*(INDEX(Tables!$B$91:$B$94,MAX(1,MIN(IFERROR(MATCH(P96,Tables!$A$91:$A$94,1),1),ROWS(Tables!$A$91:$A$94)-1))+1)-INDEX(Tables!$B$91:$B$94,MAX(1,MIN(IFERROR(MATCH(P96,Tables!$A$91:$A$94,1),1),ROWS(Tables!$A$91:$A$94)-1))))/(INDEX(Tables!$A$91:$A$94,MAX(1,MIN(IFERROR(MATCH(P96,Tables!$A$91:$A$94,1),1),ROWS(Tables!$A$91:$A$94)-1))+1)-INDEX(Tables!$A$91:$A$94,MAX(1,MIN(IFERROR(MATCH(P96,Tables!$A$91:$A$94,1),1),ROWS(Tables!$A$91:$A$94)-1)))))</f>
        <v>1.4152439024390244</v>
      </c>
      <c r="AP96" s="181">
        <f>IF(AD96=5000,(INDEX(Tables!$B$99:$B$118,MAX(1,MIN(IFERROR(MATCH(AF96,Tables!$A$99:$A$118,1),1),ROWS(Tables!$A$99:$A$118)-1)))+(AF96-INDEX(Tables!$A$99:$A$118,MAX(1,MIN(IFERROR(MATCH(AF96,Tables!$A$99:$A$118,1),1),ROWS(Tables!$A$99:$A$118)-1))))*(INDEX(Tables!$B$99:$B$118,MAX(1,MIN(IFERROR(MATCH(AF96,Tables!$A$99:$A$118,1),1),ROWS(Tables!$A$99:$A$118)-1))+1)-INDEX(Tables!$B$99:$B$118,MAX(1,MIN(IFERROR(MATCH(AF96,Tables!$A$99:$A$118,1),1),ROWS(Tables!$A$99:$A$118)-1))))/(INDEX(Tables!$A$99:$A$118,MAX(1,MIN(IFERROR(MATCH(AF96,Tables!$A$99:$A$118,1),1),ROWS(Tables!$A$99:$A$118)-1))+1)-INDEX(Tables!$A$99:$A$118,MAX(1,MIN(IFERROR(MATCH(AF96,Tables!$A$99:$A$118,1),1),ROWS(Tables!$A$99:$A$118)-1))))),IF(AD96=10000,(INDEX(Tables!$D$99:$D$118,MAX(1,MIN(IFERROR(MATCH(AF96,Tables!$C$99:$C$118,1),1),ROWS(Tables!$C$99:$C$118)-1)))+(AF96-INDEX(Tables!$C$99:$C$118,MAX(1,MIN(IFERROR(MATCH(AF96,Tables!$C$99:$C$118,1),1),ROWS(Tables!$C$99:$C$118)-1))))*(INDEX(Tables!$D$99:$D$118,MAX(1,MIN(IFERROR(MATCH(AF96,Tables!$C$99:$C$118,1),1),ROWS(Tables!$C$99:$C$118)-1))+1)-INDEX(Tables!$D$99:$D$118,MAX(1,MIN(IFERROR(MATCH(AF96,Tables!$C$99:$C$118,1),1),ROWS(Tables!$C$99:$C$118)-1))))/(INDEX(Tables!$C$99:$C$118,MAX(1,MIN(IFERROR(MATCH(AF96,Tables!$C$99:$C$118,1),1),ROWS(Tables!$C$99:$C$118)-1))+1)-INDEX(Tables!$C$99:$C$118,MAX(1,MIN(IFERROR(MATCH(AF96,Tables!$C$99:$C$118,1),1),ROWS(Tables!$C$99:$C$118)-1))))),(INDEX(Tables!$F$99:$F$118,MAX(1,MIN(IFERROR(MATCH(AF96,Tables!$E$99:$E$118,1),1),ROWS(Tables!$E$99:$E$118)-1)))+(AF96-INDEX(Tables!$E$99:$E$118,MAX(1,MIN(IFERROR(MATCH(AF96,Tables!$E$99:$E$118,1),1),ROWS(Tables!$E$99:$E$118)-1))))*(INDEX(Tables!$F$99:$F$118,MAX(1,MIN(IFERROR(MATCH(AF96,Tables!$E$99:$E$118,1),1),ROWS(Tables!$E$99:$E$118)-1))+1)-INDEX(Tables!$F$99:$F$118,MAX(1,MIN(IFERROR(MATCH(AF96,Tables!$E$99:$E$118,1),1),ROWS(Tables!$E$99:$E$118)-1))))/(INDEX(Tables!$E$99:$E$118,MAX(1,MIN(IFERROR(MATCH(AF96,Tables!$E$99:$E$118,1),1),ROWS(Tables!$E$99:$E$118)-1))+1)-INDEX(Tables!$E$99:$E$118,MAX(1,MIN(IFERROR(MATCH(AF96,Tables!$E$99:$E$118,1),1),ROWS(Tables!$E$99:$E$118)-1)))))))</f>
        <v>5.8145537190082637</v>
      </c>
      <c r="AQ96" s="181">
        <f>IF(P96&lt;6,(INDEX(Tables!$B$123:$B$138,MAX(1,MIN(IFERROR(MATCH(U96,Tables!$A$123:$A$138,1),1),ROWS(Tables!$A$123:$A$138)-1)))+(U96-INDEX(Tables!$A$123:$A$138,MAX(1,MIN(IFERROR(MATCH(U96,Tables!$A$123:$A$138,1),1),ROWS(Tables!$A$123:$A$138)-1))))*(INDEX(Tables!$B$123:$B$138,MAX(1,MIN(IFERROR(MATCH(U96,Tables!$A$123:$A$138,1),1),ROWS(Tables!$A$123:$A$138)-1))+1)-INDEX(Tables!$B$123:$B$138,MAX(1,MIN(IFERROR(MATCH(U96,Tables!$A$123:$A$138,1),1),ROWS(Tables!$A$123:$A$138)-1))))/(INDEX(Tables!$A$123:$A$138,MAX(1,MIN(IFERROR(MATCH(U96,Tables!$A$123:$A$138,1),1),ROWS(Tables!$A$123:$A$138)-1))+1)-INDEX(Tables!$A$123:$A$138,MAX(1,MIN(IFERROR(MATCH(U96,Tables!$A$123:$A$138,1),1),ROWS(Tables!$A$123:$A$138)-1))))),IF(P96&lt;8,(INDEX(Tables!$D$123:$D$138,MAX(1,MIN(IFERROR(MATCH(U96,Tables!$C$123:$C$138,1),1),ROWS(Tables!$C$123:$C$138)-1)))+(U96-INDEX(Tables!$C$123:$C$138,MAX(1,MIN(IFERROR(MATCH(U96,Tables!$C$123:$C$138,1),1),ROWS(Tables!$C$123:$C$138)-1))))*(INDEX(Tables!$D$123:$D$138,MAX(1,MIN(IFERROR(MATCH(U96,Tables!$C$123:$C$138,1),1),ROWS(Tables!$C$123:$C$138)-1))+1)-INDEX(Tables!$D$123:$D$138,MAX(1,MIN(IFERROR(MATCH(U96,Tables!$C$123:$C$138,1),1),ROWS(Tables!$C$123:$C$138)-1))))/(INDEX(Tables!$C$123:$C$138,MAX(1,MIN(IFERROR(MATCH(U96,Tables!$C$123:$C$138,1),1),ROWS(Tables!$C$123:$C$138)-1))+1)-INDEX(Tables!$C$123:$C$138,MAX(1,MIN(IFERROR(MATCH(U96,Tables!$C$123:$C$138,1),1),ROWS(Tables!$C$123:$C$138)-1))))),IF(P96&lt;10,(INDEX(Tables!$F$123:$F$138,MAX(1,MIN(IFERROR(MATCH(U96,Tables!$E$123:$E$138,1),1),ROWS(Tables!$E$123:$E$138)-1)))+(U96-INDEX(Tables!$E$123:$E$138,MAX(1,MIN(IFERROR(MATCH(U96,Tables!$E$123:$E$138,1),1),ROWS(Tables!$E$123:$E$138)-1))))*(INDEX(Tables!$F$123:$F$138,MAX(1,MIN(IFERROR(MATCH(U96,Tables!$E$123:$E$138,1),1),ROWS(Tables!$E$123:$E$138)-1))+1)-INDEX(Tables!$F$123:$F$138,MAX(1,MIN(IFERROR(MATCH(U96,Tables!$E$123:$E$138,1),1),ROWS(Tables!$E$123:$E$138)-1))))/(INDEX(Tables!$E$123:$E$138,MAX(1,MIN(IFERROR(MATCH(U96,Tables!$E$123:$E$138,1),1),ROWS(Tables!$E$123:$E$138)-1))+1)-INDEX(Tables!$E$123:$E$138,MAX(1,MIN(IFERROR(MATCH(U96,Tables!$E$123:$E$138,1),1),ROWS(Tables!$E$123:$E$138)-1))))),(INDEX(Tables!$H$123:$H$138,MAX(1,MIN(IFERROR(MATCH(U96,Tables!$G$123:$G$138,1),1),ROWS(Tables!$G$123:$G$138)-1)))+(U96-INDEX(Tables!$G$123:$G$138,MAX(1,MIN(IFERROR(MATCH(U96,Tables!$G$123:$G$138,1),1),ROWS(Tables!$G$123:$G$138)-1))))*(INDEX(Tables!$H$123:$H$138,MAX(1,MIN(IFERROR(MATCH(U96,Tables!$G$123:$G$138,1),1),ROWS(Tables!$G$123:$G$138)-1))+1)-INDEX(Tables!$H$123:$H$138,MAX(1,MIN(IFERROR(MATCH(U96,Tables!$G$123:$G$138,1),1),ROWS(Tables!$G$123:$G$138)-1))))/(INDEX(Tables!$G$123:$G$138,MAX(1,MIN(IFERROR(MATCH(U96,Tables!$G$123:$G$138,1),1),ROWS(Tables!$G$123:$G$138)-1))+1)-INDEX(Tables!$G$123:$G$138,MAX(1,MIN(IFERROR(MATCH(U96,Tables!$G$123:$G$138,1),1),ROWS(Tables!$G$123:$G$138)-1))))))))</f>
        <v>0.79200000000000004</v>
      </c>
      <c r="AR96" s="181">
        <f>IF(OR(P96&gt;=4,U96&gt;12),VLOOKUP(R96&amp;" "&amp;S96,Tables!$D$143:$F$148,2,FALSE),VLOOKUP(R96&amp;" "&amp;S96,Tables!$A$143:$C$148,2,FALSE))</f>
        <v>0.9</v>
      </c>
      <c r="AS96" s="181">
        <f>IF(OR(P96&gt;=4,U96&gt;12),VLOOKUP(R96&amp;" "&amp;S96,Tables!$D$143:$F$148,3,FALSE),VLOOKUP(R96&amp;" "&amp;S96,Tables!$A$143:$C$148,3,FALSE))</f>
        <v>0.65</v>
      </c>
      <c r="AT96" s="181">
        <f t="shared" si="72"/>
        <v>317.72214159146336</v>
      </c>
      <c r="AU96" s="181">
        <f>IF(AD96=5000,(INDEX(Tables!$B$244:$B$263,MAX(1,MIN(IFERROR(MATCH(AF96,Tables!$A$244:$A$263,1),1),ROWS(Tables!$A$244:$A$263)-1)))+(AF96-INDEX(Tables!$A$244:$A$263,MAX(1,MIN(IFERROR(MATCH(AF96,Tables!$A$244:$A$263,1),1),ROWS(Tables!$A$244:$A$263)-1))))*(INDEX(Tables!$B$244:$B$263,MAX(1,MIN(IFERROR(MATCH(AF96,Tables!$A$244:$A$263,1),1),ROWS(Tables!$A$244:$A$263)-1))+1)-INDEX(Tables!$B$244:$B$263,MAX(1,MIN(IFERROR(MATCH(AF96,Tables!$A$244:$A$263,1),1),ROWS(Tables!$A$244:$A$263)-1))))/(INDEX(Tables!$A$244:$A$263,MAX(1,MIN(IFERROR(MATCH(AF96,Tables!$A$244:$A$263,1),1),ROWS(Tables!$A$244:$A$263)-1))+1)-INDEX(Tables!$A$244:$A$263,MAX(1,MIN(IFERROR(MATCH(AF96,Tables!$A$244:$A$263,1),1),ROWS(Tables!$A$244:$A$263)-1))))),IF(AD96=10000,(INDEX(Tables!$D$244:$D$263,MAX(1,MIN(IFERROR(MATCH(AF96,Tables!$C$244:$C$263,1),1),ROWS(Tables!$C$244:$C$263)-1)))+(AF96-INDEX(Tables!$C$244:$C$263,MAX(1,MIN(IFERROR(MATCH(AF96,Tables!$C$244:$C$263,1),1),ROWS(Tables!$C$244:$C$263)-1))))*(INDEX(Tables!$D$244:$D$263,MAX(1,MIN(IFERROR(MATCH(AF96,Tables!$C$244:$C$263,1),1),ROWS(Tables!$C$244:$C$263)-1))+1)-INDEX(Tables!$D$244:$D$263,MAX(1,MIN(IFERROR(MATCH(AF96,Tables!$C$244:$C$263,1),1),ROWS(Tables!$C$244:$C$263)-1))))/(INDEX(Tables!$C$244:$C$263,MAX(1,MIN(IFERROR(MATCH(AF96,Tables!$C$244:$C$263,1),1),ROWS(Tables!$C$244:$C$263)-1))+1)-INDEX(Tables!$C$244:$C$263,MAX(1,MIN(IFERROR(MATCH(AF96,Tables!$C$244:$C$263,1),1),ROWS(Tables!$C$244:$C$263)-1))))),(INDEX(Tables!$F$244:$F$263,MAX(1,MIN(IFERROR(MATCH(AF96,Tables!$E$244:$E$263,1),1),ROWS(Tables!$E$244:$E$263)-1)))+(AF96-INDEX(Tables!$E$244:$E$263,MAX(1,MIN(IFERROR(MATCH(AF96,Tables!$E$244:$E$263,1),1),ROWS(Tables!$E$244:$E$263)-1))))*(INDEX(Tables!$F$244:$F$263,MAX(1,MIN(IFERROR(MATCH(AF96,Tables!$E$244:$E$263,1),1),ROWS(Tables!$E$244:$E$263)-1))+1)-INDEX(Tables!$F$244:$F$263,MAX(1,MIN(IFERROR(MATCH(AF96,Tables!$E$244:$E$263,1),1),ROWS(Tables!$E$244:$E$263)-1))))/(INDEX(Tables!$E$244:$E$263,MAX(1,MIN(IFERROR(MATCH(AF96,Tables!$E$244:$E$263,1),1),ROWS(Tables!$E$244:$E$263)-1))+1)-INDEX(Tables!$E$244:$E$263,MAX(1,MIN(IFERROR(MATCH(AF96,Tables!$E$244:$E$263,1),1),ROWS(Tables!$E$244:$E$263)-1)))))))</f>
        <v>8.3038249999999998</v>
      </c>
      <c r="AV96" s="181">
        <f>IF(P96&lt;6,(INDEX(Tables!$B$260:$B$274,MAX(1,MIN(IFERROR(MATCH(U96,Tables!$A$260:$A$274,1),1),ROWS(Tables!$A$260:$A$274)-1)))+(U96-INDEX(Tables!$A$260:$A$274,MAX(1,MIN(IFERROR(MATCH(U96,Tables!$A$260:$A$274,1),1),ROWS(Tables!$A$260:$A$274)-1))))*(INDEX(Tables!$B$260:$B$274,MAX(1,MIN(IFERROR(MATCH(U96,Tables!$A$260:$A$274,1),1),ROWS(Tables!$A$260:$A$274)-1))+1)-INDEX(Tables!$B$260:$B$274,MAX(1,MIN(IFERROR(MATCH(U96,Tables!$A$260:$A$274,1),1),ROWS(Tables!$A$260:$A$274)-1))))/(INDEX(Tables!$A$260:$A$274,MAX(1,MIN(IFERROR(MATCH(U96,Tables!$A$260:$A$274,1),1),ROWS(Tables!$A$260:$A$274)-1))+1)-INDEX(Tables!$A$260:$A$274,MAX(1,MIN(IFERROR(MATCH(U96,Tables!$A$260:$A$274,1),1),ROWS(Tables!$A$260:$A$274)-1))))),IF(P96&lt;8,(INDEX(Tables!$D$260:$D$274,MAX(1,MIN(IFERROR(MATCH(U96,Tables!$C$260:$C$274,1),1),ROWS(Tables!$C$260:$C$274)-1)))+(U96-INDEX(Tables!$C$260:$C$274,MAX(1,MIN(IFERROR(MATCH(U96,Tables!$C$260:$C$274,1),1),ROWS(Tables!$C$260:$C$274)-1))))*(INDEX(Tables!$D$260:$D$274,MAX(1,MIN(IFERROR(MATCH(U96,Tables!$C$260:$C$274,1),1),ROWS(Tables!$C$260:$C$274)-1))+1)-INDEX(Tables!$D$260:$D$274,MAX(1,MIN(IFERROR(MATCH(U96,Tables!$C$260:$C$274,1),1),ROWS(Tables!$C$260:$C$274)-1))))/(INDEX(Tables!$C$260:$C$274,MAX(1,MIN(IFERROR(MATCH(U96,Tables!$C$260:$C$274,1),1),ROWS(Tables!$C$260:$C$274)-1))+1)-INDEX(Tables!$C$260:$C$274,MAX(1,MIN(IFERROR(MATCH(U96,Tables!$C$260:$C$274,1),1),ROWS(Tables!$C$260:$C$274)-1))))),IF(P96&lt;10,(INDEX(Tables!$F$260:$F$274,MAX(1,MIN(IFERROR(MATCH(U96,Tables!$E$260:$E$274,1),1),ROWS(Tables!$E$260:$E$274)-1)))+(U96-INDEX(Tables!$E$260:$E$274,MAX(1,MIN(IFERROR(MATCH(U96,Tables!$E$260:$E$274,1),1),ROWS(Tables!$E$260:$E$274)-1))))*(INDEX(Tables!$F$260:$F$274,MAX(1,MIN(IFERROR(MATCH(U96,Tables!$E$260:$E$274,1),1),ROWS(Tables!$E$260:$E$274)-1))+1)-INDEX(Tables!$F$260:$F$274,MAX(1,MIN(IFERROR(MATCH(U96,Tables!$E$260:$E$274,1),1),ROWS(Tables!$E$260:$E$274)-1))))/(INDEX(Tables!$E$260:$E$274,MAX(1,MIN(IFERROR(MATCH(U96,Tables!$E$260:$E$274,1),1),ROWS(Tables!$E$260:$E$274)-1))+1)-INDEX(Tables!$E$260:$E$274,MAX(1,MIN(IFERROR(MATCH(U96,Tables!$E$260:$E$274,1),1),ROWS(Tables!$E$260:$E$274)-1))))),(INDEX(Tables!$H$260:$H$274,MAX(1,MIN(IFERROR(MATCH(U96,Tables!$G$260:$G$274,1),1),ROWS(Tables!$G$260:$G$274)-1)))+(U96-INDEX(Tables!$G$260:$G$274,MAX(1,MIN(IFERROR(MATCH(U96,Tables!$G$260:$G$274,1),1),ROWS(Tables!$G$260:$G$274)-1))))*(INDEX(Tables!$H$260:$H$274,MAX(1,MIN(IFERROR(MATCH(U96,Tables!$G$260:$G$274,1),1),ROWS(Tables!$G$260:$G$274)-1))+1)-INDEX(Tables!$H$260:$H$274,MAX(1,MIN(IFERROR(MATCH(U96,Tables!$G$260:$G$274,1),1),ROWS(Tables!$G$260:$G$274)-1))))/(INDEX(Tables!$G$260:$G$274,MAX(1,MIN(IFERROR(MATCH(U96,Tables!$G$260:$G$274,1),1),ROWS(Tables!$G$260:$G$274)-1))+1)-INDEX(Tables!$G$260:$G$274,MAX(1,MIN(IFERROR(MATCH(U96,Tables!$G$260:$G$274,1),1),ROWS(Tables!$G$260:$G$274)-1))))))))</f>
        <v>0.84099999999999997</v>
      </c>
      <c r="AW96" s="181">
        <f t="shared" si="73"/>
        <v>481.81475570287722</v>
      </c>
      <c r="AX96" s="181">
        <f t="shared" si="74"/>
        <v>56113.300492610833</v>
      </c>
      <c r="AY96" s="181">
        <f t="shared" si="75"/>
        <v>57007.638591976371</v>
      </c>
      <c r="AZ96" s="181">
        <f t="shared" si="76"/>
        <v>17488.78969081835</v>
      </c>
      <c r="BA96" s="181">
        <f t="shared" si="77"/>
        <v>-6000</v>
      </c>
      <c r="BB96" s="181">
        <f t="shared" si="78"/>
        <v>55151.723366315411</v>
      </c>
      <c r="BC96" s="181">
        <f t="shared" si="79"/>
        <v>46800</v>
      </c>
      <c r="BD96" s="181">
        <f>VLOOKUP(V96&amp;" "&amp;J96,Tables!$A$152:$E$239,4,FALSE)</f>
        <v>12000</v>
      </c>
      <c r="BE96" s="181">
        <f>VLOOKUP(V96&amp;" "&amp;J96,Tables!$A$152:$E$239,5,FALSE)</f>
        <v>23000</v>
      </c>
      <c r="BF96" s="181">
        <f t="shared" si="80"/>
        <v>8640</v>
      </c>
      <c r="BG96" s="181">
        <f t="shared" si="81"/>
        <v>16560</v>
      </c>
      <c r="BH96" s="181">
        <f t="shared" si="82"/>
        <v>59113.300492610833</v>
      </c>
      <c r="BI96" s="181">
        <f t="shared" si="83"/>
        <v>46800</v>
      </c>
      <c r="BJ96" s="181">
        <f t="shared" si="84"/>
        <v>55151.723366315411</v>
      </c>
      <c r="BK96" s="181">
        <f t="shared" si="85"/>
        <v>46800</v>
      </c>
      <c r="BL96" s="181">
        <f t="shared" si="86"/>
        <v>481.81475570287722</v>
      </c>
      <c r="BM96" s="181">
        <f t="shared" si="87"/>
        <v>8640</v>
      </c>
      <c r="BN96" s="181">
        <f t="shared" si="88"/>
        <v>317.72214159146336</v>
      </c>
      <c r="BO96" s="181">
        <f t="shared" si="89"/>
        <v>16560</v>
      </c>
      <c r="BP96" t="str">
        <f t="shared" si="90"/>
        <v>Fail</v>
      </c>
      <c r="BQ96" t="str">
        <f t="shared" si="91"/>
        <v>Fail</v>
      </c>
      <c r="BR96" t="str">
        <f t="shared" si="92"/>
        <v>Pass</v>
      </c>
      <c r="BS96" t="str">
        <f t="shared" si="93"/>
        <v>Pass</v>
      </c>
      <c r="BT96" t="str">
        <f t="shared" si="94"/>
        <v>Fail</v>
      </c>
      <c r="BU96" t="str">
        <f t="shared" si="95"/>
        <v>Barlow Stress</v>
      </c>
    </row>
    <row r="97" spans="1:73">
      <c r="A97" t="s">
        <v>689</v>
      </c>
      <c r="B97" s="181">
        <v>95</v>
      </c>
      <c r="C97" t="s">
        <v>594</v>
      </c>
      <c r="D97" s="181">
        <v>24</v>
      </c>
      <c r="E97" s="181">
        <v>0.56200000000000006</v>
      </c>
      <c r="F97" t="s">
        <v>117</v>
      </c>
      <c r="G97" t="s">
        <v>119</v>
      </c>
      <c r="H97" t="s">
        <v>122</v>
      </c>
      <c r="I97" s="181">
        <v>1</v>
      </c>
      <c r="J97" t="s">
        <v>126</v>
      </c>
      <c r="K97" t="s">
        <v>129</v>
      </c>
      <c r="L97" s="181">
        <v>70</v>
      </c>
      <c r="M97" s="181">
        <v>6000</v>
      </c>
      <c r="N97" t="s">
        <v>389</v>
      </c>
      <c r="O97" s="181">
        <v>120</v>
      </c>
      <c r="P97" s="181">
        <v>10</v>
      </c>
      <c r="Q97" s="181">
        <v>26</v>
      </c>
      <c r="R97" t="s">
        <v>418</v>
      </c>
      <c r="S97" t="s">
        <v>420</v>
      </c>
      <c r="T97" s="181">
        <v>70</v>
      </c>
      <c r="U97" s="181">
        <f>HLOOKUP(D97,'Highway Loading'!$C$155:$AD$156,2,FALSE)</f>
        <v>24</v>
      </c>
      <c r="V97" s="181">
        <f>IF(ISBLANK(G97),"",INDEX('Highway Loading'!$C$216:$AG$216,1,MATCH(G97,'Highway Loading'!$C$215:$AG$215,0)))</f>
        <v>65000</v>
      </c>
      <c r="W97" s="181">
        <f>INDEX('Highway Loading'!$I$245:$L$253,MATCH(H97,'Highway Loading'!$H$245:$H$253,0),MATCH(I97,'Highway Loading'!$I$244:$L$244,0))</f>
        <v>0.72</v>
      </c>
      <c r="X97" s="181">
        <f t="shared" si="64"/>
        <v>1</v>
      </c>
      <c r="Y97" s="181">
        <f>VLOOKUP(K97,'Highway Loading'!$B$283:$E$292,2,FALSE)</f>
        <v>29000000</v>
      </c>
      <c r="Z97" s="181">
        <f>VLOOKUP(K97,'Highway Loading'!$B$283:$E$292,3,FALSE)</f>
        <v>0.3</v>
      </c>
      <c r="AA97" s="181">
        <f>VLOOKUP(K97,'Highway Loading'!$B$283:$E$292,4,FALSE)</f>
        <v>6.4999999999999996E-6</v>
      </c>
      <c r="AB97" s="181">
        <f t="shared" si="65"/>
        <v>1</v>
      </c>
      <c r="AC97" s="181">
        <f>VLOOKUP(N97,'Highway Loading'!$B$256:$D$261,2,FALSE)</f>
        <v>500</v>
      </c>
      <c r="AD97" s="181">
        <f>VLOOKUP(N97,'Highway Loading'!$B$256:$D$261,3,FALSE)</f>
        <v>5000</v>
      </c>
      <c r="AE97" s="181">
        <f>VLOOKUP(S97,'Highway Loading'!$B$340:$C$341,2,FALSE)</f>
        <v>12000</v>
      </c>
      <c r="AF97" s="181">
        <f t="shared" si="66"/>
        <v>2.3416666666666669E-2</v>
      </c>
      <c r="AG97" s="181">
        <f t="shared" si="67"/>
        <v>4.615384615384615</v>
      </c>
      <c r="AH97" s="181">
        <f t="shared" si="68"/>
        <v>1.0833333333333333</v>
      </c>
      <c r="AI97" s="181">
        <f t="shared" si="69"/>
        <v>128113.8790035587</v>
      </c>
      <c r="AJ97" s="181">
        <f t="shared" si="70"/>
        <v>46800</v>
      </c>
      <c r="AK97" s="181">
        <f>IF(AC97=200,(INDEX(Tables!$B$17:$B$38,MAX(1,MIN(IFERROR(MATCH(AF97,Tables!$A$17:$A$38,1),1),ROWS(Tables!$A$17:$A$38)-1)))+(AF97-INDEX(Tables!$A$17:$A$38,MAX(1,MIN(IFERROR(MATCH(AF97,Tables!$A$17:$A$38,1),1),ROWS(Tables!$A$17:$A$38)-1))))*(INDEX(Tables!$B$17:$B$38,MAX(1,MIN(IFERROR(MATCH(AF97,Tables!$A$17:$A$38,1),1),ROWS(Tables!$A$17:$A$38)-1))+1)-INDEX(Tables!$B$17:$B$38,MAX(1,MIN(IFERROR(MATCH(AF97,Tables!$A$17:$A$38,1),1),ROWS(Tables!$A$17:$A$38)-1))))/(INDEX(Tables!$A$17:$A$38,MAX(1,MIN(IFERROR(MATCH(AF97,Tables!$A$17:$A$38,1),1),ROWS(Tables!$A$17:$A$38)-1))+1)-INDEX(Tables!$A$17:$A$38,MAX(1,MIN(IFERROR(MATCH(AF97,Tables!$A$17:$A$38,1),1),ROWS(Tables!$A$17:$A$38)-1))))),IF(AC97=500,(INDEX(Tables!$D$17:$D$38,MAX(1,MIN(IFERROR(MATCH(AF97,Tables!$C$17:$C$38,1),1),ROWS(Tables!$C$17:$C$38)-1)))+(AF97-INDEX(Tables!$C$17:$C$38,MAX(1,MIN(IFERROR(MATCH(AF97,Tables!$C$17:$C$38,1),1),ROWS(Tables!$C$17:$C$38)-1))))*(INDEX(Tables!$D$17:$D$38,MAX(1,MIN(IFERROR(MATCH(AF97,Tables!$C$17:$C$38,1),1),ROWS(Tables!$C$17:$C$38)-1))+1)-INDEX(Tables!$D$17:$D$38,MAX(1,MIN(IFERROR(MATCH(AF97,Tables!$C$17:$C$38,1),1),ROWS(Tables!$C$17:$C$38)-1))))/(INDEX(Tables!$C$17:$C$38,MAX(1,MIN(IFERROR(MATCH(AF97,Tables!$C$17:$C$38,1),1),ROWS(Tables!$C$17:$C$38)-1))+1)-INDEX(Tables!$C$17:$C$38,MAX(1,MIN(IFERROR(MATCH(AF97,Tables!$C$17:$C$38,1),1),ROWS(Tables!$C$17:$C$38)-1))))),IF(AC97=1000,(INDEX(Tables!$F$17:$F$38,MAX(1,MIN(IFERROR(MATCH(AF97,Tables!$E$17:$E$38,1),1),ROWS(Tables!$E$17:$E$38)-1)))+(AF97-INDEX(Tables!$E$17:$E$38,MAX(1,MIN(IFERROR(MATCH(AF97,Tables!$E$17:$E$38,1),1),ROWS(Tables!$E$17:$E$38)-1))))*(INDEX(Tables!$F$17:$F$38,MAX(1,MIN(IFERROR(MATCH(AF97,Tables!$E$17:$E$38,1),1),ROWS(Tables!$E$17:$E$38)-1))+1)-INDEX(Tables!$F$17:$F$38,MAX(1,MIN(IFERROR(MATCH(AF97,Tables!$E$17:$E$38,1),1),ROWS(Tables!$E$17:$E$38)-1))))/(INDEX(Tables!$E$17:$E$38,MAX(1,MIN(IFERROR(MATCH(AF97,Tables!$E$17:$E$38,1),1),ROWS(Tables!$E$17:$E$38)-1))+1)-INDEX(Tables!$E$17:$E$38,MAX(1,MIN(IFERROR(MATCH(AF97,Tables!$E$17:$E$38,1),1),ROWS(Tables!$E$17:$E$38)-1))))),(INDEX(Tables!$H$17:$H$38,MAX(1,MIN(IFERROR(MATCH(AF97,Tables!$G$17:$G$38,1),1),ROWS(Tables!$G$17:$G$38)-1)))+(AF97-INDEX(Tables!$G$17:$G$38,MAX(1,MIN(IFERROR(MATCH(AF97,Tables!$G$17:$G$38,1),1),ROWS(Tables!$G$17:$G$38)-1))))*(INDEX(Tables!$H$17:$H$38,MAX(1,MIN(IFERROR(MATCH(AF97,Tables!$G$17:$G$38,1),1),ROWS(Tables!$G$17:$G$38)-1))+1)-INDEX(Tables!$H$17:$H$38,MAX(1,MIN(IFERROR(MATCH(AF97,Tables!$G$17:$G$38,1),1),ROWS(Tables!$G$17:$G$38)-1))))/(INDEX(Tables!$G$17:$G$38,MAX(1,MIN(IFERROR(MATCH(AF97,Tables!$G$17:$G$38,1),1),ROWS(Tables!$G$17:$G$38)-1))+1)-INDEX(Tables!$G$17:$G$38,MAX(1,MIN(IFERROR(MATCH(AF97,Tables!$G$17:$G$38,1),1),ROWS(Tables!$G$17:$G$38)-1))))))))</f>
        <v>1965.3166666666666</v>
      </c>
      <c r="AL97" s="181">
        <f>IF(AC97&lt;1000,(INDEX(Tables!$B$43:$B$76,MAX(1,MIN(IFERROR(MATCH(AG97,Tables!$A$43:$A$76,1),1),ROWS(Tables!$A$43:$A$76)-1)))+(AG97-INDEX(Tables!$A$43:$A$76,MAX(1,MIN(IFERROR(MATCH(AG97,Tables!$A$43:$A$76,1),1),ROWS(Tables!$A$43:$A$76)-1))))*(INDEX(Tables!$B$43:$B$76,MAX(1,MIN(IFERROR(MATCH(AG97,Tables!$A$43:$A$76,1),1),ROWS(Tables!$A$43:$A$76)-1))+1)-INDEX(Tables!$B$43:$B$76,MAX(1,MIN(IFERROR(MATCH(AG97,Tables!$A$43:$A$76,1),1),ROWS(Tables!$A$43:$A$76)-1))))/(INDEX(Tables!$A$43:$A$76,MAX(1,MIN(IFERROR(MATCH(AG97,Tables!$A$43:$A$76,1),1),ROWS(Tables!$A$43:$A$76)-1))+1)-INDEX(Tables!$A$43:$A$76,MAX(1,MIN(IFERROR(MATCH(AG97,Tables!$A$43:$A$76,1),1),ROWS(Tables!$A$43:$A$76)-1))))),(INDEX(Tables!$D$43:$D$76,MAX(1,MIN(IFERROR(MATCH(AG97,Tables!$C$43:$C$76,1),1),ROWS(Tables!$C$43:$C$76)-1)))+(AG97-INDEX(Tables!$C$43:$C$76,MAX(1,MIN(IFERROR(MATCH(AG97,Tables!$C$43:$C$76,1),1),ROWS(Tables!$C$43:$C$76)-1))))*(INDEX(Tables!$D$43:$D$76,MAX(1,MIN(IFERROR(MATCH(AG97,Tables!$C$43:$C$76,1),1),ROWS(Tables!$C$43:$C$76)-1))+1)-INDEX(Tables!$D$43:$D$76,MAX(1,MIN(IFERROR(MATCH(AG97,Tables!$C$43:$C$76,1),1),ROWS(Tables!$C$43:$C$76)-1))))/(INDEX(Tables!$C$43:$C$76,MAX(1,MIN(IFERROR(MATCH(AG97,Tables!$C$43:$C$76,1),1),ROWS(Tables!$C$43:$C$76)-1))+1)-INDEX(Tables!$C$43:$C$76,MAX(1,MIN(IFERROR(MATCH(AG97,Tables!$C$43:$C$76,1),1),ROWS(Tables!$C$43:$C$76)-1))))))</f>
        <v>1.0408461538461538</v>
      </c>
      <c r="AM97" s="181">
        <f>(INDEX(Tables!$B$80:$B$87,MAX(1,MIN(IFERROR(MATCH(AH97,Tables!$A$80:$A$87,1),1),ROWS(Tables!$A$80:$A$87)-1)))+(AH97-INDEX(Tables!$A$80:$A$87,MAX(1,MIN(IFERROR(MATCH(AH97,Tables!$A$80:$A$87,1),1),ROWS(Tables!$A$80:$A$87)-1))))*(INDEX(Tables!$B$80:$B$87,MAX(1,MIN(IFERROR(MATCH(AH97,Tables!$A$80:$A$87,1),1),ROWS(Tables!$A$80:$A$87)-1))+1)-INDEX(Tables!$B$80:$B$87,MAX(1,MIN(IFERROR(MATCH(AH97,Tables!$A$80:$A$87,1),1),ROWS(Tables!$A$80:$A$87)-1))))/(INDEX(Tables!$A$80:$A$87,MAX(1,MIN(IFERROR(MATCH(AH97,Tables!$A$80:$A$87,1),1),ROWS(Tables!$A$80:$A$87)-1))+1)-INDEX(Tables!$A$80:$A$87,MAX(1,MIN(IFERROR(MATCH(AH97,Tables!$A$80:$A$87,1),1),ROWS(Tables!$A$80:$A$87)-1)))))</f>
        <v>0.96739999999999982</v>
      </c>
      <c r="AN97" s="181">
        <f t="shared" si="71"/>
        <v>3298.1766413645291</v>
      </c>
      <c r="AO97" s="181">
        <f>(INDEX(Tables!$B$91:$B$94,MAX(1,MIN(IFERROR(MATCH(P97,Tables!$A$91:$A$94,1),1),ROWS(Tables!$A$91:$A$94)-1)))+(P97-INDEX(Tables!$A$91:$A$94,MAX(1,MIN(IFERROR(MATCH(P97,Tables!$A$91:$A$94,1),1),ROWS(Tables!$A$91:$A$94)-1))))*(INDEX(Tables!$B$91:$B$94,MAX(1,MIN(IFERROR(MATCH(P97,Tables!$A$91:$A$94,1),1),ROWS(Tables!$A$91:$A$94)-1))+1)-INDEX(Tables!$B$91:$B$94,MAX(1,MIN(IFERROR(MATCH(P97,Tables!$A$91:$A$94,1),1),ROWS(Tables!$A$91:$A$94)-1))))/(INDEX(Tables!$A$91:$A$94,MAX(1,MIN(IFERROR(MATCH(P97,Tables!$A$91:$A$94,1),1),ROWS(Tables!$A$91:$A$94)-1))+1)-INDEX(Tables!$A$91:$A$94,MAX(1,MIN(IFERROR(MATCH(P97,Tables!$A$91:$A$94,1),1),ROWS(Tables!$A$91:$A$94)-1)))))</f>
        <v>1.3542682926829268</v>
      </c>
      <c r="AP97" s="181">
        <f>IF(AD97=5000,(INDEX(Tables!$B$99:$B$118,MAX(1,MIN(IFERROR(MATCH(AF97,Tables!$A$99:$A$118,1),1),ROWS(Tables!$A$99:$A$118)-1)))+(AF97-INDEX(Tables!$A$99:$A$118,MAX(1,MIN(IFERROR(MATCH(AF97,Tables!$A$99:$A$118,1),1),ROWS(Tables!$A$99:$A$118)-1))))*(INDEX(Tables!$B$99:$B$118,MAX(1,MIN(IFERROR(MATCH(AF97,Tables!$A$99:$A$118,1),1),ROWS(Tables!$A$99:$A$118)-1))+1)-INDEX(Tables!$B$99:$B$118,MAX(1,MIN(IFERROR(MATCH(AF97,Tables!$A$99:$A$118,1),1),ROWS(Tables!$A$99:$A$118)-1))))/(INDEX(Tables!$A$99:$A$118,MAX(1,MIN(IFERROR(MATCH(AF97,Tables!$A$99:$A$118,1),1),ROWS(Tables!$A$99:$A$118)-1))+1)-INDEX(Tables!$A$99:$A$118,MAX(1,MIN(IFERROR(MATCH(AF97,Tables!$A$99:$A$118,1),1),ROWS(Tables!$A$99:$A$118)-1))))),IF(AD97=10000,(INDEX(Tables!$D$99:$D$118,MAX(1,MIN(IFERROR(MATCH(AF97,Tables!$C$99:$C$118,1),1),ROWS(Tables!$C$99:$C$118)-1)))+(AF97-INDEX(Tables!$C$99:$C$118,MAX(1,MIN(IFERROR(MATCH(AF97,Tables!$C$99:$C$118,1),1),ROWS(Tables!$C$99:$C$118)-1))))*(INDEX(Tables!$D$99:$D$118,MAX(1,MIN(IFERROR(MATCH(AF97,Tables!$C$99:$C$118,1),1),ROWS(Tables!$C$99:$C$118)-1))+1)-INDEX(Tables!$D$99:$D$118,MAX(1,MIN(IFERROR(MATCH(AF97,Tables!$C$99:$C$118,1),1),ROWS(Tables!$C$99:$C$118)-1))))/(INDEX(Tables!$C$99:$C$118,MAX(1,MIN(IFERROR(MATCH(AF97,Tables!$C$99:$C$118,1),1),ROWS(Tables!$C$99:$C$118)-1))+1)-INDEX(Tables!$C$99:$C$118,MAX(1,MIN(IFERROR(MATCH(AF97,Tables!$C$99:$C$118,1),1),ROWS(Tables!$C$99:$C$118)-1))))),(INDEX(Tables!$F$99:$F$118,MAX(1,MIN(IFERROR(MATCH(AF97,Tables!$E$99:$E$118,1),1),ROWS(Tables!$E$99:$E$118)-1)))+(AF97-INDEX(Tables!$E$99:$E$118,MAX(1,MIN(IFERROR(MATCH(AF97,Tables!$E$99:$E$118,1),1),ROWS(Tables!$E$99:$E$118)-1))))*(INDEX(Tables!$F$99:$F$118,MAX(1,MIN(IFERROR(MATCH(AF97,Tables!$E$99:$E$118,1),1),ROWS(Tables!$E$99:$E$118)-1))+1)-INDEX(Tables!$F$99:$F$118,MAX(1,MIN(IFERROR(MATCH(AF97,Tables!$E$99:$E$118,1),1),ROWS(Tables!$E$99:$E$118)-1))))/(INDEX(Tables!$E$99:$E$118,MAX(1,MIN(IFERROR(MATCH(AF97,Tables!$E$99:$E$118,1),1),ROWS(Tables!$E$99:$E$118)-1))+1)-INDEX(Tables!$E$99:$E$118,MAX(1,MIN(IFERROR(MATCH(AF97,Tables!$E$99:$E$118,1),1),ROWS(Tables!$E$99:$E$118)-1)))))))</f>
        <v>17.686755937755937</v>
      </c>
      <c r="AQ97" s="181">
        <f>IF(P97&lt;6,(INDEX(Tables!$B$123:$B$138,MAX(1,MIN(IFERROR(MATCH(U97,Tables!$A$123:$A$138,1),1),ROWS(Tables!$A$123:$A$138)-1)))+(U97-INDEX(Tables!$A$123:$A$138,MAX(1,MIN(IFERROR(MATCH(U97,Tables!$A$123:$A$138,1),1),ROWS(Tables!$A$123:$A$138)-1))))*(INDEX(Tables!$B$123:$B$138,MAX(1,MIN(IFERROR(MATCH(U97,Tables!$A$123:$A$138,1),1),ROWS(Tables!$A$123:$A$138)-1))+1)-INDEX(Tables!$B$123:$B$138,MAX(1,MIN(IFERROR(MATCH(U97,Tables!$A$123:$A$138,1),1),ROWS(Tables!$A$123:$A$138)-1))))/(INDEX(Tables!$A$123:$A$138,MAX(1,MIN(IFERROR(MATCH(U97,Tables!$A$123:$A$138,1),1),ROWS(Tables!$A$123:$A$138)-1))+1)-INDEX(Tables!$A$123:$A$138,MAX(1,MIN(IFERROR(MATCH(U97,Tables!$A$123:$A$138,1),1),ROWS(Tables!$A$123:$A$138)-1))))),IF(P97&lt;8,(INDEX(Tables!$D$123:$D$138,MAX(1,MIN(IFERROR(MATCH(U97,Tables!$C$123:$C$138,1),1),ROWS(Tables!$C$123:$C$138)-1)))+(U97-INDEX(Tables!$C$123:$C$138,MAX(1,MIN(IFERROR(MATCH(U97,Tables!$C$123:$C$138,1),1),ROWS(Tables!$C$123:$C$138)-1))))*(INDEX(Tables!$D$123:$D$138,MAX(1,MIN(IFERROR(MATCH(U97,Tables!$C$123:$C$138,1),1),ROWS(Tables!$C$123:$C$138)-1))+1)-INDEX(Tables!$D$123:$D$138,MAX(1,MIN(IFERROR(MATCH(U97,Tables!$C$123:$C$138,1),1),ROWS(Tables!$C$123:$C$138)-1))))/(INDEX(Tables!$C$123:$C$138,MAX(1,MIN(IFERROR(MATCH(U97,Tables!$C$123:$C$138,1),1),ROWS(Tables!$C$123:$C$138)-1))+1)-INDEX(Tables!$C$123:$C$138,MAX(1,MIN(IFERROR(MATCH(U97,Tables!$C$123:$C$138,1),1),ROWS(Tables!$C$123:$C$138)-1))))),IF(P97&lt;10,(INDEX(Tables!$F$123:$F$138,MAX(1,MIN(IFERROR(MATCH(U97,Tables!$E$123:$E$138,1),1),ROWS(Tables!$E$123:$E$138)-1)))+(U97-INDEX(Tables!$E$123:$E$138,MAX(1,MIN(IFERROR(MATCH(U97,Tables!$E$123:$E$138,1),1),ROWS(Tables!$E$123:$E$138)-1))))*(INDEX(Tables!$F$123:$F$138,MAX(1,MIN(IFERROR(MATCH(U97,Tables!$E$123:$E$138,1),1),ROWS(Tables!$E$123:$E$138)-1))+1)-INDEX(Tables!$F$123:$F$138,MAX(1,MIN(IFERROR(MATCH(U97,Tables!$E$123:$E$138,1),1),ROWS(Tables!$E$123:$E$138)-1))))/(INDEX(Tables!$E$123:$E$138,MAX(1,MIN(IFERROR(MATCH(U97,Tables!$E$123:$E$138,1),1),ROWS(Tables!$E$123:$E$138)-1))+1)-INDEX(Tables!$E$123:$E$138,MAX(1,MIN(IFERROR(MATCH(U97,Tables!$E$123:$E$138,1),1),ROWS(Tables!$E$123:$E$138)-1))))),(INDEX(Tables!$H$123:$H$138,MAX(1,MIN(IFERROR(MATCH(U97,Tables!$G$123:$G$138,1),1),ROWS(Tables!$G$123:$G$138)-1)))+(U97-INDEX(Tables!$G$123:$G$138,MAX(1,MIN(IFERROR(MATCH(U97,Tables!$G$123:$G$138,1),1),ROWS(Tables!$G$123:$G$138)-1))))*(INDEX(Tables!$H$123:$H$138,MAX(1,MIN(IFERROR(MATCH(U97,Tables!$G$123:$G$138,1),1),ROWS(Tables!$G$123:$G$138)-1))+1)-INDEX(Tables!$H$123:$H$138,MAX(1,MIN(IFERROR(MATCH(U97,Tables!$G$123:$G$138,1),1),ROWS(Tables!$G$123:$G$138)-1))))/(INDEX(Tables!$G$123:$G$138,MAX(1,MIN(IFERROR(MATCH(U97,Tables!$G$123:$G$138,1),1),ROWS(Tables!$G$123:$G$138)-1))+1)-INDEX(Tables!$G$123:$G$138,MAX(1,MIN(IFERROR(MATCH(U97,Tables!$G$123:$G$138,1),1),ROWS(Tables!$G$123:$G$138)-1))))))))</f>
        <v>0.57750000000000001</v>
      </c>
      <c r="AR97" s="181">
        <f>IF(OR(P97&gt;=4,U97&gt;12),VLOOKUP(R97&amp;" "&amp;S97,Tables!$D$143:$F$148,2,FALSE),VLOOKUP(R97&amp;" "&amp;S97,Tables!$A$143:$C$148,2,FALSE))</f>
        <v>0.9</v>
      </c>
      <c r="AS97" s="181">
        <f>IF(OR(P97&gt;=4,U97&gt;12),VLOOKUP(R97&amp;" "&amp;S97,Tables!$D$143:$F$148,3,FALSE),VLOOKUP(R97&amp;" "&amp;S97,Tables!$A$143:$C$148,3,FALSE))</f>
        <v>0.65</v>
      </c>
      <c r="AT97" s="181">
        <f t="shared" si="72"/>
        <v>674.34090130381719</v>
      </c>
      <c r="AU97" s="181">
        <f>IF(AD97=5000,(INDEX(Tables!$B$244:$B$263,MAX(1,MIN(IFERROR(MATCH(AF97,Tables!$A$244:$A$263,1),1),ROWS(Tables!$A$244:$A$263)-1)))+(AF97-INDEX(Tables!$A$244:$A$263,MAX(1,MIN(IFERROR(MATCH(AF97,Tables!$A$244:$A$263,1),1),ROWS(Tables!$A$244:$A$263)-1))))*(INDEX(Tables!$B$244:$B$263,MAX(1,MIN(IFERROR(MATCH(AF97,Tables!$A$244:$A$263,1),1),ROWS(Tables!$A$244:$A$263)-1))+1)-INDEX(Tables!$B$244:$B$263,MAX(1,MIN(IFERROR(MATCH(AF97,Tables!$A$244:$A$263,1),1),ROWS(Tables!$A$244:$A$263)-1))))/(INDEX(Tables!$A$244:$A$263,MAX(1,MIN(IFERROR(MATCH(AF97,Tables!$A$244:$A$263,1),1),ROWS(Tables!$A$244:$A$263)-1))+1)-INDEX(Tables!$A$244:$A$263,MAX(1,MIN(IFERROR(MATCH(AF97,Tables!$A$244:$A$263,1),1),ROWS(Tables!$A$244:$A$263)-1))))),IF(AD97=10000,(INDEX(Tables!$D$244:$D$263,MAX(1,MIN(IFERROR(MATCH(AF97,Tables!$C$244:$C$263,1),1),ROWS(Tables!$C$244:$C$263)-1)))+(AF97-INDEX(Tables!$C$244:$C$263,MAX(1,MIN(IFERROR(MATCH(AF97,Tables!$C$244:$C$263,1),1),ROWS(Tables!$C$244:$C$263)-1))))*(INDEX(Tables!$D$244:$D$263,MAX(1,MIN(IFERROR(MATCH(AF97,Tables!$C$244:$C$263,1),1),ROWS(Tables!$C$244:$C$263)-1))+1)-INDEX(Tables!$D$244:$D$263,MAX(1,MIN(IFERROR(MATCH(AF97,Tables!$C$244:$C$263,1),1),ROWS(Tables!$C$244:$C$263)-1))))/(INDEX(Tables!$C$244:$C$263,MAX(1,MIN(IFERROR(MATCH(AF97,Tables!$C$244:$C$263,1),1),ROWS(Tables!$C$244:$C$263)-1))+1)-INDEX(Tables!$C$244:$C$263,MAX(1,MIN(IFERROR(MATCH(AF97,Tables!$C$244:$C$263,1),1),ROWS(Tables!$C$244:$C$263)-1))))),(INDEX(Tables!$F$244:$F$263,MAX(1,MIN(IFERROR(MATCH(AF97,Tables!$E$244:$E$263,1),1),ROWS(Tables!$E$244:$E$263)-1)))+(AF97-INDEX(Tables!$E$244:$E$263,MAX(1,MIN(IFERROR(MATCH(AF97,Tables!$E$244:$E$263,1),1),ROWS(Tables!$E$244:$E$263)-1))))*(INDEX(Tables!$F$244:$F$263,MAX(1,MIN(IFERROR(MATCH(AF97,Tables!$E$244:$E$263,1),1),ROWS(Tables!$E$244:$E$263)-1))+1)-INDEX(Tables!$F$244:$F$263,MAX(1,MIN(IFERROR(MATCH(AF97,Tables!$E$244:$E$263,1),1),ROWS(Tables!$E$244:$E$263)-1))))/(INDEX(Tables!$E$244:$E$263,MAX(1,MIN(IFERROR(MATCH(AF97,Tables!$E$244:$E$263,1),1),ROWS(Tables!$E$244:$E$263)-1))+1)-INDEX(Tables!$E$244:$E$263,MAX(1,MIN(IFERROR(MATCH(AF97,Tables!$E$244:$E$263,1),1),ROWS(Tables!$E$244:$E$263)-1)))))))</f>
        <v>13.628550000000001</v>
      </c>
      <c r="AV97" s="181">
        <f>IF(P97&lt;6,(INDEX(Tables!$B$260:$B$274,MAX(1,MIN(IFERROR(MATCH(U97,Tables!$A$260:$A$274,1),1),ROWS(Tables!$A$260:$A$274)-1)))+(U97-INDEX(Tables!$A$260:$A$274,MAX(1,MIN(IFERROR(MATCH(U97,Tables!$A$260:$A$274,1),1),ROWS(Tables!$A$260:$A$274)-1))))*(INDEX(Tables!$B$260:$B$274,MAX(1,MIN(IFERROR(MATCH(U97,Tables!$A$260:$A$274,1),1),ROWS(Tables!$A$260:$A$274)-1))+1)-INDEX(Tables!$B$260:$B$274,MAX(1,MIN(IFERROR(MATCH(U97,Tables!$A$260:$A$274,1),1),ROWS(Tables!$A$260:$A$274)-1))))/(INDEX(Tables!$A$260:$A$274,MAX(1,MIN(IFERROR(MATCH(U97,Tables!$A$260:$A$274,1),1),ROWS(Tables!$A$260:$A$274)-1))+1)-INDEX(Tables!$A$260:$A$274,MAX(1,MIN(IFERROR(MATCH(U97,Tables!$A$260:$A$274,1),1),ROWS(Tables!$A$260:$A$274)-1))))),IF(P97&lt;8,(INDEX(Tables!$D$260:$D$274,MAX(1,MIN(IFERROR(MATCH(U97,Tables!$C$260:$C$274,1),1),ROWS(Tables!$C$260:$C$274)-1)))+(U97-INDEX(Tables!$C$260:$C$274,MAX(1,MIN(IFERROR(MATCH(U97,Tables!$C$260:$C$274,1),1),ROWS(Tables!$C$260:$C$274)-1))))*(INDEX(Tables!$D$260:$D$274,MAX(1,MIN(IFERROR(MATCH(U97,Tables!$C$260:$C$274,1),1),ROWS(Tables!$C$260:$C$274)-1))+1)-INDEX(Tables!$D$260:$D$274,MAX(1,MIN(IFERROR(MATCH(U97,Tables!$C$260:$C$274,1),1),ROWS(Tables!$C$260:$C$274)-1))))/(INDEX(Tables!$C$260:$C$274,MAX(1,MIN(IFERROR(MATCH(U97,Tables!$C$260:$C$274,1),1),ROWS(Tables!$C$260:$C$274)-1))+1)-INDEX(Tables!$C$260:$C$274,MAX(1,MIN(IFERROR(MATCH(U97,Tables!$C$260:$C$274,1),1),ROWS(Tables!$C$260:$C$274)-1))))),IF(P97&lt;10,(INDEX(Tables!$F$260:$F$274,MAX(1,MIN(IFERROR(MATCH(U97,Tables!$E$260:$E$274,1),1),ROWS(Tables!$E$260:$E$274)-1)))+(U97-INDEX(Tables!$E$260:$E$274,MAX(1,MIN(IFERROR(MATCH(U97,Tables!$E$260:$E$274,1),1),ROWS(Tables!$E$260:$E$274)-1))))*(INDEX(Tables!$F$260:$F$274,MAX(1,MIN(IFERROR(MATCH(U97,Tables!$E$260:$E$274,1),1),ROWS(Tables!$E$260:$E$274)-1))+1)-INDEX(Tables!$F$260:$F$274,MAX(1,MIN(IFERROR(MATCH(U97,Tables!$E$260:$E$274,1),1),ROWS(Tables!$E$260:$E$274)-1))))/(INDEX(Tables!$E$260:$E$274,MAX(1,MIN(IFERROR(MATCH(U97,Tables!$E$260:$E$274,1),1),ROWS(Tables!$E$260:$E$274)-1))+1)-INDEX(Tables!$E$260:$E$274,MAX(1,MIN(IFERROR(MATCH(U97,Tables!$E$260:$E$274,1),1),ROWS(Tables!$E$260:$E$274)-1))))),(INDEX(Tables!$H$260:$H$274,MAX(1,MIN(IFERROR(MATCH(U97,Tables!$G$260:$G$274,1),1),ROWS(Tables!$G$260:$G$274)-1)))+(U97-INDEX(Tables!$G$260:$G$274,MAX(1,MIN(IFERROR(MATCH(U97,Tables!$G$260:$G$274,1),1),ROWS(Tables!$G$260:$G$274)-1))))*(INDEX(Tables!$H$260:$H$274,MAX(1,MIN(IFERROR(MATCH(U97,Tables!$G$260:$G$274,1),1),ROWS(Tables!$G$260:$G$274)-1))+1)-INDEX(Tables!$H$260:$H$274,MAX(1,MIN(IFERROR(MATCH(U97,Tables!$G$260:$G$274,1),1),ROWS(Tables!$G$260:$G$274)-1))))/(INDEX(Tables!$G$260:$G$274,MAX(1,MIN(IFERROR(MATCH(U97,Tables!$G$260:$G$274,1),1),ROWS(Tables!$G$260:$G$274)-1))+1)-INDEX(Tables!$G$260:$G$274,MAX(1,MIN(IFERROR(MATCH(U97,Tables!$G$260:$G$274,1),1),ROWS(Tables!$G$260:$G$274)-1))))))))</f>
        <v>0.64533333333333331</v>
      </c>
      <c r="AW97" s="181">
        <f t="shared" si="73"/>
        <v>580.64819539207303</v>
      </c>
      <c r="AX97" s="181">
        <f t="shared" si="74"/>
        <v>125113.8790035587</v>
      </c>
      <c r="AY97" s="181">
        <f t="shared" si="75"/>
        <v>129086.39654622704</v>
      </c>
      <c r="AZ97" s="181">
        <f t="shared" si="76"/>
        <v>39104.264888869038</v>
      </c>
      <c r="BA97" s="181">
        <f t="shared" si="77"/>
        <v>-6000</v>
      </c>
      <c r="BB97" s="181">
        <f t="shared" si="78"/>
        <v>119120.76489976858</v>
      </c>
      <c r="BC97" s="181">
        <f t="shared" si="79"/>
        <v>46800</v>
      </c>
      <c r="BD97" s="181">
        <f>VLOOKUP(V97&amp;" "&amp;J97,Tables!$A$152:$E$239,4,FALSE)</f>
        <v>12000</v>
      </c>
      <c r="BE97" s="181">
        <f>VLOOKUP(V97&amp;" "&amp;J97,Tables!$A$152:$E$239,5,FALSE)</f>
        <v>23000</v>
      </c>
      <c r="BF97" s="181">
        <f t="shared" si="80"/>
        <v>8640</v>
      </c>
      <c r="BG97" s="181">
        <f t="shared" si="81"/>
        <v>16560</v>
      </c>
      <c r="BH97" s="181">
        <f t="shared" si="82"/>
        <v>128113.8790035587</v>
      </c>
      <c r="BI97" s="181">
        <f t="shared" si="83"/>
        <v>46800</v>
      </c>
      <c r="BJ97" s="181">
        <f t="shared" si="84"/>
        <v>119120.76489976858</v>
      </c>
      <c r="BK97" s="181">
        <f t="shared" si="85"/>
        <v>46800</v>
      </c>
      <c r="BL97" s="181">
        <f t="shared" si="86"/>
        <v>580.64819539207303</v>
      </c>
      <c r="BM97" s="181">
        <f t="shared" si="87"/>
        <v>8640</v>
      </c>
      <c r="BN97" s="181">
        <f t="shared" si="88"/>
        <v>674.34090130381719</v>
      </c>
      <c r="BO97" s="181">
        <f t="shared" si="89"/>
        <v>16560</v>
      </c>
      <c r="BP97" t="str">
        <f t="shared" si="90"/>
        <v>Fail</v>
      </c>
      <c r="BQ97" t="str">
        <f t="shared" si="91"/>
        <v>Fail</v>
      </c>
      <c r="BR97" t="str">
        <f t="shared" si="92"/>
        <v>Pass</v>
      </c>
      <c r="BS97" t="str">
        <f t="shared" si="93"/>
        <v>Pass</v>
      </c>
      <c r="BT97" t="str">
        <f t="shared" si="94"/>
        <v>Fail</v>
      </c>
      <c r="BU97" t="str">
        <f t="shared" si="95"/>
        <v>Barlow Stress</v>
      </c>
    </row>
    <row r="98" spans="1:73">
      <c r="A98" t="s">
        <v>690</v>
      </c>
      <c r="B98" s="181">
        <v>96</v>
      </c>
      <c r="C98" t="s">
        <v>594</v>
      </c>
      <c r="D98" s="181">
        <v>36</v>
      </c>
      <c r="E98" s="181">
        <v>0.5</v>
      </c>
      <c r="F98" t="s">
        <v>117</v>
      </c>
      <c r="G98" t="s">
        <v>119</v>
      </c>
      <c r="H98" t="s">
        <v>122</v>
      </c>
      <c r="I98" s="181">
        <v>1</v>
      </c>
      <c r="J98" t="s">
        <v>126</v>
      </c>
      <c r="K98" t="s">
        <v>129</v>
      </c>
      <c r="L98" s="181">
        <v>70</v>
      </c>
      <c r="M98" s="181">
        <v>-14.73</v>
      </c>
      <c r="N98" t="s">
        <v>389</v>
      </c>
      <c r="O98" s="181">
        <v>120</v>
      </c>
      <c r="P98" s="181">
        <v>14</v>
      </c>
      <c r="Q98" s="181">
        <v>38</v>
      </c>
      <c r="R98" t="s">
        <v>418</v>
      </c>
      <c r="S98" t="s">
        <v>420</v>
      </c>
      <c r="T98" s="181">
        <v>70</v>
      </c>
      <c r="U98" s="181">
        <f>HLOOKUP(D98,'Highway Loading'!$C$155:$AD$156,2,FALSE)</f>
        <v>36</v>
      </c>
      <c r="V98" s="181">
        <f>IF(ISBLANK(G98),"",INDEX('Highway Loading'!$C$216:$AG$216,1,MATCH(G98,'Highway Loading'!$C$215:$AG$215,0)))</f>
        <v>65000</v>
      </c>
      <c r="W98" s="181">
        <f>INDEX('Highway Loading'!$I$245:$L$253,MATCH(H98,'Highway Loading'!$H$245:$H$253,0),MATCH(I98,'Highway Loading'!$I$244:$L$244,0))</f>
        <v>0.72</v>
      </c>
      <c r="X98" s="181">
        <f t="shared" ref="X98:X129" si="96">IF(ISBLANK(J98),"",IF(OR(J98="SEAMLESS",J98="ELECTRIC RESISTANCE WELDED",J98="SUBMERGED ARC WELDED",J98="COMBINATION WELDED"),1,IF(J98="FURNACE BUTT WELDED",0.6,IF(J98="ELECTRIC FUSION WELDED, EVEN CLASS",1,IF(J98="ELECTRIC FUSION WELDED, ODD CLASS",0.8,IF(U98&gt;4.5,0.8,0.6))))))</f>
        <v>1</v>
      </c>
      <c r="Y98" s="181">
        <f>VLOOKUP(K98,'Highway Loading'!$B$283:$E$292,2,FALSE)</f>
        <v>29000000</v>
      </c>
      <c r="Z98" s="181">
        <f>VLOOKUP(K98,'Highway Loading'!$B$283:$E$292,3,FALSE)</f>
        <v>0.3</v>
      </c>
      <c r="AA98" s="181">
        <f>VLOOKUP(K98,'Highway Loading'!$B$283:$E$292,4,FALSE)</f>
        <v>6.4999999999999996E-6</v>
      </c>
      <c r="AB98" s="181">
        <f t="shared" ref="AB98:AB129" si="97">IF(L98&gt;250,1-(1/30/50*(L98-250)),1)</f>
        <v>1</v>
      </c>
      <c r="AC98" s="181">
        <f>VLOOKUP(N98,'Highway Loading'!$B$256:$D$261,2,FALSE)</f>
        <v>500</v>
      </c>
      <c r="AD98" s="181">
        <f>VLOOKUP(N98,'Highway Loading'!$B$256:$D$261,3,FALSE)</f>
        <v>5000</v>
      </c>
      <c r="AE98" s="181">
        <f>VLOOKUP(S98,'Highway Loading'!$B$340:$C$341,2,FALSE)</f>
        <v>12000</v>
      </c>
      <c r="AF98" s="181">
        <f t="shared" ref="AF98:AF129" si="98">E98/U98</f>
        <v>1.3888888888888888E-2</v>
      </c>
      <c r="AG98" s="181">
        <f t="shared" ref="AG98:AG129" si="99">P98*12/Q98</f>
        <v>4.4210526315789478</v>
      </c>
      <c r="AH98" s="181">
        <f t="shared" ref="AH98:AH129" si="100">Q98/U98</f>
        <v>1.0555555555555556</v>
      </c>
      <c r="AI98" s="181">
        <f t="shared" ref="AI98:AI129" si="101">M98*U98/(2*E98)</f>
        <v>-530.28</v>
      </c>
      <c r="AJ98" s="181">
        <f t="shared" ref="AJ98:AJ129" si="102">W98*X98*AB98*V98</f>
        <v>46800</v>
      </c>
      <c r="AK98" s="181">
        <f>IF(AC98=200,(INDEX(Tables!$B$17:$B$38,MAX(1,MIN(IFERROR(MATCH(AF98,Tables!$A$17:$A$38,1),1),ROWS(Tables!$A$17:$A$38)-1)))+(AF98-INDEX(Tables!$A$17:$A$38,MAX(1,MIN(IFERROR(MATCH(AF98,Tables!$A$17:$A$38,1),1),ROWS(Tables!$A$17:$A$38)-1))))*(INDEX(Tables!$B$17:$B$38,MAX(1,MIN(IFERROR(MATCH(AF98,Tables!$A$17:$A$38,1),1),ROWS(Tables!$A$17:$A$38)-1))+1)-INDEX(Tables!$B$17:$B$38,MAX(1,MIN(IFERROR(MATCH(AF98,Tables!$A$17:$A$38,1),1),ROWS(Tables!$A$17:$A$38)-1))))/(INDEX(Tables!$A$17:$A$38,MAX(1,MIN(IFERROR(MATCH(AF98,Tables!$A$17:$A$38,1),1),ROWS(Tables!$A$17:$A$38)-1))+1)-INDEX(Tables!$A$17:$A$38,MAX(1,MIN(IFERROR(MATCH(AF98,Tables!$A$17:$A$38,1),1),ROWS(Tables!$A$17:$A$38)-1))))),IF(AC98=500,(INDEX(Tables!$D$17:$D$38,MAX(1,MIN(IFERROR(MATCH(AF98,Tables!$C$17:$C$38,1),1),ROWS(Tables!$C$17:$C$38)-1)))+(AF98-INDEX(Tables!$C$17:$C$38,MAX(1,MIN(IFERROR(MATCH(AF98,Tables!$C$17:$C$38,1),1),ROWS(Tables!$C$17:$C$38)-1))))*(INDEX(Tables!$D$17:$D$38,MAX(1,MIN(IFERROR(MATCH(AF98,Tables!$C$17:$C$38,1),1),ROWS(Tables!$C$17:$C$38)-1))+1)-INDEX(Tables!$D$17:$D$38,MAX(1,MIN(IFERROR(MATCH(AF98,Tables!$C$17:$C$38,1),1),ROWS(Tables!$C$17:$C$38)-1))))/(INDEX(Tables!$C$17:$C$38,MAX(1,MIN(IFERROR(MATCH(AF98,Tables!$C$17:$C$38,1),1),ROWS(Tables!$C$17:$C$38)-1))+1)-INDEX(Tables!$C$17:$C$38,MAX(1,MIN(IFERROR(MATCH(AF98,Tables!$C$17:$C$38,1),1),ROWS(Tables!$C$17:$C$38)-1))))),IF(AC98=1000,(INDEX(Tables!$F$17:$F$38,MAX(1,MIN(IFERROR(MATCH(AF98,Tables!$E$17:$E$38,1),1),ROWS(Tables!$E$17:$E$38)-1)))+(AF98-INDEX(Tables!$E$17:$E$38,MAX(1,MIN(IFERROR(MATCH(AF98,Tables!$E$17:$E$38,1),1),ROWS(Tables!$E$17:$E$38)-1))))*(INDEX(Tables!$F$17:$F$38,MAX(1,MIN(IFERROR(MATCH(AF98,Tables!$E$17:$E$38,1),1),ROWS(Tables!$E$17:$E$38)-1))+1)-INDEX(Tables!$F$17:$F$38,MAX(1,MIN(IFERROR(MATCH(AF98,Tables!$E$17:$E$38,1),1),ROWS(Tables!$E$17:$E$38)-1))))/(INDEX(Tables!$E$17:$E$38,MAX(1,MIN(IFERROR(MATCH(AF98,Tables!$E$17:$E$38,1),1),ROWS(Tables!$E$17:$E$38)-1))+1)-INDEX(Tables!$E$17:$E$38,MAX(1,MIN(IFERROR(MATCH(AF98,Tables!$E$17:$E$38,1),1),ROWS(Tables!$E$17:$E$38)-1))))),(INDEX(Tables!$H$17:$H$38,MAX(1,MIN(IFERROR(MATCH(AF98,Tables!$G$17:$G$38,1),1),ROWS(Tables!$G$17:$G$38)-1)))+(AF98-INDEX(Tables!$G$17:$G$38,MAX(1,MIN(IFERROR(MATCH(AF98,Tables!$G$17:$G$38,1),1),ROWS(Tables!$G$17:$G$38)-1))))*(INDEX(Tables!$H$17:$H$38,MAX(1,MIN(IFERROR(MATCH(AF98,Tables!$G$17:$G$38,1),1),ROWS(Tables!$G$17:$G$38)-1))+1)-INDEX(Tables!$H$17:$H$38,MAX(1,MIN(IFERROR(MATCH(AF98,Tables!$G$17:$G$38,1),1),ROWS(Tables!$G$17:$G$38)-1))))/(INDEX(Tables!$G$17:$G$38,MAX(1,MIN(IFERROR(MATCH(AF98,Tables!$G$17:$G$38,1),1),ROWS(Tables!$G$17:$G$38)-1))+1)-INDEX(Tables!$G$17:$G$38,MAX(1,MIN(IFERROR(MATCH(AF98,Tables!$G$17:$G$38,1),1),ROWS(Tables!$G$17:$G$38)-1))))))))</f>
        <v>4780.1111111111113</v>
      </c>
      <c r="AL98" s="181">
        <f>IF(AC98&lt;1000,(INDEX(Tables!$B$43:$B$76,MAX(1,MIN(IFERROR(MATCH(AG98,Tables!$A$43:$A$76,1),1),ROWS(Tables!$A$43:$A$76)-1)))+(AG98-INDEX(Tables!$A$43:$A$76,MAX(1,MIN(IFERROR(MATCH(AG98,Tables!$A$43:$A$76,1),1),ROWS(Tables!$A$43:$A$76)-1))))*(INDEX(Tables!$B$43:$B$76,MAX(1,MIN(IFERROR(MATCH(AG98,Tables!$A$43:$A$76,1),1),ROWS(Tables!$A$43:$A$76)-1))+1)-INDEX(Tables!$B$43:$B$76,MAX(1,MIN(IFERROR(MATCH(AG98,Tables!$A$43:$A$76,1),1),ROWS(Tables!$A$43:$A$76)-1))))/(INDEX(Tables!$A$43:$A$76,MAX(1,MIN(IFERROR(MATCH(AG98,Tables!$A$43:$A$76,1),1),ROWS(Tables!$A$43:$A$76)-1))+1)-INDEX(Tables!$A$43:$A$76,MAX(1,MIN(IFERROR(MATCH(AG98,Tables!$A$43:$A$76,1),1),ROWS(Tables!$A$43:$A$76)-1))))),(INDEX(Tables!$D$43:$D$76,MAX(1,MIN(IFERROR(MATCH(AG98,Tables!$C$43:$C$76,1),1),ROWS(Tables!$C$43:$C$76)-1)))+(AG98-INDEX(Tables!$C$43:$C$76,MAX(1,MIN(IFERROR(MATCH(AG98,Tables!$C$43:$C$76,1),1),ROWS(Tables!$C$43:$C$76)-1))))*(INDEX(Tables!$D$43:$D$76,MAX(1,MIN(IFERROR(MATCH(AG98,Tables!$C$43:$C$76,1),1),ROWS(Tables!$C$43:$C$76)-1))+1)-INDEX(Tables!$D$43:$D$76,MAX(1,MIN(IFERROR(MATCH(AG98,Tables!$C$43:$C$76,1),1),ROWS(Tables!$C$43:$C$76)-1))))/(INDEX(Tables!$C$43:$C$76,MAX(1,MIN(IFERROR(MATCH(AG98,Tables!$C$43:$C$76,1),1),ROWS(Tables!$C$43:$C$76)-1))+1)-INDEX(Tables!$C$43:$C$76,MAX(1,MIN(IFERROR(MATCH(AG98,Tables!$C$43:$C$76,1),1),ROWS(Tables!$C$43:$C$76)-1))))))</f>
        <v>1.022578947368421</v>
      </c>
      <c r="AM98" s="181">
        <f>(INDEX(Tables!$B$80:$B$87,MAX(1,MIN(IFERROR(MATCH(AH98,Tables!$A$80:$A$87,1),1),ROWS(Tables!$A$80:$A$87)-1)))+(AH98-INDEX(Tables!$A$80:$A$87,MAX(1,MIN(IFERROR(MATCH(AH98,Tables!$A$80:$A$87,1),1),ROWS(Tables!$A$80:$A$87)-1))))*(INDEX(Tables!$B$80:$B$87,MAX(1,MIN(IFERROR(MATCH(AH98,Tables!$A$80:$A$87,1),1),ROWS(Tables!$A$80:$A$87)-1))+1)-INDEX(Tables!$B$80:$B$87,MAX(1,MIN(IFERROR(MATCH(AH98,Tables!$A$80:$A$87,1),1),ROWS(Tables!$A$80:$A$87)-1))))/(INDEX(Tables!$A$80:$A$87,MAX(1,MIN(IFERROR(MATCH(AH98,Tables!$A$80:$A$87,1),1),ROWS(Tables!$A$80:$A$87)-1))+1)-INDEX(Tables!$A$80:$A$87,MAX(1,MIN(IFERROR(MATCH(AH98,Tables!$A$80:$A$87,1),1),ROWS(Tables!$A$80:$A$87)-1)))))</f>
        <v>0.91873333333333329</v>
      </c>
      <c r="AN98" s="181">
        <f t="shared" ref="AN98:AN129" si="103">AK98*AL98*AM98*(O98/(12^3))*U98</f>
        <v>11227.015476636454</v>
      </c>
      <c r="AO98" s="181">
        <f>(INDEX(Tables!$B$91:$B$94,MAX(1,MIN(IFERROR(MATCH(P98,Tables!$A$91:$A$94,1),1),ROWS(Tables!$A$91:$A$94)-1)))+(P98-INDEX(Tables!$A$91:$A$94,MAX(1,MIN(IFERROR(MATCH(P98,Tables!$A$91:$A$94,1),1),ROWS(Tables!$A$91:$A$94)-1))))*(INDEX(Tables!$B$91:$B$94,MAX(1,MIN(IFERROR(MATCH(P98,Tables!$A$91:$A$94,1),1),ROWS(Tables!$A$91:$A$94)-1))+1)-INDEX(Tables!$B$91:$B$94,MAX(1,MIN(IFERROR(MATCH(P98,Tables!$A$91:$A$94,1),1),ROWS(Tables!$A$91:$A$94)-1))))/(INDEX(Tables!$A$91:$A$94,MAX(1,MIN(IFERROR(MATCH(P98,Tables!$A$91:$A$94,1),1),ROWS(Tables!$A$91:$A$94)-1))+1)-INDEX(Tables!$A$91:$A$94,MAX(1,MIN(IFERROR(MATCH(P98,Tables!$A$91:$A$94,1),1),ROWS(Tables!$A$91:$A$94)-1)))))</f>
        <v>1.2323170731707318</v>
      </c>
      <c r="AP98" s="181">
        <f>IF(AD98=5000,(INDEX(Tables!$B$99:$B$118,MAX(1,MIN(IFERROR(MATCH(AF98,Tables!$A$99:$A$118,1),1),ROWS(Tables!$A$99:$A$118)-1)))+(AF98-INDEX(Tables!$A$99:$A$118,MAX(1,MIN(IFERROR(MATCH(AF98,Tables!$A$99:$A$118,1),1),ROWS(Tables!$A$99:$A$118)-1))))*(INDEX(Tables!$B$99:$B$118,MAX(1,MIN(IFERROR(MATCH(AF98,Tables!$A$99:$A$118,1),1),ROWS(Tables!$A$99:$A$118)-1))+1)-INDEX(Tables!$B$99:$B$118,MAX(1,MIN(IFERROR(MATCH(AF98,Tables!$A$99:$A$118,1),1),ROWS(Tables!$A$99:$A$118)-1))))/(INDEX(Tables!$A$99:$A$118,MAX(1,MIN(IFERROR(MATCH(AF98,Tables!$A$99:$A$118,1),1),ROWS(Tables!$A$99:$A$118)-1))+1)-INDEX(Tables!$A$99:$A$118,MAX(1,MIN(IFERROR(MATCH(AF98,Tables!$A$99:$A$118,1),1),ROWS(Tables!$A$99:$A$118)-1))))),IF(AD98=10000,(INDEX(Tables!$D$99:$D$118,MAX(1,MIN(IFERROR(MATCH(AF98,Tables!$C$99:$C$118,1),1),ROWS(Tables!$C$99:$C$118)-1)))+(AF98-INDEX(Tables!$C$99:$C$118,MAX(1,MIN(IFERROR(MATCH(AF98,Tables!$C$99:$C$118,1),1),ROWS(Tables!$C$99:$C$118)-1))))*(INDEX(Tables!$D$99:$D$118,MAX(1,MIN(IFERROR(MATCH(AF98,Tables!$C$99:$C$118,1),1),ROWS(Tables!$C$99:$C$118)-1))+1)-INDEX(Tables!$D$99:$D$118,MAX(1,MIN(IFERROR(MATCH(AF98,Tables!$C$99:$C$118,1),1),ROWS(Tables!$C$99:$C$118)-1))))/(INDEX(Tables!$C$99:$C$118,MAX(1,MIN(IFERROR(MATCH(AF98,Tables!$C$99:$C$118,1),1),ROWS(Tables!$C$99:$C$118)-1))+1)-INDEX(Tables!$C$99:$C$118,MAX(1,MIN(IFERROR(MATCH(AF98,Tables!$C$99:$C$118,1),1),ROWS(Tables!$C$99:$C$118)-1))))),(INDEX(Tables!$F$99:$F$118,MAX(1,MIN(IFERROR(MATCH(AF98,Tables!$E$99:$E$118,1),1),ROWS(Tables!$E$99:$E$118)-1)))+(AF98-INDEX(Tables!$E$99:$E$118,MAX(1,MIN(IFERROR(MATCH(AF98,Tables!$E$99:$E$118,1),1),ROWS(Tables!$E$99:$E$118)-1))))*(INDEX(Tables!$F$99:$F$118,MAX(1,MIN(IFERROR(MATCH(AF98,Tables!$E$99:$E$118,1),1),ROWS(Tables!$E$99:$E$118)-1))+1)-INDEX(Tables!$F$99:$F$118,MAX(1,MIN(IFERROR(MATCH(AF98,Tables!$E$99:$E$118,1),1),ROWS(Tables!$E$99:$E$118)-1))))/(INDEX(Tables!$E$99:$E$118,MAX(1,MIN(IFERROR(MATCH(AF98,Tables!$E$99:$E$118,1),1),ROWS(Tables!$E$99:$E$118)-1))+1)-INDEX(Tables!$E$99:$E$118,MAX(1,MIN(IFERROR(MATCH(AF98,Tables!$E$99:$E$118,1),1),ROWS(Tables!$E$99:$E$118)-1)))))))</f>
        <v>20.667621129326047</v>
      </c>
      <c r="AQ98" s="181">
        <f>IF(P98&lt;6,(INDEX(Tables!$B$123:$B$138,MAX(1,MIN(IFERROR(MATCH(U98,Tables!$A$123:$A$138,1),1),ROWS(Tables!$A$123:$A$138)-1)))+(U98-INDEX(Tables!$A$123:$A$138,MAX(1,MIN(IFERROR(MATCH(U98,Tables!$A$123:$A$138,1),1),ROWS(Tables!$A$123:$A$138)-1))))*(INDEX(Tables!$B$123:$B$138,MAX(1,MIN(IFERROR(MATCH(U98,Tables!$A$123:$A$138,1),1),ROWS(Tables!$A$123:$A$138)-1))+1)-INDEX(Tables!$B$123:$B$138,MAX(1,MIN(IFERROR(MATCH(U98,Tables!$A$123:$A$138,1),1),ROWS(Tables!$A$123:$A$138)-1))))/(INDEX(Tables!$A$123:$A$138,MAX(1,MIN(IFERROR(MATCH(U98,Tables!$A$123:$A$138,1),1),ROWS(Tables!$A$123:$A$138)-1))+1)-INDEX(Tables!$A$123:$A$138,MAX(1,MIN(IFERROR(MATCH(U98,Tables!$A$123:$A$138,1),1),ROWS(Tables!$A$123:$A$138)-1))))),IF(P98&lt;8,(INDEX(Tables!$D$123:$D$138,MAX(1,MIN(IFERROR(MATCH(U98,Tables!$C$123:$C$138,1),1),ROWS(Tables!$C$123:$C$138)-1)))+(U98-INDEX(Tables!$C$123:$C$138,MAX(1,MIN(IFERROR(MATCH(U98,Tables!$C$123:$C$138,1),1),ROWS(Tables!$C$123:$C$138)-1))))*(INDEX(Tables!$D$123:$D$138,MAX(1,MIN(IFERROR(MATCH(U98,Tables!$C$123:$C$138,1),1),ROWS(Tables!$C$123:$C$138)-1))+1)-INDEX(Tables!$D$123:$D$138,MAX(1,MIN(IFERROR(MATCH(U98,Tables!$C$123:$C$138,1),1),ROWS(Tables!$C$123:$C$138)-1))))/(INDEX(Tables!$C$123:$C$138,MAX(1,MIN(IFERROR(MATCH(U98,Tables!$C$123:$C$138,1),1),ROWS(Tables!$C$123:$C$138)-1))+1)-INDEX(Tables!$C$123:$C$138,MAX(1,MIN(IFERROR(MATCH(U98,Tables!$C$123:$C$138,1),1),ROWS(Tables!$C$123:$C$138)-1))))),IF(P98&lt;10,(INDEX(Tables!$F$123:$F$138,MAX(1,MIN(IFERROR(MATCH(U98,Tables!$E$123:$E$138,1),1),ROWS(Tables!$E$123:$E$138)-1)))+(U98-INDEX(Tables!$E$123:$E$138,MAX(1,MIN(IFERROR(MATCH(U98,Tables!$E$123:$E$138,1),1),ROWS(Tables!$E$123:$E$138)-1))))*(INDEX(Tables!$F$123:$F$138,MAX(1,MIN(IFERROR(MATCH(U98,Tables!$E$123:$E$138,1),1),ROWS(Tables!$E$123:$E$138)-1))+1)-INDEX(Tables!$F$123:$F$138,MAX(1,MIN(IFERROR(MATCH(U98,Tables!$E$123:$E$138,1),1),ROWS(Tables!$E$123:$E$138)-1))))/(INDEX(Tables!$E$123:$E$138,MAX(1,MIN(IFERROR(MATCH(U98,Tables!$E$123:$E$138,1),1),ROWS(Tables!$E$123:$E$138)-1))+1)-INDEX(Tables!$E$123:$E$138,MAX(1,MIN(IFERROR(MATCH(U98,Tables!$E$123:$E$138,1),1),ROWS(Tables!$E$123:$E$138)-1))))),(INDEX(Tables!$H$123:$H$138,MAX(1,MIN(IFERROR(MATCH(U98,Tables!$G$123:$G$138,1),1),ROWS(Tables!$G$123:$G$138)-1)))+(U98-INDEX(Tables!$G$123:$G$138,MAX(1,MIN(IFERROR(MATCH(U98,Tables!$G$123:$G$138,1),1),ROWS(Tables!$G$123:$G$138)-1))))*(INDEX(Tables!$H$123:$H$138,MAX(1,MIN(IFERROR(MATCH(U98,Tables!$G$123:$G$138,1),1),ROWS(Tables!$G$123:$G$138)-1))+1)-INDEX(Tables!$H$123:$H$138,MAX(1,MIN(IFERROR(MATCH(U98,Tables!$G$123:$G$138,1),1),ROWS(Tables!$G$123:$G$138)-1))))/(INDEX(Tables!$G$123:$G$138,MAX(1,MIN(IFERROR(MATCH(U98,Tables!$G$123:$G$138,1),1),ROWS(Tables!$G$123:$G$138)-1))+1)-INDEX(Tables!$G$123:$G$138,MAX(1,MIN(IFERROR(MATCH(U98,Tables!$G$123:$G$138,1),1),ROWS(Tables!$G$123:$G$138)-1))))))))</f>
        <v>0.50060000000000004</v>
      </c>
      <c r="AR98" s="181">
        <f>IF(OR(P98&gt;=4,U98&gt;12),VLOOKUP(R98&amp;" "&amp;S98,Tables!$D$143:$F$148,2,FALSE),VLOOKUP(R98&amp;" "&amp;S98,Tables!$A$143:$C$148,2,FALSE))</f>
        <v>0.9</v>
      </c>
      <c r="AS98" s="181">
        <f>IF(OR(P98&gt;=4,U98&gt;12),VLOOKUP(R98&amp;" "&amp;S98,Tables!$D$143:$F$148,3,FALSE),VLOOKUP(R98&amp;" "&amp;S98,Tables!$A$143:$C$148,3,FALSE))</f>
        <v>0.65</v>
      </c>
      <c r="AT98" s="181">
        <f t="shared" ref="AT98:AT129" si="104">AP98*AQ98*AR98*AS98*AO98*AE98/(12^2)</f>
        <v>621.55336557473356</v>
      </c>
      <c r="AU98" s="181">
        <f>IF(AD98=5000,(INDEX(Tables!$B$244:$B$263,MAX(1,MIN(IFERROR(MATCH(AF98,Tables!$A$244:$A$263,1),1),ROWS(Tables!$A$244:$A$263)-1)))+(AF98-INDEX(Tables!$A$244:$A$263,MAX(1,MIN(IFERROR(MATCH(AF98,Tables!$A$244:$A$263,1),1),ROWS(Tables!$A$244:$A$263)-1))))*(INDEX(Tables!$B$244:$B$263,MAX(1,MIN(IFERROR(MATCH(AF98,Tables!$A$244:$A$263,1),1),ROWS(Tables!$A$244:$A$263)-1))+1)-INDEX(Tables!$B$244:$B$263,MAX(1,MIN(IFERROR(MATCH(AF98,Tables!$A$244:$A$263,1),1),ROWS(Tables!$A$244:$A$263)-1))))/(INDEX(Tables!$A$244:$A$263,MAX(1,MIN(IFERROR(MATCH(AF98,Tables!$A$244:$A$263,1),1),ROWS(Tables!$A$244:$A$263)-1))+1)-INDEX(Tables!$A$244:$A$263,MAX(1,MIN(IFERROR(MATCH(AF98,Tables!$A$244:$A$263,1),1),ROWS(Tables!$A$244:$A$263)-1))))),IF(AD98=10000,(INDEX(Tables!$D$244:$D$263,MAX(1,MIN(IFERROR(MATCH(AF98,Tables!$C$244:$C$263,1),1),ROWS(Tables!$C$244:$C$263)-1)))+(AF98-INDEX(Tables!$C$244:$C$263,MAX(1,MIN(IFERROR(MATCH(AF98,Tables!$C$244:$C$263,1),1),ROWS(Tables!$C$244:$C$263)-1))))*(INDEX(Tables!$D$244:$D$263,MAX(1,MIN(IFERROR(MATCH(AF98,Tables!$C$244:$C$263,1),1),ROWS(Tables!$C$244:$C$263)-1))+1)-INDEX(Tables!$D$244:$D$263,MAX(1,MIN(IFERROR(MATCH(AF98,Tables!$C$244:$C$263,1),1),ROWS(Tables!$C$244:$C$263)-1))))/(INDEX(Tables!$C$244:$C$263,MAX(1,MIN(IFERROR(MATCH(AF98,Tables!$C$244:$C$263,1),1),ROWS(Tables!$C$244:$C$263)-1))+1)-INDEX(Tables!$C$244:$C$263,MAX(1,MIN(IFERROR(MATCH(AF98,Tables!$C$244:$C$263,1),1),ROWS(Tables!$C$244:$C$263)-1))))),(INDEX(Tables!$F$244:$F$263,MAX(1,MIN(IFERROR(MATCH(AF98,Tables!$E$244:$E$263,1),1),ROWS(Tables!$E$244:$E$263)-1)))+(AF98-INDEX(Tables!$E$244:$E$263,MAX(1,MIN(IFERROR(MATCH(AF98,Tables!$E$244:$E$263,1),1),ROWS(Tables!$E$244:$E$263)-1))))*(INDEX(Tables!$F$244:$F$263,MAX(1,MIN(IFERROR(MATCH(AF98,Tables!$E$244:$E$263,1),1),ROWS(Tables!$E$244:$E$263)-1))+1)-INDEX(Tables!$F$244:$F$263,MAX(1,MIN(IFERROR(MATCH(AF98,Tables!$E$244:$E$263,1),1),ROWS(Tables!$E$244:$E$263)-1))))/(INDEX(Tables!$E$244:$E$263,MAX(1,MIN(IFERROR(MATCH(AF98,Tables!$E$244:$E$263,1),1),ROWS(Tables!$E$244:$E$263)-1))+1)-INDEX(Tables!$E$244:$E$263,MAX(1,MIN(IFERROR(MATCH(AF98,Tables!$E$244:$E$263,1),1),ROWS(Tables!$E$244:$E$263)-1)))))))</f>
        <v>14.915802469135803</v>
      </c>
      <c r="AV98" s="181">
        <f>IF(P98&lt;6,(INDEX(Tables!$B$260:$B$274,MAX(1,MIN(IFERROR(MATCH(U98,Tables!$A$260:$A$274,1),1),ROWS(Tables!$A$260:$A$274)-1)))+(U98-INDEX(Tables!$A$260:$A$274,MAX(1,MIN(IFERROR(MATCH(U98,Tables!$A$260:$A$274,1),1),ROWS(Tables!$A$260:$A$274)-1))))*(INDEX(Tables!$B$260:$B$274,MAX(1,MIN(IFERROR(MATCH(U98,Tables!$A$260:$A$274,1),1),ROWS(Tables!$A$260:$A$274)-1))+1)-INDEX(Tables!$B$260:$B$274,MAX(1,MIN(IFERROR(MATCH(U98,Tables!$A$260:$A$274,1),1),ROWS(Tables!$A$260:$A$274)-1))))/(INDEX(Tables!$A$260:$A$274,MAX(1,MIN(IFERROR(MATCH(U98,Tables!$A$260:$A$274,1),1),ROWS(Tables!$A$260:$A$274)-1))+1)-INDEX(Tables!$A$260:$A$274,MAX(1,MIN(IFERROR(MATCH(U98,Tables!$A$260:$A$274,1),1),ROWS(Tables!$A$260:$A$274)-1))))),IF(P98&lt;8,(INDEX(Tables!$D$260:$D$274,MAX(1,MIN(IFERROR(MATCH(U98,Tables!$C$260:$C$274,1),1),ROWS(Tables!$C$260:$C$274)-1)))+(U98-INDEX(Tables!$C$260:$C$274,MAX(1,MIN(IFERROR(MATCH(U98,Tables!$C$260:$C$274,1),1),ROWS(Tables!$C$260:$C$274)-1))))*(INDEX(Tables!$D$260:$D$274,MAX(1,MIN(IFERROR(MATCH(U98,Tables!$C$260:$C$274,1),1),ROWS(Tables!$C$260:$C$274)-1))+1)-INDEX(Tables!$D$260:$D$274,MAX(1,MIN(IFERROR(MATCH(U98,Tables!$C$260:$C$274,1),1),ROWS(Tables!$C$260:$C$274)-1))))/(INDEX(Tables!$C$260:$C$274,MAX(1,MIN(IFERROR(MATCH(U98,Tables!$C$260:$C$274,1),1),ROWS(Tables!$C$260:$C$274)-1))+1)-INDEX(Tables!$C$260:$C$274,MAX(1,MIN(IFERROR(MATCH(U98,Tables!$C$260:$C$274,1),1),ROWS(Tables!$C$260:$C$274)-1))))),IF(P98&lt;10,(INDEX(Tables!$F$260:$F$274,MAX(1,MIN(IFERROR(MATCH(U98,Tables!$E$260:$E$274,1),1),ROWS(Tables!$E$260:$E$274)-1)))+(U98-INDEX(Tables!$E$260:$E$274,MAX(1,MIN(IFERROR(MATCH(U98,Tables!$E$260:$E$274,1),1),ROWS(Tables!$E$260:$E$274)-1))))*(INDEX(Tables!$F$260:$F$274,MAX(1,MIN(IFERROR(MATCH(U98,Tables!$E$260:$E$274,1),1),ROWS(Tables!$E$260:$E$274)-1))+1)-INDEX(Tables!$F$260:$F$274,MAX(1,MIN(IFERROR(MATCH(U98,Tables!$E$260:$E$274,1),1),ROWS(Tables!$E$260:$E$274)-1))))/(INDEX(Tables!$E$260:$E$274,MAX(1,MIN(IFERROR(MATCH(U98,Tables!$E$260:$E$274,1),1),ROWS(Tables!$E$260:$E$274)-1))+1)-INDEX(Tables!$E$260:$E$274,MAX(1,MIN(IFERROR(MATCH(U98,Tables!$E$260:$E$274,1),1),ROWS(Tables!$E$260:$E$274)-1))))),(INDEX(Tables!$H$260:$H$274,MAX(1,MIN(IFERROR(MATCH(U98,Tables!$G$260:$G$274,1),1),ROWS(Tables!$G$260:$G$274)-1)))+(U98-INDEX(Tables!$G$260:$G$274,MAX(1,MIN(IFERROR(MATCH(U98,Tables!$G$260:$G$274,1),1),ROWS(Tables!$G$260:$G$274)-1))))*(INDEX(Tables!$H$260:$H$274,MAX(1,MIN(IFERROR(MATCH(U98,Tables!$G$260:$G$274,1),1),ROWS(Tables!$G$260:$G$274)-1))+1)-INDEX(Tables!$H$260:$H$274,MAX(1,MIN(IFERROR(MATCH(U98,Tables!$G$260:$G$274,1),1),ROWS(Tables!$G$260:$G$274)-1))))/(INDEX(Tables!$G$260:$G$274,MAX(1,MIN(IFERROR(MATCH(U98,Tables!$G$260:$G$274,1),1),ROWS(Tables!$G$260:$G$274)-1))+1)-INDEX(Tables!$G$260:$G$274,MAX(1,MIN(IFERROR(MATCH(U98,Tables!$G$260:$G$274,1),1),ROWS(Tables!$G$260:$G$274)-1))))))))</f>
        <v>0.51828571428571424</v>
      </c>
      <c r="AW98" s="181">
        <f t="shared" ref="AW98:AW129" si="105">AU98*AV98*AR98*AS98*AO98*(AE98/(12^2))</f>
        <v>464.42217411891863</v>
      </c>
      <c r="AX98" s="181">
        <f t="shared" ref="AX98:AX129" si="106">M98*(U98-E98)/(2*E98)</f>
        <v>-522.91499999999996</v>
      </c>
      <c r="AY98" s="181">
        <f t="shared" ref="AY98:AY129" si="107">AN98+AT98+AX98</f>
        <v>11325.653842211188</v>
      </c>
      <c r="AZ98" s="181">
        <f t="shared" ref="AZ98:AZ129" si="108">AW98-(Y98)*(AA98)*(L98-T98)+(Z98*(AN98+AX98))</f>
        <v>3675.6523171098543</v>
      </c>
      <c r="BA98" s="181">
        <f t="shared" ref="BA98:BA129" si="109">-M98</f>
        <v>14.73</v>
      </c>
      <c r="BB98" s="181">
        <f t="shared" ref="BB98:BB129" si="110">SQRT(0.5*((AY98-AZ98)^2+(AZ98-BA98)^2+(BA98-AY98)^2))</f>
        <v>9996.5462463359618</v>
      </c>
      <c r="BC98" s="181">
        <f t="shared" ref="BC98:BC129" si="111">V98*W98</f>
        <v>46800</v>
      </c>
      <c r="BD98" s="181">
        <f>VLOOKUP(V98&amp;" "&amp;J98,Tables!$A$152:$E$239,4,FALSE)</f>
        <v>12000</v>
      </c>
      <c r="BE98" s="181">
        <f>VLOOKUP(V98&amp;" "&amp;J98,Tables!$A$152:$E$239,5,FALSE)</f>
        <v>23000</v>
      </c>
      <c r="BF98" s="181">
        <f t="shared" ref="BF98:BF129" si="112">BD98*W98</f>
        <v>8640</v>
      </c>
      <c r="BG98" s="181">
        <f t="shared" ref="BG98:BG129" si="113">BE98*W98</f>
        <v>16560</v>
      </c>
      <c r="BH98" s="181">
        <f t="shared" ref="BH98:BH129" si="114">AI98</f>
        <v>-530.28</v>
      </c>
      <c r="BI98" s="181">
        <f t="shared" ref="BI98:BI129" si="115">AJ98</f>
        <v>46800</v>
      </c>
      <c r="BJ98" s="181">
        <f t="shared" ref="BJ98:BJ129" si="116">BB98</f>
        <v>9996.5462463359618</v>
      </c>
      <c r="BK98" s="181">
        <f t="shared" ref="BK98:BK129" si="117">BC98</f>
        <v>46800</v>
      </c>
      <c r="BL98" s="181">
        <f t="shared" ref="BL98:BL129" si="118">AW98</f>
        <v>464.42217411891863</v>
      </c>
      <c r="BM98" s="181">
        <f t="shared" ref="BM98:BM129" si="119">BF98</f>
        <v>8640</v>
      </c>
      <c r="BN98" s="181">
        <f t="shared" ref="BN98:BN129" si="120">AT98</f>
        <v>621.55336557473356</v>
      </c>
      <c r="BO98" s="181">
        <f t="shared" ref="BO98:BO129" si="121">BG98</f>
        <v>16560</v>
      </c>
      <c r="BP98" t="str">
        <f t="shared" ref="BP98:BP129" si="122">IF(BH98&lt;=BI98,"Pass","Fail")</f>
        <v>Pass</v>
      </c>
      <c r="BQ98" t="str">
        <f t="shared" ref="BQ98:BQ129" si="123">IF(BJ98&lt;=BK98,"Pass","Fail")</f>
        <v>Pass</v>
      </c>
      <c r="BR98" t="str">
        <f t="shared" ref="BR98:BR129" si="124">IF(BL98&lt;=BM98,"Pass","Fail")</f>
        <v>Pass</v>
      </c>
      <c r="BS98" t="str">
        <f t="shared" ref="BS98:BS129" si="125">IF(BN98&lt;=BO98,"Pass","Fail")</f>
        <v>Pass</v>
      </c>
      <c r="BT98" t="str">
        <f t="shared" ref="BT98:BT129" si="126">IF(OR(BP98="Fail",BQ98="Fail",BR98="Fail",BS98="Fail"),"Fail","Pass")</f>
        <v>Pass</v>
      </c>
      <c r="BU98" t="str">
        <f t="shared" ref="BU98:BU129" si="127">IF(MAX(BH98/BI98,BJ98/BK98,BL98/BM98,BN98/BO98)=BH98/BI98,"Barlow Stress",IF(MAX(BH98/BI98,BJ98/BK98,BL98/BM98,BN98/BO98)=BJ98/BK98,"Effective Stress",IF(MAX(BH98/BI98,BJ98/BK98,BL98/BM98,BN98/BO98)=BL98/BM98,"Girth Weld Stress","Longitudinal Weld Stress")))</f>
        <v>Effective Stress</v>
      </c>
    </row>
    <row r="99" spans="1:73">
      <c r="A99" t="s">
        <v>691</v>
      </c>
      <c r="B99" s="181">
        <v>97</v>
      </c>
      <c r="C99" t="s">
        <v>594</v>
      </c>
      <c r="D99" s="181">
        <v>48</v>
      </c>
      <c r="E99" s="181">
        <v>0.5</v>
      </c>
      <c r="F99" t="s">
        <v>117</v>
      </c>
      <c r="G99" t="s">
        <v>119</v>
      </c>
      <c r="H99" t="s">
        <v>122</v>
      </c>
      <c r="I99" s="181">
        <v>1</v>
      </c>
      <c r="J99" t="s">
        <v>126</v>
      </c>
      <c r="K99" t="s">
        <v>129</v>
      </c>
      <c r="L99" s="181">
        <v>70</v>
      </c>
      <c r="M99" s="181">
        <v>-14.73</v>
      </c>
      <c r="N99" t="s">
        <v>389</v>
      </c>
      <c r="O99" s="181">
        <v>120</v>
      </c>
      <c r="P99" s="181">
        <v>30</v>
      </c>
      <c r="Q99" s="181">
        <v>50</v>
      </c>
      <c r="R99" t="s">
        <v>418</v>
      </c>
      <c r="S99" t="s">
        <v>420</v>
      </c>
      <c r="T99" s="181">
        <v>70</v>
      </c>
      <c r="U99" s="181">
        <f>HLOOKUP(D99,'Highway Loading'!$C$155:$AD$156,2,FALSE)</f>
        <v>48</v>
      </c>
      <c r="V99" s="181">
        <f>IF(ISBLANK(G99),"",INDEX('Highway Loading'!$C$216:$AG$216,1,MATCH(G99,'Highway Loading'!$C$215:$AG$215,0)))</f>
        <v>65000</v>
      </c>
      <c r="W99" s="181">
        <f>INDEX('Highway Loading'!$I$245:$L$253,MATCH(H99,'Highway Loading'!$H$245:$H$253,0),MATCH(I99,'Highway Loading'!$I$244:$L$244,0))</f>
        <v>0.72</v>
      </c>
      <c r="X99" s="181">
        <f t="shared" si="96"/>
        <v>1</v>
      </c>
      <c r="Y99" s="181">
        <f>VLOOKUP(K99,'Highway Loading'!$B$283:$E$292,2,FALSE)</f>
        <v>29000000</v>
      </c>
      <c r="Z99" s="181">
        <f>VLOOKUP(K99,'Highway Loading'!$B$283:$E$292,3,FALSE)</f>
        <v>0.3</v>
      </c>
      <c r="AA99" s="181">
        <f>VLOOKUP(K99,'Highway Loading'!$B$283:$E$292,4,FALSE)</f>
        <v>6.4999999999999996E-6</v>
      </c>
      <c r="AB99" s="181">
        <f t="shared" si="97"/>
        <v>1</v>
      </c>
      <c r="AC99" s="181">
        <f>VLOOKUP(N99,'Highway Loading'!$B$256:$D$261,2,FALSE)</f>
        <v>500</v>
      </c>
      <c r="AD99" s="181">
        <f>VLOOKUP(N99,'Highway Loading'!$B$256:$D$261,3,FALSE)</f>
        <v>5000</v>
      </c>
      <c r="AE99" s="181">
        <f>VLOOKUP(S99,'Highway Loading'!$B$340:$C$341,2,FALSE)</f>
        <v>12000</v>
      </c>
      <c r="AF99" s="181">
        <f t="shared" si="98"/>
        <v>1.0416666666666666E-2</v>
      </c>
      <c r="AG99" s="181">
        <f t="shared" si="99"/>
        <v>7.2</v>
      </c>
      <c r="AH99" s="181">
        <f t="shared" si="100"/>
        <v>1.0416666666666667</v>
      </c>
      <c r="AI99" s="181">
        <f t="shared" si="101"/>
        <v>-707.04</v>
      </c>
      <c r="AJ99" s="181">
        <f t="shared" si="102"/>
        <v>46800</v>
      </c>
      <c r="AK99" s="181">
        <f>IF(AC99=200,(INDEX(Tables!$B$17:$B$38,MAX(1,MIN(IFERROR(MATCH(AF99,Tables!$A$17:$A$38,1),1),ROWS(Tables!$A$17:$A$38)-1)))+(AF99-INDEX(Tables!$A$17:$A$38,MAX(1,MIN(IFERROR(MATCH(AF99,Tables!$A$17:$A$38,1),1),ROWS(Tables!$A$17:$A$38)-1))))*(INDEX(Tables!$B$17:$B$38,MAX(1,MIN(IFERROR(MATCH(AF99,Tables!$A$17:$A$38,1),1),ROWS(Tables!$A$17:$A$38)-1))+1)-INDEX(Tables!$B$17:$B$38,MAX(1,MIN(IFERROR(MATCH(AF99,Tables!$A$17:$A$38,1),1),ROWS(Tables!$A$17:$A$38)-1))))/(INDEX(Tables!$A$17:$A$38,MAX(1,MIN(IFERROR(MATCH(AF99,Tables!$A$17:$A$38,1),1),ROWS(Tables!$A$17:$A$38)-1))+1)-INDEX(Tables!$A$17:$A$38,MAX(1,MIN(IFERROR(MATCH(AF99,Tables!$A$17:$A$38,1),1),ROWS(Tables!$A$17:$A$38)-1))))),IF(AC99=500,(INDEX(Tables!$D$17:$D$38,MAX(1,MIN(IFERROR(MATCH(AF99,Tables!$C$17:$C$38,1),1),ROWS(Tables!$C$17:$C$38)-1)))+(AF99-INDEX(Tables!$C$17:$C$38,MAX(1,MIN(IFERROR(MATCH(AF99,Tables!$C$17:$C$38,1),1),ROWS(Tables!$C$17:$C$38)-1))))*(INDEX(Tables!$D$17:$D$38,MAX(1,MIN(IFERROR(MATCH(AF99,Tables!$C$17:$C$38,1),1),ROWS(Tables!$C$17:$C$38)-1))+1)-INDEX(Tables!$D$17:$D$38,MAX(1,MIN(IFERROR(MATCH(AF99,Tables!$C$17:$C$38,1),1),ROWS(Tables!$C$17:$C$38)-1))))/(INDEX(Tables!$C$17:$C$38,MAX(1,MIN(IFERROR(MATCH(AF99,Tables!$C$17:$C$38,1),1),ROWS(Tables!$C$17:$C$38)-1))+1)-INDEX(Tables!$C$17:$C$38,MAX(1,MIN(IFERROR(MATCH(AF99,Tables!$C$17:$C$38,1),1),ROWS(Tables!$C$17:$C$38)-1))))),IF(AC99=1000,(INDEX(Tables!$F$17:$F$38,MAX(1,MIN(IFERROR(MATCH(AF99,Tables!$E$17:$E$38,1),1),ROWS(Tables!$E$17:$E$38)-1)))+(AF99-INDEX(Tables!$E$17:$E$38,MAX(1,MIN(IFERROR(MATCH(AF99,Tables!$E$17:$E$38,1),1),ROWS(Tables!$E$17:$E$38)-1))))*(INDEX(Tables!$F$17:$F$38,MAX(1,MIN(IFERROR(MATCH(AF99,Tables!$E$17:$E$38,1),1),ROWS(Tables!$E$17:$E$38)-1))+1)-INDEX(Tables!$F$17:$F$38,MAX(1,MIN(IFERROR(MATCH(AF99,Tables!$E$17:$E$38,1),1),ROWS(Tables!$E$17:$E$38)-1))))/(INDEX(Tables!$E$17:$E$38,MAX(1,MIN(IFERROR(MATCH(AF99,Tables!$E$17:$E$38,1),1),ROWS(Tables!$E$17:$E$38)-1))+1)-INDEX(Tables!$E$17:$E$38,MAX(1,MIN(IFERROR(MATCH(AF99,Tables!$E$17:$E$38,1),1),ROWS(Tables!$E$17:$E$38)-1))))),(INDEX(Tables!$H$17:$H$38,MAX(1,MIN(IFERROR(MATCH(AF99,Tables!$G$17:$G$38,1),1),ROWS(Tables!$G$17:$G$38)-1)))+(AF99-INDEX(Tables!$G$17:$G$38,MAX(1,MIN(IFERROR(MATCH(AF99,Tables!$G$17:$G$38,1),1),ROWS(Tables!$G$17:$G$38)-1))))*(INDEX(Tables!$H$17:$H$38,MAX(1,MIN(IFERROR(MATCH(AF99,Tables!$G$17:$G$38,1),1),ROWS(Tables!$G$17:$G$38)-1))+1)-INDEX(Tables!$H$17:$H$38,MAX(1,MIN(IFERROR(MATCH(AF99,Tables!$G$17:$G$38,1),1),ROWS(Tables!$G$17:$G$38)-1))))/(INDEX(Tables!$G$17:$G$38,MAX(1,MIN(IFERROR(MATCH(AF99,Tables!$G$17:$G$38,1),1),ROWS(Tables!$G$17:$G$38)-1))+1)-INDEX(Tables!$G$17:$G$38,MAX(1,MIN(IFERROR(MATCH(AF99,Tables!$G$17:$G$38,1),1),ROWS(Tables!$G$17:$G$38)-1))))))))</f>
        <v>6129</v>
      </c>
      <c r="AL99" s="181">
        <f>IF(AC99&lt;1000,(INDEX(Tables!$B$43:$B$76,MAX(1,MIN(IFERROR(MATCH(AG99,Tables!$A$43:$A$76,1),1),ROWS(Tables!$A$43:$A$76)-1)))+(AG99-INDEX(Tables!$A$43:$A$76,MAX(1,MIN(IFERROR(MATCH(AG99,Tables!$A$43:$A$76,1),1),ROWS(Tables!$A$43:$A$76)-1))))*(INDEX(Tables!$B$43:$B$76,MAX(1,MIN(IFERROR(MATCH(AG99,Tables!$A$43:$A$76,1),1),ROWS(Tables!$A$43:$A$76)-1))+1)-INDEX(Tables!$B$43:$B$76,MAX(1,MIN(IFERROR(MATCH(AG99,Tables!$A$43:$A$76,1),1),ROWS(Tables!$A$43:$A$76)-1))))/(INDEX(Tables!$A$43:$A$76,MAX(1,MIN(IFERROR(MATCH(AG99,Tables!$A$43:$A$76,1),1),ROWS(Tables!$A$43:$A$76)-1))+1)-INDEX(Tables!$A$43:$A$76,MAX(1,MIN(IFERROR(MATCH(AG99,Tables!$A$43:$A$76,1),1),ROWS(Tables!$A$43:$A$76)-1))))),(INDEX(Tables!$D$43:$D$76,MAX(1,MIN(IFERROR(MATCH(AG99,Tables!$C$43:$C$76,1),1),ROWS(Tables!$C$43:$C$76)-1)))+(AG99-INDEX(Tables!$C$43:$C$76,MAX(1,MIN(IFERROR(MATCH(AG99,Tables!$C$43:$C$76,1),1),ROWS(Tables!$C$43:$C$76)-1))))*(INDEX(Tables!$D$43:$D$76,MAX(1,MIN(IFERROR(MATCH(AG99,Tables!$C$43:$C$76,1),1),ROWS(Tables!$C$43:$C$76)-1))+1)-INDEX(Tables!$D$43:$D$76,MAX(1,MIN(IFERROR(MATCH(AG99,Tables!$C$43:$C$76,1),1),ROWS(Tables!$C$43:$C$76)-1))))/(INDEX(Tables!$C$43:$C$76,MAX(1,MIN(IFERROR(MATCH(AG99,Tables!$C$43:$C$76,1),1),ROWS(Tables!$C$43:$C$76)-1))+1)-INDEX(Tables!$C$43:$C$76,MAX(1,MIN(IFERROR(MATCH(AG99,Tables!$C$43:$C$76,1),1),ROWS(Tables!$C$43:$C$76)-1))))))</f>
        <v>1.224</v>
      </c>
      <c r="AM99" s="181">
        <f>(INDEX(Tables!$B$80:$B$87,MAX(1,MIN(IFERROR(MATCH(AH99,Tables!$A$80:$A$87,1),1),ROWS(Tables!$A$80:$A$87)-1)))+(AH99-INDEX(Tables!$A$80:$A$87,MAX(1,MIN(IFERROR(MATCH(AH99,Tables!$A$80:$A$87,1),1),ROWS(Tables!$A$80:$A$87)-1))))*(INDEX(Tables!$B$80:$B$87,MAX(1,MIN(IFERROR(MATCH(AH99,Tables!$A$80:$A$87,1),1),ROWS(Tables!$A$80:$A$87)-1))+1)-INDEX(Tables!$B$80:$B$87,MAX(1,MIN(IFERROR(MATCH(AH99,Tables!$A$80:$A$87,1),1),ROWS(Tables!$A$80:$A$87)-1))))/(INDEX(Tables!$A$80:$A$87,MAX(1,MIN(IFERROR(MATCH(AH99,Tables!$A$80:$A$87,1),1),ROWS(Tables!$A$80:$A$87)-1))+1)-INDEX(Tables!$A$80:$A$87,MAX(1,MIN(IFERROR(MATCH(AH99,Tables!$A$80:$A$87,1),1),ROWS(Tables!$A$80:$A$87)-1)))))</f>
        <v>0.89595000000000002</v>
      </c>
      <c r="AN99" s="181">
        <f t="shared" si="103"/>
        <v>22404.412404000002</v>
      </c>
      <c r="AO99" s="181">
        <f>(INDEX(Tables!$B$91:$B$94,MAX(1,MIN(IFERROR(MATCH(P99,Tables!$A$91:$A$94,1),1),ROWS(Tables!$A$91:$A$94)-1)))+(P99-INDEX(Tables!$A$91:$A$94,MAX(1,MIN(IFERROR(MATCH(P99,Tables!$A$91:$A$94,1),1),ROWS(Tables!$A$91:$A$94)-1))))*(INDEX(Tables!$B$91:$B$94,MAX(1,MIN(IFERROR(MATCH(P99,Tables!$A$91:$A$94,1),1),ROWS(Tables!$A$91:$A$94)-1))+1)-INDEX(Tables!$B$91:$B$94,MAX(1,MIN(IFERROR(MATCH(P99,Tables!$A$91:$A$94,1),1),ROWS(Tables!$A$91:$A$94)-1))))/(INDEX(Tables!$A$91:$A$94,MAX(1,MIN(IFERROR(MATCH(P99,Tables!$A$91:$A$94,1),1),ROWS(Tables!$A$91:$A$94)-1))+1)-INDEX(Tables!$A$91:$A$94,MAX(1,MIN(IFERROR(MATCH(P99,Tables!$A$91:$A$94,1),1),ROWS(Tables!$A$91:$A$94)-1)))))</f>
        <v>1</v>
      </c>
      <c r="AP99" s="181">
        <f>IF(AD99=5000,(INDEX(Tables!$B$99:$B$118,MAX(1,MIN(IFERROR(MATCH(AF99,Tables!$A$99:$A$118,1),1),ROWS(Tables!$A$99:$A$118)-1)))+(AF99-INDEX(Tables!$A$99:$A$118,MAX(1,MIN(IFERROR(MATCH(AF99,Tables!$A$99:$A$118,1),1),ROWS(Tables!$A$99:$A$118)-1))))*(INDEX(Tables!$B$99:$B$118,MAX(1,MIN(IFERROR(MATCH(AF99,Tables!$A$99:$A$118,1),1),ROWS(Tables!$A$99:$A$118)-1))+1)-INDEX(Tables!$B$99:$B$118,MAX(1,MIN(IFERROR(MATCH(AF99,Tables!$A$99:$A$118,1),1),ROWS(Tables!$A$99:$A$118)-1))))/(INDEX(Tables!$A$99:$A$118,MAX(1,MIN(IFERROR(MATCH(AF99,Tables!$A$99:$A$118,1),1),ROWS(Tables!$A$99:$A$118)-1))+1)-INDEX(Tables!$A$99:$A$118,MAX(1,MIN(IFERROR(MATCH(AF99,Tables!$A$99:$A$118,1),1),ROWS(Tables!$A$99:$A$118)-1))))),IF(AD99=10000,(INDEX(Tables!$D$99:$D$118,MAX(1,MIN(IFERROR(MATCH(AF99,Tables!$C$99:$C$118,1),1),ROWS(Tables!$C$99:$C$118)-1)))+(AF99-INDEX(Tables!$C$99:$C$118,MAX(1,MIN(IFERROR(MATCH(AF99,Tables!$C$99:$C$118,1),1),ROWS(Tables!$C$99:$C$118)-1))))*(INDEX(Tables!$D$99:$D$118,MAX(1,MIN(IFERROR(MATCH(AF99,Tables!$C$99:$C$118,1),1),ROWS(Tables!$C$99:$C$118)-1))+1)-INDEX(Tables!$D$99:$D$118,MAX(1,MIN(IFERROR(MATCH(AF99,Tables!$C$99:$C$118,1),1),ROWS(Tables!$C$99:$C$118)-1))))/(INDEX(Tables!$C$99:$C$118,MAX(1,MIN(IFERROR(MATCH(AF99,Tables!$C$99:$C$118,1),1),ROWS(Tables!$C$99:$C$118)-1))+1)-INDEX(Tables!$C$99:$C$118,MAX(1,MIN(IFERROR(MATCH(AF99,Tables!$C$99:$C$118,1),1),ROWS(Tables!$C$99:$C$118)-1))))),(INDEX(Tables!$F$99:$F$118,MAX(1,MIN(IFERROR(MATCH(AF99,Tables!$E$99:$E$118,1),1),ROWS(Tables!$E$99:$E$118)-1)))+(AF99-INDEX(Tables!$E$99:$E$118,MAX(1,MIN(IFERROR(MATCH(AF99,Tables!$E$99:$E$118,1),1),ROWS(Tables!$E$99:$E$118)-1))))*(INDEX(Tables!$F$99:$F$118,MAX(1,MIN(IFERROR(MATCH(AF99,Tables!$E$99:$E$118,1),1),ROWS(Tables!$E$99:$E$118)-1))+1)-INDEX(Tables!$F$99:$F$118,MAX(1,MIN(IFERROR(MATCH(AF99,Tables!$E$99:$E$118,1),1),ROWS(Tables!$E$99:$E$118)-1))))/(INDEX(Tables!$E$99:$E$118,MAX(1,MIN(IFERROR(MATCH(AF99,Tables!$E$99:$E$118,1),1),ROWS(Tables!$E$99:$E$118)-1))+1)-INDEX(Tables!$E$99:$E$118,MAX(1,MIN(IFERROR(MATCH(AF99,Tables!$E$99:$E$118,1),1),ROWS(Tables!$E$99:$E$118)-1)))))))</f>
        <v>19.818999999999999</v>
      </c>
      <c r="AQ99" s="181">
        <f>IF(P99&lt;6,(INDEX(Tables!$B$123:$B$138,MAX(1,MIN(IFERROR(MATCH(U99,Tables!$A$123:$A$138,1),1),ROWS(Tables!$A$123:$A$138)-1)))+(U99-INDEX(Tables!$A$123:$A$138,MAX(1,MIN(IFERROR(MATCH(U99,Tables!$A$123:$A$138,1),1),ROWS(Tables!$A$123:$A$138)-1))))*(INDEX(Tables!$B$123:$B$138,MAX(1,MIN(IFERROR(MATCH(U99,Tables!$A$123:$A$138,1),1),ROWS(Tables!$A$123:$A$138)-1))+1)-INDEX(Tables!$B$123:$B$138,MAX(1,MIN(IFERROR(MATCH(U99,Tables!$A$123:$A$138,1),1),ROWS(Tables!$A$123:$A$138)-1))))/(INDEX(Tables!$A$123:$A$138,MAX(1,MIN(IFERROR(MATCH(U99,Tables!$A$123:$A$138,1),1),ROWS(Tables!$A$123:$A$138)-1))+1)-INDEX(Tables!$A$123:$A$138,MAX(1,MIN(IFERROR(MATCH(U99,Tables!$A$123:$A$138,1),1),ROWS(Tables!$A$123:$A$138)-1))))),IF(P99&lt;8,(INDEX(Tables!$D$123:$D$138,MAX(1,MIN(IFERROR(MATCH(U99,Tables!$C$123:$C$138,1),1),ROWS(Tables!$C$123:$C$138)-1)))+(U99-INDEX(Tables!$C$123:$C$138,MAX(1,MIN(IFERROR(MATCH(U99,Tables!$C$123:$C$138,1),1),ROWS(Tables!$C$123:$C$138)-1))))*(INDEX(Tables!$D$123:$D$138,MAX(1,MIN(IFERROR(MATCH(U99,Tables!$C$123:$C$138,1),1),ROWS(Tables!$C$123:$C$138)-1))+1)-INDEX(Tables!$D$123:$D$138,MAX(1,MIN(IFERROR(MATCH(U99,Tables!$C$123:$C$138,1),1),ROWS(Tables!$C$123:$C$138)-1))))/(INDEX(Tables!$C$123:$C$138,MAX(1,MIN(IFERROR(MATCH(U99,Tables!$C$123:$C$138,1),1),ROWS(Tables!$C$123:$C$138)-1))+1)-INDEX(Tables!$C$123:$C$138,MAX(1,MIN(IFERROR(MATCH(U99,Tables!$C$123:$C$138,1),1),ROWS(Tables!$C$123:$C$138)-1))))),IF(P99&lt;10,(INDEX(Tables!$F$123:$F$138,MAX(1,MIN(IFERROR(MATCH(U99,Tables!$E$123:$E$138,1),1),ROWS(Tables!$E$123:$E$138)-1)))+(U99-INDEX(Tables!$E$123:$E$138,MAX(1,MIN(IFERROR(MATCH(U99,Tables!$E$123:$E$138,1),1),ROWS(Tables!$E$123:$E$138)-1))))*(INDEX(Tables!$F$123:$F$138,MAX(1,MIN(IFERROR(MATCH(U99,Tables!$E$123:$E$138,1),1),ROWS(Tables!$E$123:$E$138)-1))+1)-INDEX(Tables!$F$123:$F$138,MAX(1,MIN(IFERROR(MATCH(U99,Tables!$E$123:$E$138,1),1),ROWS(Tables!$E$123:$E$138)-1))))/(INDEX(Tables!$E$123:$E$138,MAX(1,MIN(IFERROR(MATCH(U99,Tables!$E$123:$E$138,1),1),ROWS(Tables!$E$123:$E$138)-1))+1)-INDEX(Tables!$E$123:$E$138,MAX(1,MIN(IFERROR(MATCH(U99,Tables!$E$123:$E$138,1),1),ROWS(Tables!$E$123:$E$138)-1))))),(INDEX(Tables!$H$123:$H$138,MAX(1,MIN(IFERROR(MATCH(U99,Tables!$G$123:$G$138,1),1),ROWS(Tables!$G$123:$G$138)-1)))+(U99-INDEX(Tables!$G$123:$G$138,MAX(1,MIN(IFERROR(MATCH(U99,Tables!$G$123:$G$138,1),1),ROWS(Tables!$G$123:$G$138)-1))))*(INDEX(Tables!$H$123:$H$138,MAX(1,MIN(IFERROR(MATCH(U99,Tables!$G$123:$G$138,1),1),ROWS(Tables!$G$123:$G$138)-1))+1)-INDEX(Tables!$H$123:$H$138,MAX(1,MIN(IFERROR(MATCH(U99,Tables!$G$123:$G$138,1),1),ROWS(Tables!$G$123:$G$138)-1))))/(INDEX(Tables!$G$123:$G$138,MAX(1,MIN(IFERROR(MATCH(U99,Tables!$G$123:$G$138,1),1),ROWS(Tables!$G$123:$G$138)-1))+1)-INDEX(Tables!$G$123:$G$138,MAX(1,MIN(IFERROR(MATCH(U99,Tables!$G$123:$G$138,1),1),ROWS(Tables!$G$123:$G$138)-1))))))))</f>
        <v>0.46899999999999997</v>
      </c>
      <c r="AR99" s="181">
        <f>IF(OR(P99&gt;=4,U99&gt;12),VLOOKUP(R99&amp;" "&amp;S99,Tables!$D$143:$F$148,2,FALSE),VLOOKUP(R99&amp;" "&amp;S99,Tables!$A$143:$C$148,2,FALSE))</f>
        <v>0.9</v>
      </c>
      <c r="AS99" s="181">
        <f>IF(OR(P99&gt;=4,U99&gt;12),VLOOKUP(R99&amp;" "&amp;S99,Tables!$D$143:$F$148,3,FALSE),VLOOKUP(R99&amp;" "&amp;S99,Tables!$A$143:$C$148,3,FALSE))</f>
        <v>0.65</v>
      </c>
      <c r="AT99" s="181">
        <f t="shared" si="104"/>
        <v>453.13666124999997</v>
      </c>
      <c r="AU99" s="181">
        <f>IF(AD99=5000,(INDEX(Tables!$B$244:$B$263,MAX(1,MIN(IFERROR(MATCH(AF99,Tables!$A$244:$A$263,1),1),ROWS(Tables!$A$244:$A$263)-1)))+(AF99-INDEX(Tables!$A$244:$A$263,MAX(1,MIN(IFERROR(MATCH(AF99,Tables!$A$244:$A$263,1),1),ROWS(Tables!$A$244:$A$263)-1))))*(INDEX(Tables!$B$244:$B$263,MAX(1,MIN(IFERROR(MATCH(AF99,Tables!$A$244:$A$263,1),1),ROWS(Tables!$A$244:$A$263)-1))+1)-INDEX(Tables!$B$244:$B$263,MAX(1,MIN(IFERROR(MATCH(AF99,Tables!$A$244:$A$263,1),1),ROWS(Tables!$A$244:$A$263)-1))))/(INDEX(Tables!$A$244:$A$263,MAX(1,MIN(IFERROR(MATCH(AF99,Tables!$A$244:$A$263,1),1),ROWS(Tables!$A$244:$A$263)-1))+1)-INDEX(Tables!$A$244:$A$263,MAX(1,MIN(IFERROR(MATCH(AF99,Tables!$A$244:$A$263,1),1),ROWS(Tables!$A$244:$A$263)-1))))),IF(AD99=10000,(INDEX(Tables!$D$244:$D$263,MAX(1,MIN(IFERROR(MATCH(AF99,Tables!$C$244:$C$263,1),1),ROWS(Tables!$C$244:$C$263)-1)))+(AF99-INDEX(Tables!$C$244:$C$263,MAX(1,MIN(IFERROR(MATCH(AF99,Tables!$C$244:$C$263,1),1),ROWS(Tables!$C$244:$C$263)-1))))*(INDEX(Tables!$D$244:$D$263,MAX(1,MIN(IFERROR(MATCH(AF99,Tables!$C$244:$C$263,1),1),ROWS(Tables!$C$244:$C$263)-1))+1)-INDEX(Tables!$D$244:$D$263,MAX(1,MIN(IFERROR(MATCH(AF99,Tables!$C$244:$C$263,1),1),ROWS(Tables!$C$244:$C$263)-1))))/(INDEX(Tables!$C$244:$C$263,MAX(1,MIN(IFERROR(MATCH(AF99,Tables!$C$244:$C$263,1),1),ROWS(Tables!$C$244:$C$263)-1))+1)-INDEX(Tables!$C$244:$C$263,MAX(1,MIN(IFERROR(MATCH(AF99,Tables!$C$244:$C$263,1),1),ROWS(Tables!$C$244:$C$263)-1))))),(INDEX(Tables!$F$244:$F$263,MAX(1,MIN(IFERROR(MATCH(AF99,Tables!$E$244:$E$263,1),1),ROWS(Tables!$E$244:$E$263)-1)))+(AF99-INDEX(Tables!$E$244:$E$263,MAX(1,MIN(IFERROR(MATCH(AF99,Tables!$E$244:$E$263,1),1),ROWS(Tables!$E$244:$E$263)-1))))*(INDEX(Tables!$F$244:$F$263,MAX(1,MIN(IFERROR(MATCH(AF99,Tables!$E$244:$E$263,1),1),ROWS(Tables!$E$244:$E$263)-1))+1)-INDEX(Tables!$F$244:$F$263,MAX(1,MIN(IFERROR(MATCH(AF99,Tables!$E$244:$E$263,1),1),ROWS(Tables!$E$244:$E$263)-1))))/(INDEX(Tables!$E$244:$E$263,MAX(1,MIN(IFERROR(MATCH(AF99,Tables!$E$244:$E$263,1),1),ROWS(Tables!$E$244:$E$263)-1))+1)-INDEX(Tables!$E$244:$E$263,MAX(1,MIN(IFERROR(MATCH(AF99,Tables!$E$244:$E$263,1),1),ROWS(Tables!$E$244:$E$263)-1)))))))</f>
        <v>14.659000000000001</v>
      </c>
      <c r="AV99" s="181">
        <f>IF(P99&lt;6,(INDEX(Tables!$B$260:$B$274,MAX(1,MIN(IFERROR(MATCH(U99,Tables!$A$260:$A$274,1),1),ROWS(Tables!$A$260:$A$274)-1)))+(U99-INDEX(Tables!$A$260:$A$274,MAX(1,MIN(IFERROR(MATCH(U99,Tables!$A$260:$A$274,1),1),ROWS(Tables!$A$260:$A$274)-1))))*(INDEX(Tables!$B$260:$B$274,MAX(1,MIN(IFERROR(MATCH(U99,Tables!$A$260:$A$274,1),1),ROWS(Tables!$A$260:$A$274)-1))+1)-INDEX(Tables!$B$260:$B$274,MAX(1,MIN(IFERROR(MATCH(U99,Tables!$A$260:$A$274,1),1),ROWS(Tables!$A$260:$A$274)-1))))/(INDEX(Tables!$A$260:$A$274,MAX(1,MIN(IFERROR(MATCH(U99,Tables!$A$260:$A$274,1),1),ROWS(Tables!$A$260:$A$274)-1))+1)-INDEX(Tables!$A$260:$A$274,MAX(1,MIN(IFERROR(MATCH(U99,Tables!$A$260:$A$274,1),1),ROWS(Tables!$A$260:$A$274)-1))))),IF(P99&lt;8,(INDEX(Tables!$D$260:$D$274,MAX(1,MIN(IFERROR(MATCH(U99,Tables!$C$260:$C$274,1),1),ROWS(Tables!$C$260:$C$274)-1)))+(U99-INDEX(Tables!$C$260:$C$274,MAX(1,MIN(IFERROR(MATCH(U99,Tables!$C$260:$C$274,1),1),ROWS(Tables!$C$260:$C$274)-1))))*(INDEX(Tables!$D$260:$D$274,MAX(1,MIN(IFERROR(MATCH(U99,Tables!$C$260:$C$274,1),1),ROWS(Tables!$C$260:$C$274)-1))+1)-INDEX(Tables!$D$260:$D$274,MAX(1,MIN(IFERROR(MATCH(U99,Tables!$C$260:$C$274,1),1),ROWS(Tables!$C$260:$C$274)-1))))/(INDEX(Tables!$C$260:$C$274,MAX(1,MIN(IFERROR(MATCH(U99,Tables!$C$260:$C$274,1),1),ROWS(Tables!$C$260:$C$274)-1))+1)-INDEX(Tables!$C$260:$C$274,MAX(1,MIN(IFERROR(MATCH(U99,Tables!$C$260:$C$274,1),1),ROWS(Tables!$C$260:$C$274)-1))))),IF(P99&lt;10,(INDEX(Tables!$F$260:$F$274,MAX(1,MIN(IFERROR(MATCH(U99,Tables!$E$260:$E$274,1),1),ROWS(Tables!$E$260:$E$274)-1)))+(U99-INDEX(Tables!$E$260:$E$274,MAX(1,MIN(IFERROR(MATCH(U99,Tables!$E$260:$E$274,1),1),ROWS(Tables!$E$260:$E$274)-1))))*(INDEX(Tables!$F$260:$F$274,MAX(1,MIN(IFERROR(MATCH(U99,Tables!$E$260:$E$274,1),1),ROWS(Tables!$E$260:$E$274)-1))+1)-INDEX(Tables!$F$260:$F$274,MAX(1,MIN(IFERROR(MATCH(U99,Tables!$E$260:$E$274,1),1),ROWS(Tables!$E$260:$E$274)-1))))/(INDEX(Tables!$E$260:$E$274,MAX(1,MIN(IFERROR(MATCH(U99,Tables!$E$260:$E$274,1),1),ROWS(Tables!$E$260:$E$274)-1))+1)-INDEX(Tables!$E$260:$E$274,MAX(1,MIN(IFERROR(MATCH(U99,Tables!$E$260:$E$274,1),1),ROWS(Tables!$E$260:$E$274)-1))))),(INDEX(Tables!$H$260:$H$274,MAX(1,MIN(IFERROR(MATCH(U99,Tables!$G$260:$G$274,1),1),ROWS(Tables!$G$260:$G$274)-1)))+(U99-INDEX(Tables!$G$260:$G$274,MAX(1,MIN(IFERROR(MATCH(U99,Tables!$G$260:$G$274,1),1),ROWS(Tables!$G$260:$G$274)-1))))*(INDEX(Tables!$H$260:$H$274,MAX(1,MIN(IFERROR(MATCH(U99,Tables!$G$260:$G$274,1),1),ROWS(Tables!$G$260:$G$274)-1))+1)-INDEX(Tables!$H$260:$H$274,MAX(1,MIN(IFERROR(MATCH(U99,Tables!$G$260:$G$274,1),1),ROWS(Tables!$G$260:$G$274)-1))))/(INDEX(Tables!$G$260:$G$274,MAX(1,MIN(IFERROR(MATCH(U99,Tables!$G$260:$G$274,1),1),ROWS(Tables!$G$260:$G$274)-1))+1)-INDEX(Tables!$G$260:$G$274,MAX(1,MIN(IFERROR(MATCH(U99,Tables!$G$260:$G$274,1),1),ROWS(Tables!$G$260:$G$274)-1))))))))</f>
        <v>0.45700000000000002</v>
      </c>
      <c r="AW99" s="181">
        <f t="shared" si="105"/>
        <v>326.58419625000005</v>
      </c>
      <c r="AX99" s="181">
        <f t="shared" si="106"/>
        <v>-699.67500000000007</v>
      </c>
      <c r="AY99" s="181">
        <f t="shared" si="107"/>
        <v>22157.874065250002</v>
      </c>
      <c r="AZ99" s="181">
        <f t="shared" si="108"/>
        <v>6838.005417450001</v>
      </c>
      <c r="BA99" s="181">
        <f t="shared" si="109"/>
        <v>14.73</v>
      </c>
      <c r="BB99" s="181">
        <f t="shared" si="110"/>
        <v>19641.464964490802</v>
      </c>
      <c r="BC99" s="181">
        <f t="shared" si="111"/>
        <v>46800</v>
      </c>
      <c r="BD99" s="181">
        <f>VLOOKUP(V99&amp;" "&amp;J99,Tables!$A$152:$E$239,4,FALSE)</f>
        <v>12000</v>
      </c>
      <c r="BE99" s="181">
        <f>VLOOKUP(V99&amp;" "&amp;J99,Tables!$A$152:$E$239,5,FALSE)</f>
        <v>23000</v>
      </c>
      <c r="BF99" s="181">
        <f t="shared" si="112"/>
        <v>8640</v>
      </c>
      <c r="BG99" s="181">
        <f t="shared" si="113"/>
        <v>16560</v>
      </c>
      <c r="BH99" s="181">
        <f t="shared" si="114"/>
        <v>-707.04</v>
      </c>
      <c r="BI99" s="181">
        <f t="shared" si="115"/>
        <v>46800</v>
      </c>
      <c r="BJ99" s="181">
        <f t="shared" si="116"/>
        <v>19641.464964490802</v>
      </c>
      <c r="BK99" s="181">
        <f t="shared" si="117"/>
        <v>46800</v>
      </c>
      <c r="BL99" s="181">
        <f t="shared" si="118"/>
        <v>326.58419625000005</v>
      </c>
      <c r="BM99" s="181">
        <f t="shared" si="119"/>
        <v>8640</v>
      </c>
      <c r="BN99" s="181">
        <f t="shared" si="120"/>
        <v>453.13666124999997</v>
      </c>
      <c r="BO99" s="181">
        <f t="shared" si="121"/>
        <v>16560</v>
      </c>
      <c r="BP99" t="str">
        <f t="shared" si="122"/>
        <v>Pass</v>
      </c>
      <c r="BQ99" t="str">
        <f t="shared" si="123"/>
        <v>Pass</v>
      </c>
      <c r="BR99" t="str">
        <f t="shared" si="124"/>
        <v>Pass</v>
      </c>
      <c r="BS99" t="str">
        <f t="shared" si="125"/>
        <v>Pass</v>
      </c>
      <c r="BT99" t="str">
        <f t="shared" si="126"/>
        <v>Pass</v>
      </c>
      <c r="BU99" t="str">
        <f t="shared" si="127"/>
        <v>Effective Stress</v>
      </c>
    </row>
    <row r="100" spans="1:73">
      <c r="A100" t="s">
        <v>692</v>
      </c>
      <c r="B100" s="181">
        <v>98</v>
      </c>
      <c r="C100" t="s">
        <v>594</v>
      </c>
      <c r="D100" s="181">
        <v>6</v>
      </c>
      <c r="E100" s="181">
        <v>0.86399999999999999</v>
      </c>
      <c r="F100" t="s">
        <v>117</v>
      </c>
      <c r="G100" t="s">
        <v>119</v>
      </c>
      <c r="H100" t="s">
        <v>122</v>
      </c>
      <c r="I100" s="181">
        <v>1</v>
      </c>
      <c r="J100" t="s">
        <v>126</v>
      </c>
      <c r="K100" t="s">
        <v>129</v>
      </c>
      <c r="L100" s="181">
        <v>70</v>
      </c>
      <c r="M100" s="181">
        <v>-14.73</v>
      </c>
      <c r="N100" t="s">
        <v>389</v>
      </c>
      <c r="O100" s="181">
        <v>120</v>
      </c>
      <c r="P100" s="181">
        <v>1</v>
      </c>
      <c r="Q100" s="181">
        <v>8.625</v>
      </c>
      <c r="R100" t="s">
        <v>417</v>
      </c>
      <c r="S100" t="s">
        <v>420</v>
      </c>
      <c r="T100" s="181">
        <v>70</v>
      </c>
      <c r="U100" s="181">
        <f>HLOOKUP(D100,'Highway Loading'!$C$155:$AD$156,2,FALSE)</f>
        <v>6.625</v>
      </c>
      <c r="V100" s="181">
        <f>IF(ISBLANK(G100),"",INDEX('Highway Loading'!$C$216:$AG$216,1,MATCH(G100,'Highway Loading'!$C$215:$AG$215,0)))</f>
        <v>65000</v>
      </c>
      <c r="W100" s="181">
        <f>INDEX('Highway Loading'!$I$245:$L$253,MATCH(H100,'Highway Loading'!$H$245:$H$253,0),MATCH(I100,'Highway Loading'!$I$244:$L$244,0))</f>
        <v>0.72</v>
      </c>
      <c r="X100" s="181">
        <f t="shared" si="96"/>
        <v>1</v>
      </c>
      <c r="Y100" s="181">
        <f>VLOOKUP(K100,'Highway Loading'!$B$283:$E$292,2,FALSE)</f>
        <v>29000000</v>
      </c>
      <c r="Z100" s="181">
        <f>VLOOKUP(K100,'Highway Loading'!$B$283:$E$292,3,FALSE)</f>
        <v>0.3</v>
      </c>
      <c r="AA100" s="181">
        <f>VLOOKUP(K100,'Highway Loading'!$B$283:$E$292,4,FALSE)</f>
        <v>6.4999999999999996E-6</v>
      </c>
      <c r="AB100" s="181">
        <f t="shared" si="97"/>
        <v>1</v>
      </c>
      <c r="AC100" s="181">
        <f>VLOOKUP(N100,'Highway Loading'!$B$256:$D$261,2,FALSE)</f>
        <v>500</v>
      </c>
      <c r="AD100" s="181">
        <f>VLOOKUP(N100,'Highway Loading'!$B$256:$D$261,3,FALSE)</f>
        <v>5000</v>
      </c>
      <c r="AE100" s="181">
        <f>VLOOKUP(S100,'Highway Loading'!$B$340:$C$341,2,FALSE)</f>
        <v>12000</v>
      </c>
      <c r="AF100" s="181">
        <f t="shared" si="98"/>
        <v>0.13041509433962264</v>
      </c>
      <c r="AG100" s="181">
        <f t="shared" si="99"/>
        <v>1.3913043478260869</v>
      </c>
      <c r="AH100" s="181">
        <f t="shared" si="100"/>
        <v>1.3018867924528301</v>
      </c>
      <c r="AI100" s="181">
        <f t="shared" si="101"/>
        <v>-56.473524305555557</v>
      </c>
      <c r="AJ100" s="181">
        <f t="shared" si="102"/>
        <v>46800</v>
      </c>
      <c r="AK100" s="181">
        <f>IF(AC100=200,(INDEX(Tables!$B$17:$B$38,MAX(1,MIN(IFERROR(MATCH(AF100,Tables!$A$17:$A$38,1),1),ROWS(Tables!$A$17:$A$38)-1)))+(AF100-INDEX(Tables!$A$17:$A$38,MAX(1,MIN(IFERROR(MATCH(AF100,Tables!$A$17:$A$38,1),1),ROWS(Tables!$A$17:$A$38)-1))))*(INDEX(Tables!$B$17:$B$38,MAX(1,MIN(IFERROR(MATCH(AF100,Tables!$A$17:$A$38,1),1),ROWS(Tables!$A$17:$A$38)-1))+1)-INDEX(Tables!$B$17:$B$38,MAX(1,MIN(IFERROR(MATCH(AF100,Tables!$A$17:$A$38,1),1),ROWS(Tables!$A$17:$A$38)-1))))/(INDEX(Tables!$A$17:$A$38,MAX(1,MIN(IFERROR(MATCH(AF100,Tables!$A$17:$A$38,1),1),ROWS(Tables!$A$17:$A$38)-1))+1)-INDEX(Tables!$A$17:$A$38,MAX(1,MIN(IFERROR(MATCH(AF100,Tables!$A$17:$A$38,1),1),ROWS(Tables!$A$17:$A$38)-1))))),IF(AC100=500,(INDEX(Tables!$D$17:$D$38,MAX(1,MIN(IFERROR(MATCH(AF100,Tables!$C$17:$C$38,1),1),ROWS(Tables!$C$17:$C$38)-1)))+(AF100-INDEX(Tables!$C$17:$C$38,MAX(1,MIN(IFERROR(MATCH(AF100,Tables!$C$17:$C$38,1),1),ROWS(Tables!$C$17:$C$38)-1))))*(INDEX(Tables!$D$17:$D$38,MAX(1,MIN(IFERROR(MATCH(AF100,Tables!$C$17:$C$38,1),1),ROWS(Tables!$C$17:$C$38)-1))+1)-INDEX(Tables!$D$17:$D$38,MAX(1,MIN(IFERROR(MATCH(AF100,Tables!$C$17:$C$38,1),1),ROWS(Tables!$C$17:$C$38)-1))))/(INDEX(Tables!$C$17:$C$38,MAX(1,MIN(IFERROR(MATCH(AF100,Tables!$C$17:$C$38,1),1),ROWS(Tables!$C$17:$C$38)-1))+1)-INDEX(Tables!$C$17:$C$38,MAX(1,MIN(IFERROR(MATCH(AF100,Tables!$C$17:$C$38,1),1),ROWS(Tables!$C$17:$C$38)-1))))),IF(AC100=1000,(INDEX(Tables!$F$17:$F$38,MAX(1,MIN(IFERROR(MATCH(AF100,Tables!$E$17:$E$38,1),1),ROWS(Tables!$E$17:$E$38)-1)))+(AF100-INDEX(Tables!$E$17:$E$38,MAX(1,MIN(IFERROR(MATCH(AF100,Tables!$E$17:$E$38,1),1),ROWS(Tables!$E$17:$E$38)-1))))*(INDEX(Tables!$F$17:$F$38,MAX(1,MIN(IFERROR(MATCH(AF100,Tables!$E$17:$E$38,1),1),ROWS(Tables!$E$17:$E$38)-1))+1)-INDEX(Tables!$F$17:$F$38,MAX(1,MIN(IFERROR(MATCH(AF100,Tables!$E$17:$E$38,1),1),ROWS(Tables!$E$17:$E$38)-1))))/(INDEX(Tables!$E$17:$E$38,MAX(1,MIN(IFERROR(MATCH(AF100,Tables!$E$17:$E$38,1),1),ROWS(Tables!$E$17:$E$38)-1))+1)-INDEX(Tables!$E$17:$E$38,MAX(1,MIN(IFERROR(MATCH(AF100,Tables!$E$17:$E$38,1),1),ROWS(Tables!$E$17:$E$38)-1))))),(INDEX(Tables!$H$17:$H$38,MAX(1,MIN(IFERROR(MATCH(AF100,Tables!$G$17:$G$38,1),1),ROWS(Tables!$G$17:$G$38)-1)))+(AF100-INDEX(Tables!$G$17:$G$38,MAX(1,MIN(IFERROR(MATCH(AF100,Tables!$G$17:$G$38,1),1),ROWS(Tables!$G$17:$G$38)-1))))*(INDEX(Tables!$H$17:$H$38,MAX(1,MIN(IFERROR(MATCH(AF100,Tables!$G$17:$G$38,1),1),ROWS(Tables!$G$17:$G$38)-1))+1)-INDEX(Tables!$H$17:$H$38,MAX(1,MIN(IFERROR(MATCH(AF100,Tables!$G$17:$G$38,1),1),ROWS(Tables!$G$17:$G$38)-1))))/(INDEX(Tables!$G$17:$G$38,MAX(1,MIN(IFERROR(MATCH(AF100,Tables!$G$17:$G$38,1),1),ROWS(Tables!$G$17:$G$38)-1))+1)-INDEX(Tables!$G$17:$G$38,MAX(1,MIN(IFERROR(MATCH(AF100,Tables!$G$17:$G$38,1),1),ROWS(Tables!$G$17:$G$38)-1))))))))</f>
        <v>88</v>
      </c>
      <c r="AL100" s="181">
        <f>IF(AC100&lt;1000,(INDEX(Tables!$B$43:$B$76,MAX(1,MIN(IFERROR(MATCH(AG100,Tables!$A$43:$A$76,1),1),ROWS(Tables!$A$43:$A$76)-1)))+(AG100-INDEX(Tables!$A$43:$A$76,MAX(1,MIN(IFERROR(MATCH(AG100,Tables!$A$43:$A$76,1),1),ROWS(Tables!$A$43:$A$76)-1))))*(INDEX(Tables!$B$43:$B$76,MAX(1,MIN(IFERROR(MATCH(AG100,Tables!$A$43:$A$76,1),1),ROWS(Tables!$A$43:$A$76)-1))+1)-INDEX(Tables!$B$43:$B$76,MAX(1,MIN(IFERROR(MATCH(AG100,Tables!$A$43:$A$76,1),1),ROWS(Tables!$A$43:$A$76)-1))))/(INDEX(Tables!$A$43:$A$76,MAX(1,MIN(IFERROR(MATCH(AG100,Tables!$A$43:$A$76,1),1),ROWS(Tables!$A$43:$A$76)-1))+1)-INDEX(Tables!$A$43:$A$76,MAX(1,MIN(IFERROR(MATCH(AG100,Tables!$A$43:$A$76,1),1),ROWS(Tables!$A$43:$A$76)-1))))),(INDEX(Tables!$D$43:$D$76,MAX(1,MIN(IFERROR(MATCH(AG100,Tables!$C$43:$C$76,1),1),ROWS(Tables!$C$43:$C$76)-1)))+(AG100-INDEX(Tables!$C$43:$C$76,MAX(1,MIN(IFERROR(MATCH(AG100,Tables!$C$43:$C$76,1),1),ROWS(Tables!$C$43:$C$76)-1))))*(INDEX(Tables!$D$43:$D$76,MAX(1,MIN(IFERROR(MATCH(AG100,Tables!$C$43:$C$76,1),1),ROWS(Tables!$C$43:$C$76)-1))+1)-INDEX(Tables!$D$43:$D$76,MAX(1,MIN(IFERROR(MATCH(AG100,Tables!$C$43:$C$76,1),1),ROWS(Tables!$C$43:$C$76)-1))))/(INDEX(Tables!$C$43:$C$76,MAX(1,MIN(IFERROR(MATCH(AG100,Tables!$C$43:$C$76,1),1),ROWS(Tables!$C$43:$C$76)-1))+1)-INDEX(Tables!$C$43:$C$76,MAX(1,MIN(IFERROR(MATCH(AG100,Tables!$C$43:$C$76,1),1),ROWS(Tables!$C$43:$C$76)-1))))))</f>
        <v>0.44739130434782609</v>
      </c>
      <c r="AM100" s="181">
        <f>(INDEX(Tables!$B$80:$B$87,MAX(1,MIN(IFERROR(MATCH(AH100,Tables!$A$80:$A$87,1),1),ROWS(Tables!$A$80:$A$87)-1)))+(AH100-INDEX(Tables!$A$80:$A$87,MAX(1,MIN(IFERROR(MATCH(AH100,Tables!$A$80:$A$87,1),1),ROWS(Tables!$A$80:$A$87)-1))))*(INDEX(Tables!$B$80:$B$87,MAX(1,MIN(IFERROR(MATCH(AH100,Tables!$A$80:$A$87,1),1),ROWS(Tables!$A$80:$A$87)-1))+1)-INDEX(Tables!$B$80:$B$87,MAX(1,MIN(IFERROR(MATCH(AH100,Tables!$A$80:$A$87,1),1),ROWS(Tables!$A$80:$A$87)-1))))/(INDEX(Tables!$A$80:$A$87,MAX(1,MIN(IFERROR(MATCH(AH100,Tables!$A$80:$A$87,1),1),ROWS(Tables!$A$80:$A$87)-1))+1)-INDEX(Tables!$A$80:$A$87,MAX(1,MIN(IFERROR(MATCH(AH100,Tables!$A$80:$A$87,1),1),ROWS(Tables!$A$80:$A$87)-1)))))</f>
        <v>1.403996226415094</v>
      </c>
      <c r="AN100" s="181">
        <f t="shared" si="103"/>
        <v>25.430771865942024</v>
      </c>
      <c r="AO100" s="181">
        <f>(INDEX(Tables!$B$91:$B$94,MAX(1,MIN(IFERROR(MATCH(P100,Tables!$A$91:$A$94,1),1),ROWS(Tables!$A$91:$A$94)-1)))+(P100-INDEX(Tables!$A$91:$A$94,MAX(1,MIN(IFERROR(MATCH(P100,Tables!$A$91:$A$94,1),1),ROWS(Tables!$A$91:$A$94)-1))))*(INDEX(Tables!$B$91:$B$94,MAX(1,MIN(IFERROR(MATCH(P100,Tables!$A$91:$A$94,1),1),ROWS(Tables!$A$91:$A$94)-1))+1)-INDEX(Tables!$B$91:$B$94,MAX(1,MIN(IFERROR(MATCH(P100,Tables!$A$91:$A$94,1),1),ROWS(Tables!$A$91:$A$94)-1))))/(INDEX(Tables!$A$91:$A$94,MAX(1,MIN(IFERROR(MATCH(P100,Tables!$A$91:$A$94,1),1),ROWS(Tables!$A$91:$A$94)-1))+1)-INDEX(Tables!$A$91:$A$94,MAX(1,MIN(IFERROR(MATCH(P100,Tables!$A$91:$A$94,1),1),ROWS(Tables!$A$91:$A$94)-1)))))</f>
        <v>1.5</v>
      </c>
      <c r="AP100" s="181">
        <f>IF(AD100=5000,(INDEX(Tables!$B$99:$B$118,MAX(1,MIN(IFERROR(MATCH(AF100,Tables!$A$99:$A$118,1),1),ROWS(Tables!$A$99:$A$118)-1)))+(AF100-INDEX(Tables!$A$99:$A$118,MAX(1,MIN(IFERROR(MATCH(AF100,Tables!$A$99:$A$118,1),1),ROWS(Tables!$A$99:$A$118)-1))))*(INDEX(Tables!$B$99:$B$118,MAX(1,MIN(IFERROR(MATCH(AF100,Tables!$A$99:$A$118,1),1),ROWS(Tables!$A$99:$A$118)-1))+1)-INDEX(Tables!$B$99:$B$118,MAX(1,MIN(IFERROR(MATCH(AF100,Tables!$A$99:$A$118,1),1),ROWS(Tables!$A$99:$A$118)-1))))/(INDEX(Tables!$A$99:$A$118,MAX(1,MIN(IFERROR(MATCH(AF100,Tables!$A$99:$A$118,1),1),ROWS(Tables!$A$99:$A$118)-1))+1)-INDEX(Tables!$A$99:$A$118,MAX(1,MIN(IFERROR(MATCH(AF100,Tables!$A$99:$A$118,1),1),ROWS(Tables!$A$99:$A$118)-1))))),IF(AD100=10000,(INDEX(Tables!$D$99:$D$118,MAX(1,MIN(IFERROR(MATCH(AF100,Tables!$C$99:$C$118,1),1),ROWS(Tables!$C$99:$C$118)-1)))+(AF100-INDEX(Tables!$C$99:$C$118,MAX(1,MIN(IFERROR(MATCH(AF100,Tables!$C$99:$C$118,1),1),ROWS(Tables!$C$99:$C$118)-1))))*(INDEX(Tables!$D$99:$D$118,MAX(1,MIN(IFERROR(MATCH(AF100,Tables!$C$99:$C$118,1),1),ROWS(Tables!$C$99:$C$118)-1))+1)-INDEX(Tables!$D$99:$D$118,MAX(1,MIN(IFERROR(MATCH(AF100,Tables!$C$99:$C$118,1),1),ROWS(Tables!$C$99:$C$118)-1))))/(INDEX(Tables!$C$99:$C$118,MAX(1,MIN(IFERROR(MATCH(AF100,Tables!$C$99:$C$118,1),1),ROWS(Tables!$C$99:$C$118)-1))+1)-INDEX(Tables!$C$99:$C$118,MAX(1,MIN(IFERROR(MATCH(AF100,Tables!$C$99:$C$118,1),1),ROWS(Tables!$C$99:$C$118)-1))))),(INDEX(Tables!$F$99:$F$118,MAX(1,MIN(IFERROR(MATCH(AF100,Tables!$E$99:$E$118,1),1),ROWS(Tables!$E$99:$E$118)-1)))+(AF100-INDEX(Tables!$E$99:$E$118,MAX(1,MIN(IFERROR(MATCH(AF100,Tables!$E$99:$E$118,1),1),ROWS(Tables!$E$99:$E$118)-1))))*(INDEX(Tables!$F$99:$F$118,MAX(1,MIN(IFERROR(MATCH(AF100,Tables!$E$99:$E$118,1),1),ROWS(Tables!$E$99:$E$118)-1))+1)-INDEX(Tables!$F$99:$F$118,MAX(1,MIN(IFERROR(MATCH(AF100,Tables!$E$99:$E$118,1),1),ROWS(Tables!$E$99:$E$118)-1))))/(INDEX(Tables!$E$99:$E$118,MAX(1,MIN(IFERROR(MATCH(AF100,Tables!$E$99:$E$118,1),1),ROWS(Tables!$E$99:$E$118)-1))+1)-INDEX(Tables!$E$99:$E$118,MAX(1,MIN(IFERROR(MATCH(AF100,Tables!$E$99:$E$118,1),1),ROWS(Tables!$E$99:$E$118)-1)))))))</f>
        <v>1.9059999999999999</v>
      </c>
      <c r="AQ100" s="181">
        <f>IF(P100&lt;6,(INDEX(Tables!$B$123:$B$138,MAX(1,MIN(IFERROR(MATCH(U100,Tables!$A$123:$A$138,1),1),ROWS(Tables!$A$123:$A$138)-1)))+(U100-INDEX(Tables!$A$123:$A$138,MAX(1,MIN(IFERROR(MATCH(U100,Tables!$A$123:$A$138,1),1),ROWS(Tables!$A$123:$A$138)-1))))*(INDEX(Tables!$B$123:$B$138,MAX(1,MIN(IFERROR(MATCH(U100,Tables!$A$123:$A$138,1),1),ROWS(Tables!$A$123:$A$138)-1))+1)-INDEX(Tables!$B$123:$B$138,MAX(1,MIN(IFERROR(MATCH(U100,Tables!$A$123:$A$138,1),1),ROWS(Tables!$A$123:$A$138)-1))))/(INDEX(Tables!$A$123:$A$138,MAX(1,MIN(IFERROR(MATCH(U100,Tables!$A$123:$A$138,1),1),ROWS(Tables!$A$123:$A$138)-1))+1)-INDEX(Tables!$A$123:$A$138,MAX(1,MIN(IFERROR(MATCH(U100,Tables!$A$123:$A$138,1),1),ROWS(Tables!$A$123:$A$138)-1))))),IF(P100&lt;8,(INDEX(Tables!$D$123:$D$138,MAX(1,MIN(IFERROR(MATCH(U100,Tables!$C$123:$C$138,1),1),ROWS(Tables!$C$123:$C$138)-1)))+(U100-INDEX(Tables!$C$123:$C$138,MAX(1,MIN(IFERROR(MATCH(U100,Tables!$C$123:$C$138,1),1),ROWS(Tables!$C$123:$C$138)-1))))*(INDEX(Tables!$D$123:$D$138,MAX(1,MIN(IFERROR(MATCH(U100,Tables!$C$123:$C$138,1),1),ROWS(Tables!$C$123:$C$138)-1))+1)-INDEX(Tables!$D$123:$D$138,MAX(1,MIN(IFERROR(MATCH(U100,Tables!$C$123:$C$138,1),1),ROWS(Tables!$C$123:$C$138)-1))))/(INDEX(Tables!$C$123:$C$138,MAX(1,MIN(IFERROR(MATCH(U100,Tables!$C$123:$C$138,1),1),ROWS(Tables!$C$123:$C$138)-1))+1)-INDEX(Tables!$C$123:$C$138,MAX(1,MIN(IFERROR(MATCH(U100,Tables!$C$123:$C$138,1),1),ROWS(Tables!$C$123:$C$138)-1))))),IF(P100&lt;10,(INDEX(Tables!$F$123:$F$138,MAX(1,MIN(IFERROR(MATCH(U100,Tables!$E$123:$E$138,1),1),ROWS(Tables!$E$123:$E$138)-1)))+(U100-INDEX(Tables!$E$123:$E$138,MAX(1,MIN(IFERROR(MATCH(U100,Tables!$E$123:$E$138,1),1),ROWS(Tables!$E$123:$E$138)-1))))*(INDEX(Tables!$F$123:$F$138,MAX(1,MIN(IFERROR(MATCH(U100,Tables!$E$123:$E$138,1),1),ROWS(Tables!$E$123:$E$138)-1))+1)-INDEX(Tables!$F$123:$F$138,MAX(1,MIN(IFERROR(MATCH(U100,Tables!$E$123:$E$138,1),1),ROWS(Tables!$E$123:$E$138)-1))))/(INDEX(Tables!$E$123:$E$138,MAX(1,MIN(IFERROR(MATCH(U100,Tables!$E$123:$E$138,1),1),ROWS(Tables!$E$123:$E$138)-1))+1)-INDEX(Tables!$E$123:$E$138,MAX(1,MIN(IFERROR(MATCH(U100,Tables!$E$123:$E$138,1),1),ROWS(Tables!$E$123:$E$138)-1))))),(INDEX(Tables!$H$123:$H$138,MAX(1,MIN(IFERROR(MATCH(U100,Tables!$G$123:$G$138,1),1),ROWS(Tables!$G$123:$G$138)-1)))+(U100-INDEX(Tables!$G$123:$G$138,MAX(1,MIN(IFERROR(MATCH(U100,Tables!$G$123:$G$138,1),1),ROWS(Tables!$G$123:$G$138)-1))))*(INDEX(Tables!$H$123:$H$138,MAX(1,MIN(IFERROR(MATCH(U100,Tables!$G$123:$G$138,1),1),ROWS(Tables!$G$123:$G$138)-1))+1)-INDEX(Tables!$H$123:$H$138,MAX(1,MIN(IFERROR(MATCH(U100,Tables!$G$123:$G$138,1),1),ROWS(Tables!$G$123:$G$138)-1))))/(INDEX(Tables!$G$123:$G$138,MAX(1,MIN(IFERROR(MATCH(U100,Tables!$G$123:$G$138,1),1),ROWS(Tables!$G$123:$G$138)-1))+1)-INDEX(Tables!$G$123:$G$138,MAX(1,MIN(IFERROR(MATCH(U100,Tables!$G$123:$G$138,1),1),ROWS(Tables!$G$123:$G$138)-1))))))))</f>
        <v>1.4501250000000001</v>
      </c>
      <c r="AR100" s="181">
        <f>IF(OR(P100&gt;=4,U100&gt;12),VLOOKUP(R100&amp;" "&amp;S100,Tables!$D$143:$F$148,2,FALSE),VLOOKUP(R100&amp;" "&amp;S100,Tables!$A$143:$C$148,2,FALSE))</f>
        <v>1.2</v>
      </c>
      <c r="AS100" s="181">
        <f>IF(OR(P100&gt;=4,U100&gt;12),VLOOKUP(R100&amp;" "&amp;S100,Tables!$D$143:$F$148,3,FALSE),VLOOKUP(R100&amp;" "&amp;S100,Tables!$A$143:$C$148,3,FALSE))</f>
        <v>0.8</v>
      </c>
      <c r="AT100" s="181">
        <f t="shared" si="104"/>
        <v>331.67259000000001</v>
      </c>
      <c r="AU100" s="181">
        <f>IF(AD100=5000,(INDEX(Tables!$B$244:$B$263,MAX(1,MIN(IFERROR(MATCH(AF100,Tables!$A$244:$A$263,1),1),ROWS(Tables!$A$244:$A$263)-1)))+(AF100-INDEX(Tables!$A$244:$A$263,MAX(1,MIN(IFERROR(MATCH(AF100,Tables!$A$244:$A$263,1),1),ROWS(Tables!$A$244:$A$263)-1))))*(INDEX(Tables!$B$244:$B$263,MAX(1,MIN(IFERROR(MATCH(AF100,Tables!$A$244:$A$263,1),1),ROWS(Tables!$A$244:$A$263)-1))+1)-INDEX(Tables!$B$244:$B$263,MAX(1,MIN(IFERROR(MATCH(AF100,Tables!$A$244:$A$263,1),1),ROWS(Tables!$A$244:$A$263)-1))))/(INDEX(Tables!$A$244:$A$263,MAX(1,MIN(IFERROR(MATCH(AF100,Tables!$A$244:$A$263,1),1),ROWS(Tables!$A$244:$A$263)-1))+1)-INDEX(Tables!$A$244:$A$263,MAX(1,MIN(IFERROR(MATCH(AF100,Tables!$A$244:$A$263,1),1),ROWS(Tables!$A$244:$A$263)-1))))),IF(AD100=10000,(INDEX(Tables!$D$244:$D$263,MAX(1,MIN(IFERROR(MATCH(AF100,Tables!$C$244:$C$263,1),1),ROWS(Tables!$C$244:$C$263)-1)))+(AF100-INDEX(Tables!$C$244:$C$263,MAX(1,MIN(IFERROR(MATCH(AF100,Tables!$C$244:$C$263,1),1),ROWS(Tables!$C$244:$C$263)-1))))*(INDEX(Tables!$D$244:$D$263,MAX(1,MIN(IFERROR(MATCH(AF100,Tables!$C$244:$C$263,1),1),ROWS(Tables!$C$244:$C$263)-1))+1)-INDEX(Tables!$D$244:$D$263,MAX(1,MIN(IFERROR(MATCH(AF100,Tables!$C$244:$C$263,1),1),ROWS(Tables!$C$244:$C$263)-1))))/(INDEX(Tables!$C$244:$C$263,MAX(1,MIN(IFERROR(MATCH(AF100,Tables!$C$244:$C$263,1),1),ROWS(Tables!$C$244:$C$263)-1))+1)-INDEX(Tables!$C$244:$C$263,MAX(1,MIN(IFERROR(MATCH(AF100,Tables!$C$244:$C$263,1),1),ROWS(Tables!$C$244:$C$263)-1))))),(INDEX(Tables!$F$244:$F$263,MAX(1,MIN(IFERROR(MATCH(AF100,Tables!$E$244:$E$263,1),1),ROWS(Tables!$E$244:$E$263)-1)))+(AF100-INDEX(Tables!$E$244:$E$263,MAX(1,MIN(IFERROR(MATCH(AF100,Tables!$E$244:$E$263,1),1),ROWS(Tables!$E$244:$E$263)-1))))*(INDEX(Tables!$F$244:$F$263,MAX(1,MIN(IFERROR(MATCH(AF100,Tables!$E$244:$E$263,1),1),ROWS(Tables!$E$244:$E$263)-1))+1)-INDEX(Tables!$F$244:$F$263,MAX(1,MIN(IFERROR(MATCH(AF100,Tables!$E$244:$E$263,1),1),ROWS(Tables!$E$244:$E$263)-1))))/(INDEX(Tables!$E$244:$E$263,MAX(1,MIN(IFERROR(MATCH(AF100,Tables!$E$244:$E$263,1),1),ROWS(Tables!$E$244:$E$263)-1))+1)-INDEX(Tables!$E$244:$E$263,MAX(1,MIN(IFERROR(MATCH(AF100,Tables!$E$244:$E$263,1),1),ROWS(Tables!$E$244:$E$263)-1)))))))</f>
        <v>2.5920000000000001</v>
      </c>
      <c r="AV100" s="181">
        <f>IF(P100&lt;6,(INDEX(Tables!$B$260:$B$274,MAX(1,MIN(IFERROR(MATCH(U100,Tables!$A$260:$A$274,1),1),ROWS(Tables!$A$260:$A$274)-1)))+(U100-INDEX(Tables!$A$260:$A$274,MAX(1,MIN(IFERROR(MATCH(U100,Tables!$A$260:$A$274,1),1),ROWS(Tables!$A$260:$A$274)-1))))*(INDEX(Tables!$B$260:$B$274,MAX(1,MIN(IFERROR(MATCH(U100,Tables!$A$260:$A$274,1),1),ROWS(Tables!$A$260:$A$274)-1))+1)-INDEX(Tables!$B$260:$B$274,MAX(1,MIN(IFERROR(MATCH(U100,Tables!$A$260:$A$274,1),1),ROWS(Tables!$A$260:$A$274)-1))))/(INDEX(Tables!$A$260:$A$274,MAX(1,MIN(IFERROR(MATCH(U100,Tables!$A$260:$A$274,1),1),ROWS(Tables!$A$260:$A$274)-1))+1)-INDEX(Tables!$A$260:$A$274,MAX(1,MIN(IFERROR(MATCH(U100,Tables!$A$260:$A$274,1),1),ROWS(Tables!$A$260:$A$274)-1))))),IF(P100&lt;8,(INDEX(Tables!$D$260:$D$274,MAX(1,MIN(IFERROR(MATCH(U100,Tables!$C$260:$C$274,1),1),ROWS(Tables!$C$260:$C$274)-1)))+(U100-INDEX(Tables!$C$260:$C$274,MAX(1,MIN(IFERROR(MATCH(U100,Tables!$C$260:$C$274,1),1),ROWS(Tables!$C$260:$C$274)-1))))*(INDEX(Tables!$D$260:$D$274,MAX(1,MIN(IFERROR(MATCH(U100,Tables!$C$260:$C$274,1),1),ROWS(Tables!$C$260:$C$274)-1))+1)-INDEX(Tables!$D$260:$D$274,MAX(1,MIN(IFERROR(MATCH(U100,Tables!$C$260:$C$274,1),1),ROWS(Tables!$C$260:$C$274)-1))))/(INDEX(Tables!$C$260:$C$274,MAX(1,MIN(IFERROR(MATCH(U100,Tables!$C$260:$C$274,1),1),ROWS(Tables!$C$260:$C$274)-1))+1)-INDEX(Tables!$C$260:$C$274,MAX(1,MIN(IFERROR(MATCH(U100,Tables!$C$260:$C$274,1),1),ROWS(Tables!$C$260:$C$274)-1))))),IF(P100&lt;10,(INDEX(Tables!$F$260:$F$274,MAX(1,MIN(IFERROR(MATCH(U100,Tables!$E$260:$E$274,1),1),ROWS(Tables!$E$260:$E$274)-1)))+(U100-INDEX(Tables!$E$260:$E$274,MAX(1,MIN(IFERROR(MATCH(U100,Tables!$E$260:$E$274,1),1),ROWS(Tables!$E$260:$E$274)-1))))*(INDEX(Tables!$F$260:$F$274,MAX(1,MIN(IFERROR(MATCH(U100,Tables!$E$260:$E$274,1),1),ROWS(Tables!$E$260:$E$274)-1))+1)-INDEX(Tables!$F$260:$F$274,MAX(1,MIN(IFERROR(MATCH(U100,Tables!$E$260:$E$274,1),1),ROWS(Tables!$E$260:$E$274)-1))))/(INDEX(Tables!$E$260:$E$274,MAX(1,MIN(IFERROR(MATCH(U100,Tables!$E$260:$E$274,1),1),ROWS(Tables!$E$260:$E$274)-1))+1)-INDEX(Tables!$E$260:$E$274,MAX(1,MIN(IFERROR(MATCH(U100,Tables!$E$260:$E$274,1),1),ROWS(Tables!$E$260:$E$274)-1))))),(INDEX(Tables!$H$260:$H$274,MAX(1,MIN(IFERROR(MATCH(U100,Tables!$G$260:$G$274,1),1),ROWS(Tables!$G$260:$G$274)-1)))+(U100-INDEX(Tables!$G$260:$G$274,MAX(1,MIN(IFERROR(MATCH(U100,Tables!$G$260:$G$274,1),1),ROWS(Tables!$G$260:$G$274)-1))))*(INDEX(Tables!$H$260:$H$274,MAX(1,MIN(IFERROR(MATCH(U100,Tables!$G$260:$G$274,1),1),ROWS(Tables!$G$260:$G$274)-1))+1)-INDEX(Tables!$H$260:$H$274,MAX(1,MIN(IFERROR(MATCH(U100,Tables!$G$260:$G$274,1),1),ROWS(Tables!$G$260:$G$274)-1))))/(INDEX(Tables!$G$260:$G$274,MAX(1,MIN(IFERROR(MATCH(U100,Tables!$G$260:$G$274,1),1),ROWS(Tables!$G$260:$G$274)-1))+1)-INDEX(Tables!$G$260:$G$274,MAX(1,MIN(IFERROR(MATCH(U100,Tables!$G$260:$G$274,1),1),ROWS(Tables!$G$260:$G$274)-1))))))))</f>
        <v>1.4965000000000002</v>
      </c>
      <c r="AW100" s="181">
        <f t="shared" si="105"/>
        <v>465.47136000000012</v>
      </c>
      <c r="AX100" s="181">
        <f t="shared" si="106"/>
        <v>-49.108524305555562</v>
      </c>
      <c r="AY100" s="181">
        <f t="shared" si="107"/>
        <v>307.99483756038649</v>
      </c>
      <c r="AZ100" s="181">
        <f t="shared" si="108"/>
        <v>458.36803426811605</v>
      </c>
      <c r="BA100" s="181">
        <f t="shared" si="109"/>
        <v>14.73</v>
      </c>
      <c r="BB100" s="181">
        <f t="shared" si="110"/>
        <v>390.78834980504439</v>
      </c>
      <c r="BC100" s="181">
        <f t="shared" si="111"/>
        <v>46800</v>
      </c>
      <c r="BD100" s="181">
        <f>VLOOKUP(V100&amp;" "&amp;J100,Tables!$A$152:$E$239,4,FALSE)</f>
        <v>12000</v>
      </c>
      <c r="BE100" s="181">
        <f>VLOOKUP(V100&amp;" "&amp;J100,Tables!$A$152:$E$239,5,FALSE)</f>
        <v>23000</v>
      </c>
      <c r="BF100" s="181">
        <f t="shared" si="112"/>
        <v>8640</v>
      </c>
      <c r="BG100" s="181">
        <f t="shared" si="113"/>
        <v>16560</v>
      </c>
      <c r="BH100" s="181">
        <f t="shared" si="114"/>
        <v>-56.473524305555557</v>
      </c>
      <c r="BI100" s="181">
        <f t="shared" si="115"/>
        <v>46800</v>
      </c>
      <c r="BJ100" s="181">
        <f t="shared" si="116"/>
        <v>390.78834980504439</v>
      </c>
      <c r="BK100" s="181">
        <f t="shared" si="117"/>
        <v>46800</v>
      </c>
      <c r="BL100" s="181">
        <f t="shared" si="118"/>
        <v>465.47136000000012</v>
      </c>
      <c r="BM100" s="181">
        <f t="shared" si="119"/>
        <v>8640</v>
      </c>
      <c r="BN100" s="181">
        <f t="shared" si="120"/>
        <v>331.67259000000001</v>
      </c>
      <c r="BO100" s="181">
        <f t="shared" si="121"/>
        <v>16560</v>
      </c>
      <c r="BP100" t="str">
        <f t="shared" si="122"/>
        <v>Pass</v>
      </c>
      <c r="BQ100" t="str">
        <f t="shared" si="123"/>
        <v>Pass</v>
      </c>
      <c r="BR100" t="str">
        <f t="shared" si="124"/>
        <v>Pass</v>
      </c>
      <c r="BS100" t="str">
        <f t="shared" si="125"/>
        <v>Pass</v>
      </c>
      <c r="BT100" t="str">
        <f t="shared" si="126"/>
        <v>Pass</v>
      </c>
      <c r="BU100" t="str">
        <f t="shared" si="127"/>
        <v>Girth Weld Stress</v>
      </c>
    </row>
    <row r="101" spans="1:73">
      <c r="A101" t="s">
        <v>693</v>
      </c>
      <c r="B101" s="181">
        <v>99</v>
      </c>
      <c r="C101" t="s">
        <v>594</v>
      </c>
      <c r="D101" s="181">
        <v>8</v>
      </c>
      <c r="E101" s="181">
        <v>0.90600000000000003</v>
      </c>
      <c r="F101" t="s">
        <v>117</v>
      </c>
      <c r="G101" t="s">
        <v>119</v>
      </c>
      <c r="H101" t="s">
        <v>122</v>
      </c>
      <c r="I101" s="181">
        <v>1</v>
      </c>
      <c r="J101" t="s">
        <v>126</v>
      </c>
      <c r="K101" t="s">
        <v>129</v>
      </c>
      <c r="L101" s="181">
        <v>70</v>
      </c>
      <c r="M101" s="181">
        <v>0</v>
      </c>
      <c r="N101" t="s">
        <v>389</v>
      </c>
      <c r="O101" s="181">
        <v>120</v>
      </c>
      <c r="P101" s="181">
        <v>3</v>
      </c>
      <c r="Q101" s="181">
        <v>10.625</v>
      </c>
      <c r="R101" t="s">
        <v>417</v>
      </c>
      <c r="S101" t="s">
        <v>156</v>
      </c>
      <c r="T101" s="181">
        <v>70</v>
      </c>
      <c r="U101" s="181">
        <f>HLOOKUP(D101,'Highway Loading'!$C$155:$AD$156,2,FALSE)</f>
        <v>8.625</v>
      </c>
      <c r="V101" s="181">
        <f>IF(ISBLANK(G101),"",INDEX('Highway Loading'!$C$216:$AG$216,1,MATCH(G101,'Highway Loading'!$C$215:$AG$215,0)))</f>
        <v>65000</v>
      </c>
      <c r="W101" s="181">
        <f>INDEX('Highway Loading'!$I$245:$L$253,MATCH(H101,'Highway Loading'!$H$245:$H$253,0),MATCH(I101,'Highway Loading'!$I$244:$L$244,0))</f>
        <v>0.72</v>
      </c>
      <c r="X101" s="181">
        <f t="shared" si="96"/>
        <v>1</v>
      </c>
      <c r="Y101" s="181">
        <f>VLOOKUP(K101,'Highway Loading'!$B$283:$E$292,2,FALSE)</f>
        <v>29000000</v>
      </c>
      <c r="Z101" s="181">
        <f>VLOOKUP(K101,'Highway Loading'!$B$283:$E$292,3,FALSE)</f>
        <v>0.3</v>
      </c>
      <c r="AA101" s="181">
        <f>VLOOKUP(K101,'Highway Loading'!$B$283:$E$292,4,FALSE)</f>
        <v>6.4999999999999996E-6</v>
      </c>
      <c r="AB101" s="181">
        <f t="shared" si="97"/>
        <v>1</v>
      </c>
      <c r="AC101" s="181">
        <f>VLOOKUP(N101,'Highway Loading'!$B$256:$D$261,2,FALSE)</f>
        <v>500</v>
      </c>
      <c r="AD101" s="181">
        <f>VLOOKUP(N101,'Highway Loading'!$B$256:$D$261,3,FALSE)</f>
        <v>5000</v>
      </c>
      <c r="AE101" s="181">
        <f>VLOOKUP(S101,'Highway Loading'!$B$340:$C$341,2,FALSE)</f>
        <v>10000</v>
      </c>
      <c r="AF101" s="181">
        <f t="shared" si="98"/>
        <v>0.10504347826086957</v>
      </c>
      <c r="AG101" s="181">
        <f t="shared" si="99"/>
        <v>3.388235294117647</v>
      </c>
      <c r="AH101" s="181">
        <f t="shared" si="100"/>
        <v>1.2318840579710144</v>
      </c>
      <c r="AI101" s="181">
        <f t="shared" si="101"/>
        <v>0</v>
      </c>
      <c r="AJ101" s="181">
        <f t="shared" si="102"/>
        <v>46800</v>
      </c>
      <c r="AK101" s="181">
        <f>IF(AC101=200,(INDEX(Tables!$B$17:$B$38,MAX(1,MIN(IFERROR(MATCH(AF101,Tables!$A$17:$A$38,1),1),ROWS(Tables!$A$17:$A$38)-1)))+(AF101-INDEX(Tables!$A$17:$A$38,MAX(1,MIN(IFERROR(MATCH(AF101,Tables!$A$17:$A$38,1),1),ROWS(Tables!$A$17:$A$38)-1))))*(INDEX(Tables!$B$17:$B$38,MAX(1,MIN(IFERROR(MATCH(AF101,Tables!$A$17:$A$38,1),1),ROWS(Tables!$A$17:$A$38)-1))+1)-INDEX(Tables!$B$17:$B$38,MAX(1,MIN(IFERROR(MATCH(AF101,Tables!$A$17:$A$38,1),1),ROWS(Tables!$A$17:$A$38)-1))))/(INDEX(Tables!$A$17:$A$38,MAX(1,MIN(IFERROR(MATCH(AF101,Tables!$A$17:$A$38,1),1),ROWS(Tables!$A$17:$A$38)-1))+1)-INDEX(Tables!$A$17:$A$38,MAX(1,MIN(IFERROR(MATCH(AF101,Tables!$A$17:$A$38,1),1),ROWS(Tables!$A$17:$A$38)-1))))),IF(AC101=500,(INDEX(Tables!$D$17:$D$38,MAX(1,MIN(IFERROR(MATCH(AF101,Tables!$C$17:$C$38,1),1),ROWS(Tables!$C$17:$C$38)-1)))+(AF101-INDEX(Tables!$C$17:$C$38,MAX(1,MIN(IFERROR(MATCH(AF101,Tables!$C$17:$C$38,1),1),ROWS(Tables!$C$17:$C$38)-1))))*(INDEX(Tables!$D$17:$D$38,MAX(1,MIN(IFERROR(MATCH(AF101,Tables!$C$17:$C$38,1),1),ROWS(Tables!$C$17:$C$38)-1))+1)-INDEX(Tables!$D$17:$D$38,MAX(1,MIN(IFERROR(MATCH(AF101,Tables!$C$17:$C$38,1),1),ROWS(Tables!$C$17:$C$38)-1))))/(INDEX(Tables!$C$17:$C$38,MAX(1,MIN(IFERROR(MATCH(AF101,Tables!$C$17:$C$38,1),1),ROWS(Tables!$C$17:$C$38)-1))+1)-INDEX(Tables!$C$17:$C$38,MAX(1,MIN(IFERROR(MATCH(AF101,Tables!$C$17:$C$38,1),1),ROWS(Tables!$C$17:$C$38)-1))))),IF(AC101=1000,(INDEX(Tables!$F$17:$F$38,MAX(1,MIN(IFERROR(MATCH(AF101,Tables!$E$17:$E$38,1),1),ROWS(Tables!$E$17:$E$38)-1)))+(AF101-INDEX(Tables!$E$17:$E$38,MAX(1,MIN(IFERROR(MATCH(AF101,Tables!$E$17:$E$38,1),1),ROWS(Tables!$E$17:$E$38)-1))))*(INDEX(Tables!$F$17:$F$38,MAX(1,MIN(IFERROR(MATCH(AF101,Tables!$E$17:$E$38,1),1),ROWS(Tables!$E$17:$E$38)-1))+1)-INDEX(Tables!$F$17:$F$38,MAX(1,MIN(IFERROR(MATCH(AF101,Tables!$E$17:$E$38,1),1),ROWS(Tables!$E$17:$E$38)-1))))/(INDEX(Tables!$E$17:$E$38,MAX(1,MIN(IFERROR(MATCH(AF101,Tables!$E$17:$E$38,1),1),ROWS(Tables!$E$17:$E$38)-1))+1)-INDEX(Tables!$E$17:$E$38,MAX(1,MIN(IFERROR(MATCH(AF101,Tables!$E$17:$E$38,1),1),ROWS(Tables!$E$17:$E$38)-1))))),(INDEX(Tables!$H$17:$H$38,MAX(1,MIN(IFERROR(MATCH(AF101,Tables!$G$17:$G$38,1),1),ROWS(Tables!$G$17:$G$38)-1)))+(AF101-INDEX(Tables!$G$17:$G$38,MAX(1,MIN(IFERROR(MATCH(AF101,Tables!$G$17:$G$38,1),1),ROWS(Tables!$G$17:$G$38)-1))))*(INDEX(Tables!$H$17:$H$38,MAX(1,MIN(IFERROR(MATCH(AF101,Tables!$G$17:$G$38,1),1),ROWS(Tables!$G$17:$G$38)-1))+1)-INDEX(Tables!$H$17:$H$38,MAX(1,MIN(IFERROR(MATCH(AF101,Tables!$G$17:$G$38,1),1),ROWS(Tables!$G$17:$G$38)-1))))/(INDEX(Tables!$G$17:$G$38,MAX(1,MIN(IFERROR(MATCH(AF101,Tables!$G$17:$G$38,1),1),ROWS(Tables!$G$17:$G$38)-1))+1)-INDEX(Tables!$G$17:$G$38,MAX(1,MIN(IFERROR(MATCH(AF101,Tables!$G$17:$G$38,1),1),ROWS(Tables!$G$17:$G$38)-1))))))))</f>
        <v>88</v>
      </c>
      <c r="AL101" s="181">
        <f>IF(AC101&lt;1000,(INDEX(Tables!$B$43:$B$76,MAX(1,MIN(IFERROR(MATCH(AG101,Tables!$A$43:$A$76,1),1),ROWS(Tables!$A$43:$A$76)-1)))+(AG101-INDEX(Tables!$A$43:$A$76,MAX(1,MIN(IFERROR(MATCH(AG101,Tables!$A$43:$A$76,1),1),ROWS(Tables!$A$43:$A$76)-1))))*(INDEX(Tables!$B$43:$B$76,MAX(1,MIN(IFERROR(MATCH(AG101,Tables!$A$43:$A$76,1),1),ROWS(Tables!$A$43:$A$76)-1))+1)-INDEX(Tables!$B$43:$B$76,MAX(1,MIN(IFERROR(MATCH(AG101,Tables!$A$43:$A$76,1),1),ROWS(Tables!$A$43:$A$76)-1))))/(INDEX(Tables!$A$43:$A$76,MAX(1,MIN(IFERROR(MATCH(AG101,Tables!$A$43:$A$76,1),1),ROWS(Tables!$A$43:$A$76)-1))+1)-INDEX(Tables!$A$43:$A$76,MAX(1,MIN(IFERROR(MATCH(AG101,Tables!$A$43:$A$76,1),1),ROWS(Tables!$A$43:$A$76)-1))))),(INDEX(Tables!$D$43:$D$76,MAX(1,MIN(IFERROR(MATCH(AG101,Tables!$C$43:$C$76,1),1),ROWS(Tables!$C$43:$C$76)-1)))+(AG101-INDEX(Tables!$C$43:$C$76,MAX(1,MIN(IFERROR(MATCH(AG101,Tables!$C$43:$C$76,1),1),ROWS(Tables!$C$43:$C$76)-1))))*(INDEX(Tables!$D$43:$D$76,MAX(1,MIN(IFERROR(MATCH(AG101,Tables!$C$43:$C$76,1),1),ROWS(Tables!$C$43:$C$76)-1))+1)-INDEX(Tables!$D$43:$D$76,MAX(1,MIN(IFERROR(MATCH(AG101,Tables!$C$43:$C$76,1),1),ROWS(Tables!$C$43:$C$76)-1))))/(INDEX(Tables!$C$43:$C$76,MAX(1,MIN(IFERROR(MATCH(AG101,Tables!$C$43:$C$76,1),1),ROWS(Tables!$C$43:$C$76)-1))+1)-INDEX(Tables!$C$43:$C$76,MAX(1,MIN(IFERROR(MATCH(AG101,Tables!$C$43:$C$76,1),1),ROWS(Tables!$C$43:$C$76)-1))))))</f>
        <v>0.89796470588235289</v>
      </c>
      <c r="AM101" s="181">
        <f>(INDEX(Tables!$B$80:$B$87,MAX(1,MIN(IFERROR(MATCH(AH101,Tables!$A$80:$A$87,1),1),ROWS(Tables!$A$80:$A$87)-1)))+(AH101-INDEX(Tables!$A$80:$A$87,MAX(1,MIN(IFERROR(MATCH(AH101,Tables!$A$80:$A$87,1),1),ROWS(Tables!$A$80:$A$87)-1))))*(INDEX(Tables!$B$80:$B$87,MAX(1,MIN(IFERROR(MATCH(AH101,Tables!$A$80:$A$87,1),1),ROWS(Tables!$A$80:$A$87)-1))+1)-INDEX(Tables!$B$80:$B$87,MAX(1,MIN(IFERROR(MATCH(AH101,Tables!$A$80:$A$87,1),1),ROWS(Tables!$A$80:$A$87)-1))))/(INDEX(Tables!$A$80:$A$87,MAX(1,MIN(IFERROR(MATCH(AH101,Tables!$A$80:$A$87,1),1),ROWS(Tables!$A$80:$A$87)-1))+1)-INDEX(Tables!$A$80:$A$87,MAX(1,MIN(IFERROR(MATCH(AH101,Tables!$A$80:$A$87,1),1),ROWS(Tables!$A$80:$A$87)-1)))))</f>
        <v>1.2567086956521738</v>
      </c>
      <c r="AN101" s="181">
        <f t="shared" si="103"/>
        <v>59.480302860539219</v>
      </c>
      <c r="AO101" s="181">
        <f>(INDEX(Tables!$B$91:$B$94,MAX(1,MIN(IFERROR(MATCH(P101,Tables!$A$91:$A$94,1),1),ROWS(Tables!$A$91:$A$94)-1)))+(P101-INDEX(Tables!$A$91:$A$94,MAX(1,MIN(IFERROR(MATCH(P101,Tables!$A$91:$A$94,1),1),ROWS(Tables!$A$91:$A$94)-1))))*(INDEX(Tables!$B$91:$B$94,MAX(1,MIN(IFERROR(MATCH(P101,Tables!$A$91:$A$94,1),1),ROWS(Tables!$A$91:$A$94)-1))+1)-INDEX(Tables!$B$91:$B$94,MAX(1,MIN(IFERROR(MATCH(P101,Tables!$A$91:$A$94,1),1),ROWS(Tables!$A$91:$A$94)-1))))/(INDEX(Tables!$A$91:$A$94,MAX(1,MIN(IFERROR(MATCH(P101,Tables!$A$91:$A$94,1),1),ROWS(Tables!$A$91:$A$94)-1))+1)-INDEX(Tables!$A$91:$A$94,MAX(1,MIN(IFERROR(MATCH(P101,Tables!$A$91:$A$94,1),1),ROWS(Tables!$A$91:$A$94)-1)))))</f>
        <v>1.5</v>
      </c>
      <c r="AP101" s="181">
        <f>IF(AD101=5000,(INDEX(Tables!$B$99:$B$118,MAX(1,MIN(IFERROR(MATCH(AF101,Tables!$A$99:$A$118,1),1),ROWS(Tables!$A$99:$A$118)-1)))+(AF101-INDEX(Tables!$A$99:$A$118,MAX(1,MIN(IFERROR(MATCH(AF101,Tables!$A$99:$A$118,1),1),ROWS(Tables!$A$99:$A$118)-1))))*(INDEX(Tables!$B$99:$B$118,MAX(1,MIN(IFERROR(MATCH(AF101,Tables!$A$99:$A$118,1),1),ROWS(Tables!$A$99:$A$118)-1))+1)-INDEX(Tables!$B$99:$B$118,MAX(1,MIN(IFERROR(MATCH(AF101,Tables!$A$99:$A$118,1),1),ROWS(Tables!$A$99:$A$118)-1))))/(INDEX(Tables!$A$99:$A$118,MAX(1,MIN(IFERROR(MATCH(AF101,Tables!$A$99:$A$118,1),1),ROWS(Tables!$A$99:$A$118)-1))+1)-INDEX(Tables!$A$99:$A$118,MAX(1,MIN(IFERROR(MATCH(AF101,Tables!$A$99:$A$118,1),1),ROWS(Tables!$A$99:$A$118)-1))))),IF(AD101=10000,(INDEX(Tables!$D$99:$D$118,MAX(1,MIN(IFERROR(MATCH(AF101,Tables!$C$99:$C$118,1),1),ROWS(Tables!$C$99:$C$118)-1)))+(AF101-INDEX(Tables!$C$99:$C$118,MAX(1,MIN(IFERROR(MATCH(AF101,Tables!$C$99:$C$118,1),1),ROWS(Tables!$C$99:$C$118)-1))))*(INDEX(Tables!$D$99:$D$118,MAX(1,MIN(IFERROR(MATCH(AF101,Tables!$C$99:$C$118,1),1),ROWS(Tables!$C$99:$C$118)-1))+1)-INDEX(Tables!$D$99:$D$118,MAX(1,MIN(IFERROR(MATCH(AF101,Tables!$C$99:$C$118,1),1),ROWS(Tables!$C$99:$C$118)-1))))/(INDEX(Tables!$C$99:$C$118,MAX(1,MIN(IFERROR(MATCH(AF101,Tables!$C$99:$C$118,1),1),ROWS(Tables!$C$99:$C$118)-1))+1)-INDEX(Tables!$C$99:$C$118,MAX(1,MIN(IFERROR(MATCH(AF101,Tables!$C$99:$C$118,1),1),ROWS(Tables!$C$99:$C$118)-1))))),(INDEX(Tables!$F$99:$F$118,MAX(1,MIN(IFERROR(MATCH(AF101,Tables!$E$99:$E$118,1),1),ROWS(Tables!$E$99:$E$118)-1)))+(AF101-INDEX(Tables!$E$99:$E$118,MAX(1,MIN(IFERROR(MATCH(AF101,Tables!$E$99:$E$118,1),1),ROWS(Tables!$E$99:$E$118)-1))))*(INDEX(Tables!$F$99:$F$118,MAX(1,MIN(IFERROR(MATCH(AF101,Tables!$E$99:$E$118,1),1),ROWS(Tables!$E$99:$E$118)-1))+1)-INDEX(Tables!$F$99:$F$118,MAX(1,MIN(IFERROR(MATCH(AF101,Tables!$E$99:$E$118,1),1),ROWS(Tables!$E$99:$E$118)-1))))/(INDEX(Tables!$E$99:$E$118,MAX(1,MIN(IFERROR(MATCH(AF101,Tables!$E$99:$E$118,1),1),ROWS(Tables!$E$99:$E$118)-1))+1)-INDEX(Tables!$E$99:$E$118,MAX(1,MIN(IFERROR(MATCH(AF101,Tables!$E$99:$E$118,1),1),ROWS(Tables!$E$99:$E$118)-1)))))))</f>
        <v>1.9059999999999999</v>
      </c>
      <c r="AQ101" s="181">
        <f>IF(P101&lt;6,(INDEX(Tables!$B$123:$B$138,MAX(1,MIN(IFERROR(MATCH(U101,Tables!$A$123:$A$138,1),1),ROWS(Tables!$A$123:$A$138)-1)))+(U101-INDEX(Tables!$A$123:$A$138,MAX(1,MIN(IFERROR(MATCH(U101,Tables!$A$123:$A$138,1),1),ROWS(Tables!$A$123:$A$138)-1))))*(INDEX(Tables!$B$123:$B$138,MAX(1,MIN(IFERROR(MATCH(U101,Tables!$A$123:$A$138,1),1),ROWS(Tables!$A$123:$A$138)-1))+1)-INDEX(Tables!$B$123:$B$138,MAX(1,MIN(IFERROR(MATCH(U101,Tables!$A$123:$A$138,1),1),ROWS(Tables!$A$123:$A$138)-1))))/(INDEX(Tables!$A$123:$A$138,MAX(1,MIN(IFERROR(MATCH(U101,Tables!$A$123:$A$138,1),1),ROWS(Tables!$A$123:$A$138)-1))+1)-INDEX(Tables!$A$123:$A$138,MAX(1,MIN(IFERROR(MATCH(U101,Tables!$A$123:$A$138,1),1),ROWS(Tables!$A$123:$A$138)-1))))),IF(P101&lt;8,(INDEX(Tables!$D$123:$D$138,MAX(1,MIN(IFERROR(MATCH(U101,Tables!$C$123:$C$138,1),1),ROWS(Tables!$C$123:$C$138)-1)))+(U101-INDEX(Tables!$C$123:$C$138,MAX(1,MIN(IFERROR(MATCH(U101,Tables!$C$123:$C$138,1),1),ROWS(Tables!$C$123:$C$138)-1))))*(INDEX(Tables!$D$123:$D$138,MAX(1,MIN(IFERROR(MATCH(U101,Tables!$C$123:$C$138,1),1),ROWS(Tables!$C$123:$C$138)-1))+1)-INDEX(Tables!$D$123:$D$138,MAX(1,MIN(IFERROR(MATCH(U101,Tables!$C$123:$C$138,1),1),ROWS(Tables!$C$123:$C$138)-1))))/(INDEX(Tables!$C$123:$C$138,MAX(1,MIN(IFERROR(MATCH(U101,Tables!$C$123:$C$138,1),1),ROWS(Tables!$C$123:$C$138)-1))+1)-INDEX(Tables!$C$123:$C$138,MAX(1,MIN(IFERROR(MATCH(U101,Tables!$C$123:$C$138,1),1),ROWS(Tables!$C$123:$C$138)-1))))),IF(P101&lt;10,(INDEX(Tables!$F$123:$F$138,MAX(1,MIN(IFERROR(MATCH(U101,Tables!$E$123:$E$138,1),1),ROWS(Tables!$E$123:$E$138)-1)))+(U101-INDEX(Tables!$E$123:$E$138,MAX(1,MIN(IFERROR(MATCH(U101,Tables!$E$123:$E$138,1),1),ROWS(Tables!$E$123:$E$138)-1))))*(INDEX(Tables!$F$123:$F$138,MAX(1,MIN(IFERROR(MATCH(U101,Tables!$E$123:$E$138,1),1),ROWS(Tables!$E$123:$E$138)-1))+1)-INDEX(Tables!$F$123:$F$138,MAX(1,MIN(IFERROR(MATCH(U101,Tables!$E$123:$E$138,1),1),ROWS(Tables!$E$123:$E$138)-1))))/(INDEX(Tables!$E$123:$E$138,MAX(1,MIN(IFERROR(MATCH(U101,Tables!$E$123:$E$138,1),1),ROWS(Tables!$E$123:$E$138)-1))+1)-INDEX(Tables!$E$123:$E$138,MAX(1,MIN(IFERROR(MATCH(U101,Tables!$E$123:$E$138,1),1),ROWS(Tables!$E$123:$E$138)-1))))),(INDEX(Tables!$H$123:$H$138,MAX(1,MIN(IFERROR(MATCH(U101,Tables!$G$123:$G$138,1),1),ROWS(Tables!$G$123:$G$138)-1)))+(U101-INDEX(Tables!$G$123:$G$138,MAX(1,MIN(IFERROR(MATCH(U101,Tables!$G$123:$G$138,1),1),ROWS(Tables!$G$123:$G$138)-1))))*(INDEX(Tables!$H$123:$H$138,MAX(1,MIN(IFERROR(MATCH(U101,Tables!$G$123:$G$138,1),1),ROWS(Tables!$G$123:$G$138)-1))+1)-INDEX(Tables!$H$123:$H$138,MAX(1,MIN(IFERROR(MATCH(U101,Tables!$G$123:$G$138,1),1),ROWS(Tables!$G$123:$G$138)-1))))/(INDEX(Tables!$G$123:$G$138,MAX(1,MIN(IFERROR(MATCH(U101,Tables!$G$123:$G$138,1),1),ROWS(Tables!$G$123:$G$138)-1))+1)-INDEX(Tables!$G$123:$G$138,MAX(1,MIN(IFERROR(MATCH(U101,Tables!$G$123:$G$138,1),1),ROWS(Tables!$G$123:$G$138)-1))))))))</f>
        <v>1.389875</v>
      </c>
      <c r="AR101" s="181">
        <f>IF(OR(P101&gt;=4,U101&gt;12),VLOOKUP(R101&amp;" "&amp;S101,Tables!$D$143:$F$148,2,FALSE),VLOOKUP(R101&amp;" "&amp;S101,Tables!$A$143:$C$148,2,FALSE))</f>
        <v>1.1000000000000001</v>
      </c>
      <c r="AS101" s="181">
        <f>IF(OR(P101&gt;=4,U101&gt;12),VLOOKUP(R101&amp;" "&amp;S101,Tables!$D$143:$F$148,3,FALSE),VLOOKUP(R101&amp;" "&amp;S101,Tables!$A$143:$C$148,3,FALSE))</f>
        <v>1</v>
      </c>
      <c r="AT101" s="181">
        <f t="shared" si="104"/>
        <v>303.54290885416663</v>
      </c>
      <c r="AU101" s="181">
        <f>IF(AD101=5000,(INDEX(Tables!$B$244:$B$263,MAX(1,MIN(IFERROR(MATCH(AF101,Tables!$A$244:$A$263,1),1),ROWS(Tables!$A$244:$A$263)-1)))+(AF101-INDEX(Tables!$A$244:$A$263,MAX(1,MIN(IFERROR(MATCH(AF101,Tables!$A$244:$A$263,1),1),ROWS(Tables!$A$244:$A$263)-1))))*(INDEX(Tables!$B$244:$B$263,MAX(1,MIN(IFERROR(MATCH(AF101,Tables!$A$244:$A$263,1),1),ROWS(Tables!$A$244:$A$263)-1))+1)-INDEX(Tables!$B$244:$B$263,MAX(1,MIN(IFERROR(MATCH(AF101,Tables!$A$244:$A$263,1),1),ROWS(Tables!$A$244:$A$263)-1))))/(INDEX(Tables!$A$244:$A$263,MAX(1,MIN(IFERROR(MATCH(AF101,Tables!$A$244:$A$263,1),1),ROWS(Tables!$A$244:$A$263)-1))+1)-INDEX(Tables!$A$244:$A$263,MAX(1,MIN(IFERROR(MATCH(AF101,Tables!$A$244:$A$263,1),1),ROWS(Tables!$A$244:$A$263)-1))))),IF(AD101=10000,(INDEX(Tables!$D$244:$D$263,MAX(1,MIN(IFERROR(MATCH(AF101,Tables!$C$244:$C$263,1),1),ROWS(Tables!$C$244:$C$263)-1)))+(AF101-INDEX(Tables!$C$244:$C$263,MAX(1,MIN(IFERROR(MATCH(AF101,Tables!$C$244:$C$263,1),1),ROWS(Tables!$C$244:$C$263)-1))))*(INDEX(Tables!$D$244:$D$263,MAX(1,MIN(IFERROR(MATCH(AF101,Tables!$C$244:$C$263,1),1),ROWS(Tables!$C$244:$C$263)-1))+1)-INDEX(Tables!$D$244:$D$263,MAX(1,MIN(IFERROR(MATCH(AF101,Tables!$C$244:$C$263,1),1),ROWS(Tables!$C$244:$C$263)-1))))/(INDEX(Tables!$C$244:$C$263,MAX(1,MIN(IFERROR(MATCH(AF101,Tables!$C$244:$C$263,1),1),ROWS(Tables!$C$244:$C$263)-1))+1)-INDEX(Tables!$C$244:$C$263,MAX(1,MIN(IFERROR(MATCH(AF101,Tables!$C$244:$C$263,1),1),ROWS(Tables!$C$244:$C$263)-1))))),(INDEX(Tables!$F$244:$F$263,MAX(1,MIN(IFERROR(MATCH(AF101,Tables!$E$244:$E$263,1),1),ROWS(Tables!$E$244:$E$263)-1)))+(AF101-INDEX(Tables!$E$244:$E$263,MAX(1,MIN(IFERROR(MATCH(AF101,Tables!$E$244:$E$263,1),1),ROWS(Tables!$E$244:$E$263)-1))))*(INDEX(Tables!$F$244:$F$263,MAX(1,MIN(IFERROR(MATCH(AF101,Tables!$E$244:$E$263,1),1),ROWS(Tables!$E$244:$E$263)-1))+1)-INDEX(Tables!$F$244:$F$263,MAX(1,MIN(IFERROR(MATCH(AF101,Tables!$E$244:$E$263,1),1),ROWS(Tables!$E$244:$E$263)-1))))/(INDEX(Tables!$E$244:$E$263,MAX(1,MIN(IFERROR(MATCH(AF101,Tables!$E$244:$E$263,1),1),ROWS(Tables!$E$244:$E$263)-1))+1)-INDEX(Tables!$E$244:$E$263,MAX(1,MIN(IFERROR(MATCH(AF101,Tables!$E$244:$E$263,1),1),ROWS(Tables!$E$244:$E$263)-1)))))))</f>
        <v>2.5920000000000001</v>
      </c>
      <c r="AV101" s="181">
        <f>IF(P101&lt;6,(INDEX(Tables!$B$260:$B$274,MAX(1,MIN(IFERROR(MATCH(U101,Tables!$A$260:$A$274,1),1),ROWS(Tables!$A$260:$A$274)-1)))+(U101-INDEX(Tables!$A$260:$A$274,MAX(1,MIN(IFERROR(MATCH(U101,Tables!$A$260:$A$274,1),1),ROWS(Tables!$A$260:$A$274)-1))))*(INDEX(Tables!$B$260:$B$274,MAX(1,MIN(IFERROR(MATCH(U101,Tables!$A$260:$A$274,1),1),ROWS(Tables!$A$260:$A$274)-1))+1)-INDEX(Tables!$B$260:$B$274,MAX(1,MIN(IFERROR(MATCH(U101,Tables!$A$260:$A$274,1),1),ROWS(Tables!$A$260:$A$274)-1))))/(INDEX(Tables!$A$260:$A$274,MAX(1,MIN(IFERROR(MATCH(U101,Tables!$A$260:$A$274,1),1),ROWS(Tables!$A$260:$A$274)-1))+1)-INDEX(Tables!$A$260:$A$274,MAX(1,MIN(IFERROR(MATCH(U101,Tables!$A$260:$A$274,1),1),ROWS(Tables!$A$260:$A$274)-1))))),IF(P101&lt;8,(INDEX(Tables!$D$260:$D$274,MAX(1,MIN(IFERROR(MATCH(U101,Tables!$C$260:$C$274,1),1),ROWS(Tables!$C$260:$C$274)-1)))+(U101-INDEX(Tables!$C$260:$C$274,MAX(1,MIN(IFERROR(MATCH(U101,Tables!$C$260:$C$274,1),1),ROWS(Tables!$C$260:$C$274)-1))))*(INDEX(Tables!$D$260:$D$274,MAX(1,MIN(IFERROR(MATCH(U101,Tables!$C$260:$C$274,1),1),ROWS(Tables!$C$260:$C$274)-1))+1)-INDEX(Tables!$D$260:$D$274,MAX(1,MIN(IFERROR(MATCH(U101,Tables!$C$260:$C$274,1),1),ROWS(Tables!$C$260:$C$274)-1))))/(INDEX(Tables!$C$260:$C$274,MAX(1,MIN(IFERROR(MATCH(U101,Tables!$C$260:$C$274,1),1),ROWS(Tables!$C$260:$C$274)-1))+1)-INDEX(Tables!$C$260:$C$274,MAX(1,MIN(IFERROR(MATCH(U101,Tables!$C$260:$C$274,1),1),ROWS(Tables!$C$260:$C$274)-1))))),IF(P101&lt;10,(INDEX(Tables!$F$260:$F$274,MAX(1,MIN(IFERROR(MATCH(U101,Tables!$E$260:$E$274,1),1),ROWS(Tables!$E$260:$E$274)-1)))+(U101-INDEX(Tables!$E$260:$E$274,MAX(1,MIN(IFERROR(MATCH(U101,Tables!$E$260:$E$274,1),1),ROWS(Tables!$E$260:$E$274)-1))))*(INDEX(Tables!$F$260:$F$274,MAX(1,MIN(IFERROR(MATCH(U101,Tables!$E$260:$E$274,1),1),ROWS(Tables!$E$260:$E$274)-1))+1)-INDEX(Tables!$F$260:$F$274,MAX(1,MIN(IFERROR(MATCH(U101,Tables!$E$260:$E$274,1),1),ROWS(Tables!$E$260:$E$274)-1))))/(INDEX(Tables!$E$260:$E$274,MAX(1,MIN(IFERROR(MATCH(U101,Tables!$E$260:$E$274,1),1),ROWS(Tables!$E$260:$E$274)-1))+1)-INDEX(Tables!$E$260:$E$274,MAX(1,MIN(IFERROR(MATCH(U101,Tables!$E$260:$E$274,1),1),ROWS(Tables!$E$260:$E$274)-1))))),(INDEX(Tables!$H$260:$H$274,MAX(1,MIN(IFERROR(MATCH(U101,Tables!$G$260:$G$274,1),1),ROWS(Tables!$G$260:$G$274)-1)))+(U101-INDEX(Tables!$G$260:$G$274,MAX(1,MIN(IFERROR(MATCH(U101,Tables!$G$260:$G$274,1),1),ROWS(Tables!$G$260:$G$274)-1))))*(INDEX(Tables!$H$260:$H$274,MAX(1,MIN(IFERROR(MATCH(U101,Tables!$G$260:$G$274,1),1),ROWS(Tables!$G$260:$G$274)-1))+1)-INDEX(Tables!$H$260:$H$274,MAX(1,MIN(IFERROR(MATCH(U101,Tables!$G$260:$G$274,1),1),ROWS(Tables!$G$260:$G$274)-1))))/(INDEX(Tables!$G$260:$G$274,MAX(1,MIN(IFERROR(MATCH(U101,Tables!$G$260:$G$274,1),1),ROWS(Tables!$G$260:$G$274)-1))+1)-INDEX(Tables!$G$260:$G$274,MAX(1,MIN(IFERROR(MATCH(U101,Tables!$G$260:$G$274,1),1),ROWS(Tables!$G$260:$G$274)-1))))))))</f>
        <v>1.3123750000000001</v>
      </c>
      <c r="AW101" s="181">
        <f t="shared" si="105"/>
        <v>389.77537500000005</v>
      </c>
      <c r="AX101" s="181">
        <f t="shared" si="106"/>
        <v>0</v>
      </c>
      <c r="AY101" s="181">
        <f t="shared" si="107"/>
        <v>363.02321171470584</v>
      </c>
      <c r="AZ101" s="181">
        <f t="shared" si="108"/>
        <v>407.61946585816179</v>
      </c>
      <c r="BA101" s="181">
        <f t="shared" si="109"/>
        <v>0</v>
      </c>
      <c r="BB101" s="181">
        <f t="shared" si="110"/>
        <v>387.25205427071717</v>
      </c>
      <c r="BC101" s="181">
        <f t="shared" si="111"/>
        <v>46800</v>
      </c>
      <c r="BD101" s="181">
        <f>VLOOKUP(V101&amp;" "&amp;J101,Tables!$A$152:$E$239,4,FALSE)</f>
        <v>12000</v>
      </c>
      <c r="BE101" s="181">
        <f>VLOOKUP(V101&amp;" "&amp;J101,Tables!$A$152:$E$239,5,FALSE)</f>
        <v>23000</v>
      </c>
      <c r="BF101" s="181">
        <f t="shared" si="112"/>
        <v>8640</v>
      </c>
      <c r="BG101" s="181">
        <f t="shared" si="113"/>
        <v>16560</v>
      </c>
      <c r="BH101" s="181">
        <f t="shared" si="114"/>
        <v>0</v>
      </c>
      <c r="BI101" s="181">
        <f t="shared" si="115"/>
        <v>46800</v>
      </c>
      <c r="BJ101" s="181">
        <f t="shared" si="116"/>
        <v>387.25205427071717</v>
      </c>
      <c r="BK101" s="181">
        <f t="shared" si="117"/>
        <v>46800</v>
      </c>
      <c r="BL101" s="181">
        <f t="shared" si="118"/>
        <v>389.77537500000005</v>
      </c>
      <c r="BM101" s="181">
        <f t="shared" si="119"/>
        <v>8640</v>
      </c>
      <c r="BN101" s="181">
        <f t="shared" si="120"/>
        <v>303.54290885416663</v>
      </c>
      <c r="BO101" s="181">
        <f t="shared" si="121"/>
        <v>16560</v>
      </c>
      <c r="BP101" t="str">
        <f t="shared" si="122"/>
        <v>Pass</v>
      </c>
      <c r="BQ101" t="str">
        <f t="shared" si="123"/>
        <v>Pass</v>
      </c>
      <c r="BR101" t="str">
        <f t="shared" si="124"/>
        <v>Pass</v>
      </c>
      <c r="BS101" t="str">
        <f t="shared" si="125"/>
        <v>Pass</v>
      </c>
      <c r="BT101" t="str">
        <f t="shared" si="126"/>
        <v>Pass</v>
      </c>
      <c r="BU101" t="str">
        <f t="shared" si="127"/>
        <v>Girth Weld Stress</v>
      </c>
    </row>
    <row r="102" spans="1:73">
      <c r="A102" t="s">
        <v>694</v>
      </c>
      <c r="B102" s="181">
        <v>100</v>
      </c>
      <c r="C102" t="s">
        <v>594</v>
      </c>
      <c r="D102" s="181">
        <v>12</v>
      </c>
      <c r="E102" s="181">
        <v>1.3120000000000001</v>
      </c>
      <c r="F102" t="s">
        <v>117</v>
      </c>
      <c r="G102" t="s">
        <v>119</v>
      </c>
      <c r="H102" t="s">
        <v>122</v>
      </c>
      <c r="I102" s="181">
        <v>1</v>
      </c>
      <c r="J102" t="s">
        <v>126</v>
      </c>
      <c r="K102" t="s">
        <v>129</v>
      </c>
      <c r="L102" s="181">
        <v>70</v>
      </c>
      <c r="M102" s="181">
        <v>0</v>
      </c>
      <c r="N102" t="s">
        <v>141</v>
      </c>
      <c r="O102" s="181">
        <v>120</v>
      </c>
      <c r="P102" s="181">
        <v>6</v>
      </c>
      <c r="Q102" s="181">
        <v>14.75</v>
      </c>
      <c r="R102" t="s">
        <v>417</v>
      </c>
      <c r="S102" t="s">
        <v>156</v>
      </c>
      <c r="T102" s="181">
        <v>70</v>
      </c>
      <c r="U102" s="181">
        <f>HLOOKUP(D102,'Highway Loading'!$C$155:$AD$156,2,FALSE)</f>
        <v>12.75</v>
      </c>
      <c r="V102" s="181">
        <f>IF(ISBLANK(G102),"",INDEX('Highway Loading'!$C$216:$AG$216,1,MATCH(G102,'Highway Loading'!$C$215:$AG$215,0)))</f>
        <v>65000</v>
      </c>
      <c r="W102" s="181">
        <f>INDEX('Highway Loading'!$I$245:$L$253,MATCH(H102,'Highway Loading'!$H$245:$H$253,0),MATCH(I102,'Highway Loading'!$I$244:$L$244,0))</f>
        <v>0.72</v>
      </c>
      <c r="X102" s="181">
        <f t="shared" si="96"/>
        <v>1</v>
      </c>
      <c r="Y102" s="181">
        <f>VLOOKUP(K102,'Highway Loading'!$B$283:$E$292,2,FALSE)</f>
        <v>29000000</v>
      </c>
      <c r="Z102" s="181">
        <f>VLOOKUP(K102,'Highway Loading'!$B$283:$E$292,3,FALSE)</f>
        <v>0.3</v>
      </c>
      <c r="AA102" s="181">
        <f>VLOOKUP(K102,'Highway Loading'!$B$283:$E$292,4,FALSE)</f>
        <v>6.4999999999999996E-6</v>
      </c>
      <c r="AB102" s="181">
        <f t="shared" si="97"/>
        <v>1</v>
      </c>
      <c r="AC102" s="181">
        <f>VLOOKUP(N102,'Highway Loading'!$B$256:$D$261,2,FALSE)</f>
        <v>500</v>
      </c>
      <c r="AD102" s="181">
        <f>VLOOKUP(N102,'Highway Loading'!$B$256:$D$261,3,FALSE)</f>
        <v>10000</v>
      </c>
      <c r="AE102" s="181">
        <f>VLOOKUP(S102,'Highway Loading'!$B$340:$C$341,2,FALSE)</f>
        <v>10000</v>
      </c>
      <c r="AF102" s="181">
        <f t="shared" si="98"/>
        <v>0.10290196078431373</v>
      </c>
      <c r="AG102" s="181">
        <f t="shared" si="99"/>
        <v>4.8813559322033901</v>
      </c>
      <c r="AH102" s="181">
        <f t="shared" si="100"/>
        <v>1.1568627450980393</v>
      </c>
      <c r="AI102" s="181">
        <f t="shared" si="101"/>
        <v>0</v>
      </c>
      <c r="AJ102" s="181">
        <f t="shared" si="102"/>
        <v>46800</v>
      </c>
      <c r="AK102" s="181">
        <f>IF(AC102=200,(INDEX(Tables!$B$17:$B$38,MAX(1,MIN(IFERROR(MATCH(AF102,Tables!$A$17:$A$38,1),1),ROWS(Tables!$A$17:$A$38)-1)))+(AF102-INDEX(Tables!$A$17:$A$38,MAX(1,MIN(IFERROR(MATCH(AF102,Tables!$A$17:$A$38,1),1),ROWS(Tables!$A$17:$A$38)-1))))*(INDEX(Tables!$B$17:$B$38,MAX(1,MIN(IFERROR(MATCH(AF102,Tables!$A$17:$A$38,1),1),ROWS(Tables!$A$17:$A$38)-1))+1)-INDEX(Tables!$B$17:$B$38,MAX(1,MIN(IFERROR(MATCH(AF102,Tables!$A$17:$A$38,1),1),ROWS(Tables!$A$17:$A$38)-1))))/(INDEX(Tables!$A$17:$A$38,MAX(1,MIN(IFERROR(MATCH(AF102,Tables!$A$17:$A$38,1),1),ROWS(Tables!$A$17:$A$38)-1))+1)-INDEX(Tables!$A$17:$A$38,MAX(1,MIN(IFERROR(MATCH(AF102,Tables!$A$17:$A$38,1),1),ROWS(Tables!$A$17:$A$38)-1))))),IF(AC102=500,(INDEX(Tables!$D$17:$D$38,MAX(1,MIN(IFERROR(MATCH(AF102,Tables!$C$17:$C$38,1),1),ROWS(Tables!$C$17:$C$38)-1)))+(AF102-INDEX(Tables!$C$17:$C$38,MAX(1,MIN(IFERROR(MATCH(AF102,Tables!$C$17:$C$38,1),1),ROWS(Tables!$C$17:$C$38)-1))))*(INDEX(Tables!$D$17:$D$38,MAX(1,MIN(IFERROR(MATCH(AF102,Tables!$C$17:$C$38,1),1),ROWS(Tables!$C$17:$C$38)-1))+1)-INDEX(Tables!$D$17:$D$38,MAX(1,MIN(IFERROR(MATCH(AF102,Tables!$C$17:$C$38,1),1),ROWS(Tables!$C$17:$C$38)-1))))/(INDEX(Tables!$C$17:$C$38,MAX(1,MIN(IFERROR(MATCH(AF102,Tables!$C$17:$C$38,1),1),ROWS(Tables!$C$17:$C$38)-1))+1)-INDEX(Tables!$C$17:$C$38,MAX(1,MIN(IFERROR(MATCH(AF102,Tables!$C$17:$C$38,1),1),ROWS(Tables!$C$17:$C$38)-1))))),IF(AC102=1000,(INDEX(Tables!$F$17:$F$38,MAX(1,MIN(IFERROR(MATCH(AF102,Tables!$E$17:$E$38,1),1),ROWS(Tables!$E$17:$E$38)-1)))+(AF102-INDEX(Tables!$E$17:$E$38,MAX(1,MIN(IFERROR(MATCH(AF102,Tables!$E$17:$E$38,1),1),ROWS(Tables!$E$17:$E$38)-1))))*(INDEX(Tables!$F$17:$F$38,MAX(1,MIN(IFERROR(MATCH(AF102,Tables!$E$17:$E$38,1),1),ROWS(Tables!$E$17:$E$38)-1))+1)-INDEX(Tables!$F$17:$F$38,MAX(1,MIN(IFERROR(MATCH(AF102,Tables!$E$17:$E$38,1),1),ROWS(Tables!$E$17:$E$38)-1))))/(INDEX(Tables!$E$17:$E$38,MAX(1,MIN(IFERROR(MATCH(AF102,Tables!$E$17:$E$38,1),1),ROWS(Tables!$E$17:$E$38)-1))+1)-INDEX(Tables!$E$17:$E$38,MAX(1,MIN(IFERROR(MATCH(AF102,Tables!$E$17:$E$38,1),1),ROWS(Tables!$E$17:$E$38)-1))))),(INDEX(Tables!$H$17:$H$38,MAX(1,MIN(IFERROR(MATCH(AF102,Tables!$G$17:$G$38,1),1),ROWS(Tables!$G$17:$G$38)-1)))+(AF102-INDEX(Tables!$G$17:$G$38,MAX(1,MIN(IFERROR(MATCH(AF102,Tables!$G$17:$G$38,1),1),ROWS(Tables!$G$17:$G$38)-1))))*(INDEX(Tables!$H$17:$H$38,MAX(1,MIN(IFERROR(MATCH(AF102,Tables!$G$17:$G$38,1),1),ROWS(Tables!$G$17:$G$38)-1))+1)-INDEX(Tables!$H$17:$H$38,MAX(1,MIN(IFERROR(MATCH(AF102,Tables!$G$17:$G$38,1),1),ROWS(Tables!$G$17:$G$38)-1))))/(INDEX(Tables!$G$17:$G$38,MAX(1,MIN(IFERROR(MATCH(AF102,Tables!$G$17:$G$38,1),1),ROWS(Tables!$G$17:$G$38)-1))+1)-INDEX(Tables!$G$17:$G$38,MAX(1,MIN(IFERROR(MATCH(AF102,Tables!$G$17:$G$38,1),1),ROWS(Tables!$G$17:$G$38)-1))))))))</f>
        <v>88</v>
      </c>
      <c r="AL102" s="181">
        <f>IF(AC102&lt;1000,(INDEX(Tables!$B$43:$B$76,MAX(1,MIN(IFERROR(MATCH(AG102,Tables!$A$43:$A$76,1),1),ROWS(Tables!$A$43:$A$76)-1)))+(AG102-INDEX(Tables!$A$43:$A$76,MAX(1,MIN(IFERROR(MATCH(AG102,Tables!$A$43:$A$76,1),1),ROWS(Tables!$A$43:$A$76)-1))))*(INDEX(Tables!$B$43:$B$76,MAX(1,MIN(IFERROR(MATCH(AG102,Tables!$A$43:$A$76,1),1),ROWS(Tables!$A$43:$A$76)-1))+1)-INDEX(Tables!$B$43:$B$76,MAX(1,MIN(IFERROR(MATCH(AG102,Tables!$A$43:$A$76,1),1),ROWS(Tables!$A$43:$A$76)-1))))/(INDEX(Tables!$A$43:$A$76,MAX(1,MIN(IFERROR(MATCH(AG102,Tables!$A$43:$A$76,1),1),ROWS(Tables!$A$43:$A$76)-1))+1)-INDEX(Tables!$A$43:$A$76,MAX(1,MIN(IFERROR(MATCH(AG102,Tables!$A$43:$A$76,1),1),ROWS(Tables!$A$43:$A$76)-1))))),(INDEX(Tables!$D$43:$D$76,MAX(1,MIN(IFERROR(MATCH(AG102,Tables!$C$43:$C$76,1),1),ROWS(Tables!$C$43:$C$76)-1)))+(AG102-INDEX(Tables!$C$43:$C$76,MAX(1,MIN(IFERROR(MATCH(AG102,Tables!$C$43:$C$76,1),1),ROWS(Tables!$C$43:$C$76)-1))))*(INDEX(Tables!$D$43:$D$76,MAX(1,MIN(IFERROR(MATCH(AG102,Tables!$C$43:$C$76,1),1),ROWS(Tables!$C$43:$C$76)-1))+1)-INDEX(Tables!$D$43:$D$76,MAX(1,MIN(IFERROR(MATCH(AG102,Tables!$C$43:$C$76,1),1),ROWS(Tables!$C$43:$C$76)-1))))/(INDEX(Tables!$C$43:$C$76,MAX(1,MIN(IFERROR(MATCH(AG102,Tables!$C$43:$C$76,1),1),ROWS(Tables!$C$43:$C$76)-1))+1)-INDEX(Tables!$C$43:$C$76,MAX(1,MIN(IFERROR(MATCH(AG102,Tables!$C$43:$C$76,1),1),ROWS(Tables!$C$43:$C$76)-1))))))</f>
        <v>1.0658474576271186</v>
      </c>
      <c r="AM102" s="181">
        <f>(INDEX(Tables!$B$80:$B$87,MAX(1,MIN(IFERROR(MATCH(AH102,Tables!$A$80:$A$87,1),1),ROWS(Tables!$A$80:$A$87)-1)))+(AH102-INDEX(Tables!$A$80:$A$87,MAX(1,MIN(IFERROR(MATCH(AH102,Tables!$A$80:$A$87,1),1),ROWS(Tables!$A$80:$A$87)-1))))*(INDEX(Tables!$B$80:$B$87,MAX(1,MIN(IFERROR(MATCH(AH102,Tables!$A$80:$A$87,1),1),ROWS(Tables!$A$80:$A$87)-1))+1)-INDEX(Tables!$B$80:$B$87,MAX(1,MIN(IFERROR(MATCH(AH102,Tables!$A$80:$A$87,1),1),ROWS(Tables!$A$80:$A$87)-1))))/(INDEX(Tables!$A$80:$A$87,MAX(1,MIN(IFERROR(MATCH(AH102,Tables!$A$80:$A$87,1),1),ROWS(Tables!$A$80:$A$87)-1))+1)-INDEX(Tables!$A$80:$A$87,MAX(1,MIN(IFERROR(MATCH(AH102,Tables!$A$80:$A$87,1),1),ROWS(Tables!$A$80:$A$87)-1)))))</f>
        <v>1.1041078431372553</v>
      </c>
      <c r="AN102" s="181">
        <f t="shared" si="103"/>
        <v>91.693154384416232</v>
      </c>
      <c r="AO102" s="181">
        <f>(INDEX(Tables!$B$91:$B$94,MAX(1,MIN(IFERROR(MATCH(P102,Tables!$A$91:$A$94,1),1),ROWS(Tables!$A$91:$A$94)-1)))+(P102-INDEX(Tables!$A$91:$A$94,MAX(1,MIN(IFERROR(MATCH(P102,Tables!$A$91:$A$94,1),1),ROWS(Tables!$A$91:$A$94)-1))))*(INDEX(Tables!$B$91:$B$94,MAX(1,MIN(IFERROR(MATCH(P102,Tables!$A$91:$A$94,1),1),ROWS(Tables!$A$91:$A$94)-1))+1)-INDEX(Tables!$B$91:$B$94,MAX(1,MIN(IFERROR(MATCH(P102,Tables!$A$91:$A$94,1),1),ROWS(Tables!$A$91:$A$94)-1))))/(INDEX(Tables!$A$91:$A$94,MAX(1,MIN(IFERROR(MATCH(P102,Tables!$A$91:$A$94,1),1),ROWS(Tables!$A$91:$A$94)-1))+1)-INDEX(Tables!$A$91:$A$94,MAX(1,MIN(IFERROR(MATCH(P102,Tables!$A$91:$A$94,1),1),ROWS(Tables!$A$91:$A$94)-1)))))</f>
        <v>1.476219512195122</v>
      </c>
      <c r="AP102" s="181">
        <f>IF(AD102=5000,(INDEX(Tables!$B$99:$B$118,MAX(1,MIN(IFERROR(MATCH(AF102,Tables!$A$99:$A$118,1),1),ROWS(Tables!$A$99:$A$118)-1)))+(AF102-INDEX(Tables!$A$99:$A$118,MAX(1,MIN(IFERROR(MATCH(AF102,Tables!$A$99:$A$118,1),1),ROWS(Tables!$A$99:$A$118)-1))))*(INDEX(Tables!$B$99:$B$118,MAX(1,MIN(IFERROR(MATCH(AF102,Tables!$A$99:$A$118,1),1),ROWS(Tables!$A$99:$A$118)-1))+1)-INDEX(Tables!$B$99:$B$118,MAX(1,MIN(IFERROR(MATCH(AF102,Tables!$A$99:$A$118,1),1),ROWS(Tables!$A$99:$A$118)-1))))/(INDEX(Tables!$A$99:$A$118,MAX(1,MIN(IFERROR(MATCH(AF102,Tables!$A$99:$A$118,1),1),ROWS(Tables!$A$99:$A$118)-1))+1)-INDEX(Tables!$A$99:$A$118,MAX(1,MIN(IFERROR(MATCH(AF102,Tables!$A$99:$A$118,1),1),ROWS(Tables!$A$99:$A$118)-1))))),IF(AD102=10000,(INDEX(Tables!$D$99:$D$118,MAX(1,MIN(IFERROR(MATCH(AF102,Tables!$C$99:$C$118,1),1),ROWS(Tables!$C$99:$C$118)-1)))+(AF102-INDEX(Tables!$C$99:$C$118,MAX(1,MIN(IFERROR(MATCH(AF102,Tables!$C$99:$C$118,1),1),ROWS(Tables!$C$99:$C$118)-1))))*(INDEX(Tables!$D$99:$D$118,MAX(1,MIN(IFERROR(MATCH(AF102,Tables!$C$99:$C$118,1),1),ROWS(Tables!$C$99:$C$118)-1))+1)-INDEX(Tables!$D$99:$D$118,MAX(1,MIN(IFERROR(MATCH(AF102,Tables!$C$99:$C$118,1),1),ROWS(Tables!$C$99:$C$118)-1))))/(INDEX(Tables!$C$99:$C$118,MAX(1,MIN(IFERROR(MATCH(AF102,Tables!$C$99:$C$118,1),1),ROWS(Tables!$C$99:$C$118)-1))+1)-INDEX(Tables!$C$99:$C$118,MAX(1,MIN(IFERROR(MATCH(AF102,Tables!$C$99:$C$118,1),1),ROWS(Tables!$C$99:$C$118)-1))))),(INDEX(Tables!$F$99:$F$118,MAX(1,MIN(IFERROR(MATCH(AF102,Tables!$E$99:$E$118,1),1),ROWS(Tables!$E$99:$E$118)-1)))+(AF102-INDEX(Tables!$E$99:$E$118,MAX(1,MIN(IFERROR(MATCH(AF102,Tables!$E$99:$E$118,1),1),ROWS(Tables!$E$99:$E$118)-1))))*(INDEX(Tables!$F$99:$F$118,MAX(1,MIN(IFERROR(MATCH(AF102,Tables!$E$99:$E$118,1),1),ROWS(Tables!$E$99:$E$118)-1))+1)-INDEX(Tables!$F$99:$F$118,MAX(1,MIN(IFERROR(MATCH(AF102,Tables!$E$99:$E$118,1),1),ROWS(Tables!$E$99:$E$118)-1))))/(INDEX(Tables!$E$99:$E$118,MAX(1,MIN(IFERROR(MATCH(AF102,Tables!$E$99:$E$118,1),1),ROWS(Tables!$E$99:$E$118)-1))+1)-INDEX(Tables!$E$99:$E$118,MAX(1,MIN(IFERROR(MATCH(AF102,Tables!$E$99:$E$118,1),1),ROWS(Tables!$E$99:$E$118)-1)))))))</f>
        <v>1.605</v>
      </c>
      <c r="AQ102" s="181">
        <f>IF(P102&lt;6,(INDEX(Tables!$B$123:$B$138,MAX(1,MIN(IFERROR(MATCH(U102,Tables!$A$123:$A$138,1),1),ROWS(Tables!$A$123:$A$138)-1)))+(U102-INDEX(Tables!$A$123:$A$138,MAX(1,MIN(IFERROR(MATCH(U102,Tables!$A$123:$A$138,1),1),ROWS(Tables!$A$123:$A$138)-1))))*(INDEX(Tables!$B$123:$B$138,MAX(1,MIN(IFERROR(MATCH(U102,Tables!$A$123:$A$138,1),1),ROWS(Tables!$A$123:$A$138)-1))+1)-INDEX(Tables!$B$123:$B$138,MAX(1,MIN(IFERROR(MATCH(U102,Tables!$A$123:$A$138,1),1),ROWS(Tables!$A$123:$A$138)-1))))/(INDEX(Tables!$A$123:$A$138,MAX(1,MIN(IFERROR(MATCH(U102,Tables!$A$123:$A$138,1),1),ROWS(Tables!$A$123:$A$138)-1))+1)-INDEX(Tables!$A$123:$A$138,MAX(1,MIN(IFERROR(MATCH(U102,Tables!$A$123:$A$138,1),1),ROWS(Tables!$A$123:$A$138)-1))))),IF(P102&lt;8,(INDEX(Tables!$D$123:$D$138,MAX(1,MIN(IFERROR(MATCH(U102,Tables!$C$123:$C$138,1),1),ROWS(Tables!$C$123:$C$138)-1)))+(U102-INDEX(Tables!$C$123:$C$138,MAX(1,MIN(IFERROR(MATCH(U102,Tables!$C$123:$C$138,1),1),ROWS(Tables!$C$123:$C$138)-1))))*(INDEX(Tables!$D$123:$D$138,MAX(1,MIN(IFERROR(MATCH(U102,Tables!$C$123:$C$138,1),1),ROWS(Tables!$C$123:$C$138)-1))+1)-INDEX(Tables!$D$123:$D$138,MAX(1,MIN(IFERROR(MATCH(U102,Tables!$C$123:$C$138,1),1),ROWS(Tables!$C$123:$C$138)-1))))/(INDEX(Tables!$C$123:$C$138,MAX(1,MIN(IFERROR(MATCH(U102,Tables!$C$123:$C$138,1),1),ROWS(Tables!$C$123:$C$138)-1))+1)-INDEX(Tables!$C$123:$C$138,MAX(1,MIN(IFERROR(MATCH(U102,Tables!$C$123:$C$138,1),1),ROWS(Tables!$C$123:$C$138)-1))))),IF(P102&lt;10,(INDEX(Tables!$F$123:$F$138,MAX(1,MIN(IFERROR(MATCH(U102,Tables!$E$123:$E$138,1),1),ROWS(Tables!$E$123:$E$138)-1)))+(U102-INDEX(Tables!$E$123:$E$138,MAX(1,MIN(IFERROR(MATCH(U102,Tables!$E$123:$E$138,1),1),ROWS(Tables!$E$123:$E$138)-1))))*(INDEX(Tables!$F$123:$F$138,MAX(1,MIN(IFERROR(MATCH(U102,Tables!$E$123:$E$138,1),1),ROWS(Tables!$E$123:$E$138)-1))+1)-INDEX(Tables!$F$123:$F$138,MAX(1,MIN(IFERROR(MATCH(U102,Tables!$E$123:$E$138,1),1),ROWS(Tables!$E$123:$E$138)-1))))/(INDEX(Tables!$E$123:$E$138,MAX(1,MIN(IFERROR(MATCH(U102,Tables!$E$123:$E$138,1),1),ROWS(Tables!$E$123:$E$138)-1))+1)-INDEX(Tables!$E$123:$E$138,MAX(1,MIN(IFERROR(MATCH(U102,Tables!$E$123:$E$138,1),1),ROWS(Tables!$E$123:$E$138)-1))))),(INDEX(Tables!$H$123:$H$138,MAX(1,MIN(IFERROR(MATCH(U102,Tables!$G$123:$G$138,1),1),ROWS(Tables!$G$123:$G$138)-1)))+(U102-INDEX(Tables!$G$123:$G$138,MAX(1,MIN(IFERROR(MATCH(U102,Tables!$G$123:$G$138,1),1),ROWS(Tables!$G$123:$G$138)-1))))*(INDEX(Tables!$H$123:$H$138,MAX(1,MIN(IFERROR(MATCH(U102,Tables!$G$123:$G$138,1),1),ROWS(Tables!$G$123:$G$138)-1))+1)-INDEX(Tables!$H$123:$H$138,MAX(1,MIN(IFERROR(MATCH(U102,Tables!$G$123:$G$138,1),1),ROWS(Tables!$G$123:$G$138)-1))))/(INDEX(Tables!$G$123:$G$138,MAX(1,MIN(IFERROR(MATCH(U102,Tables!$G$123:$G$138,1),1),ROWS(Tables!$G$123:$G$138)-1))+1)-INDEX(Tables!$G$123:$G$138,MAX(1,MIN(IFERROR(MATCH(U102,Tables!$G$123:$G$138,1),1),ROWS(Tables!$G$123:$G$138)-1))))))))</f>
        <v>1.01675</v>
      </c>
      <c r="AR102" s="181">
        <f>IF(OR(P102&gt;=4,U102&gt;12),VLOOKUP(R102&amp;" "&amp;S102,Tables!$D$143:$F$148,2,FALSE),VLOOKUP(R102&amp;" "&amp;S102,Tables!$A$143:$C$148,2,FALSE))</f>
        <v>1.1000000000000001</v>
      </c>
      <c r="AS102" s="181">
        <f>IF(OR(P102&gt;=4,U102&gt;12),VLOOKUP(R102&amp;" "&amp;S102,Tables!$D$143:$F$148,3,FALSE),VLOOKUP(R102&amp;" "&amp;S102,Tables!$A$143:$C$148,3,FALSE))</f>
        <v>1</v>
      </c>
      <c r="AT102" s="181">
        <f t="shared" si="104"/>
        <v>184.02225671684451</v>
      </c>
      <c r="AU102" s="181">
        <f>IF(AD102=5000,(INDEX(Tables!$B$244:$B$263,MAX(1,MIN(IFERROR(MATCH(AF102,Tables!$A$244:$A$263,1),1),ROWS(Tables!$A$244:$A$263)-1)))+(AF102-INDEX(Tables!$A$244:$A$263,MAX(1,MIN(IFERROR(MATCH(AF102,Tables!$A$244:$A$263,1),1),ROWS(Tables!$A$244:$A$263)-1))))*(INDEX(Tables!$B$244:$B$263,MAX(1,MIN(IFERROR(MATCH(AF102,Tables!$A$244:$A$263,1),1),ROWS(Tables!$A$244:$A$263)-1))+1)-INDEX(Tables!$B$244:$B$263,MAX(1,MIN(IFERROR(MATCH(AF102,Tables!$A$244:$A$263,1),1),ROWS(Tables!$A$244:$A$263)-1))))/(INDEX(Tables!$A$244:$A$263,MAX(1,MIN(IFERROR(MATCH(AF102,Tables!$A$244:$A$263,1),1),ROWS(Tables!$A$244:$A$263)-1))+1)-INDEX(Tables!$A$244:$A$263,MAX(1,MIN(IFERROR(MATCH(AF102,Tables!$A$244:$A$263,1),1),ROWS(Tables!$A$244:$A$263)-1))))),IF(AD102=10000,(INDEX(Tables!$D$244:$D$263,MAX(1,MIN(IFERROR(MATCH(AF102,Tables!$C$244:$C$263,1),1),ROWS(Tables!$C$244:$C$263)-1)))+(AF102-INDEX(Tables!$C$244:$C$263,MAX(1,MIN(IFERROR(MATCH(AF102,Tables!$C$244:$C$263,1),1),ROWS(Tables!$C$244:$C$263)-1))))*(INDEX(Tables!$D$244:$D$263,MAX(1,MIN(IFERROR(MATCH(AF102,Tables!$C$244:$C$263,1),1),ROWS(Tables!$C$244:$C$263)-1))+1)-INDEX(Tables!$D$244:$D$263,MAX(1,MIN(IFERROR(MATCH(AF102,Tables!$C$244:$C$263,1),1),ROWS(Tables!$C$244:$C$263)-1))))/(INDEX(Tables!$C$244:$C$263,MAX(1,MIN(IFERROR(MATCH(AF102,Tables!$C$244:$C$263,1),1),ROWS(Tables!$C$244:$C$263)-1))+1)-INDEX(Tables!$C$244:$C$263,MAX(1,MIN(IFERROR(MATCH(AF102,Tables!$C$244:$C$263,1),1),ROWS(Tables!$C$244:$C$263)-1))))),(INDEX(Tables!$F$244:$F$263,MAX(1,MIN(IFERROR(MATCH(AF102,Tables!$E$244:$E$263,1),1),ROWS(Tables!$E$244:$E$263)-1)))+(AF102-INDEX(Tables!$E$244:$E$263,MAX(1,MIN(IFERROR(MATCH(AF102,Tables!$E$244:$E$263,1),1),ROWS(Tables!$E$244:$E$263)-1))))*(INDEX(Tables!$F$244:$F$263,MAX(1,MIN(IFERROR(MATCH(AF102,Tables!$E$244:$E$263,1),1),ROWS(Tables!$E$244:$E$263)-1))+1)-INDEX(Tables!$F$244:$F$263,MAX(1,MIN(IFERROR(MATCH(AF102,Tables!$E$244:$E$263,1),1),ROWS(Tables!$E$244:$E$263)-1))))/(INDEX(Tables!$E$244:$E$263,MAX(1,MIN(IFERROR(MATCH(AF102,Tables!$E$244:$E$263,1),1),ROWS(Tables!$E$244:$E$263)-1))+1)-INDEX(Tables!$E$244:$E$263,MAX(1,MIN(IFERROR(MATCH(AF102,Tables!$E$244:$E$263,1),1),ROWS(Tables!$E$244:$E$263)-1)))))))</f>
        <v>2.5920000000000001</v>
      </c>
      <c r="AV102" s="181">
        <f>IF(P102&lt;6,(INDEX(Tables!$B$260:$B$274,MAX(1,MIN(IFERROR(MATCH(U102,Tables!$A$260:$A$274,1),1),ROWS(Tables!$A$260:$A$274)-1)))+(U102-INDEX(Tables!$A$260:$A$274,MAX(1,MIN(IFERROR(MATCH(U102,Tables!$A$260:$A$274,1),1),ROWS(Tables!$A$260:$A$274)-1))))*(INDEX(Tables!$B$260:$B$274,MAX(1,MIN(IFERROR(MATCH(U102,Tables!$A$260:$A$274,1),1),ROWS(Tables!$A$260:$A$274)-1))+1)-INDEX(Tables!$B$260:$B$274,MAX(1,MIN(IFERROR(MATCH(U102,Tables!$A$260:$A$274,1),1),ROWS(Tables!$A$260:$A$274)-1))))/(INDEX(Tables!$A$260:$A$274,MAX(1,MIN(IFERROR(MATCH(U102,Tables!$A$260:$A$274,1),1),ROWS(Tables!$A$260:$A$274)-1))+1)-INDEX(Tables!$A$260:$A$274,MAX(1,MIN(IFERROR(MATCH(U102,Tables!$A$260:$A$274,1),1),ROWS(Tables!$A$260:$A$274)-1))))),IF(P102&lt;8,(INDEX(Tables!$D$260:$D$274,MAX(1,MIN(IFERROR(MATCH(U102,Tables!$C$260:$C$274,1),1),ROWS(Tables!$C$260:$C$274)-1)))+(U102-INDEX(Tables!$C$260:$C$274,MAX(1,MIN(IFERROR(MATCH(U102,Tables!$C$260:$C$274,1),1),ROWS(Tables!$C$260:$C$274)-1))))*(INDEX(Tables!$D$260:$D$274,MAX(1,MIN(IFERROR(MATCH(U102,Tables!$C$260:$C$274,1),1),ROWS(Tables!$C$260:$C$274)-1))+1)-INDEX(Tables!$D$260:$D$274,MAX(1,MIN(IFERROR(MATCH(U102,Tables!$C$260:$C$274,1),1),ROWS(Tables!$C$260:$C$274)-1))))/(INDEX(Tables!$C$260:$C$274,MAX(1,MIN(IFERROR(MATCH(U102,Tables!$C$260:$C$274,1),1),ROWS(Tables!$C$260:$C$274)-1))+1)-INDEX(Tables!$C$260:$C$274,MAX(1,MIN(IFERROR(MATCH(U102,Tables!$C$260:$C$274,1),1),ROWS(Tables!$C$260:$C$274)-1))))),IF(P102&lt;10,(INDEX(Tables!$F$260:$F$274,MAX(1,MIN(IFERROR(MATCH(U102,Tables!$E$260:$E$274,1),1),ROWS(Tables!$E$260:$E$274)-1)))+(U102-INDEX(Tables!$E$260:$E$274,MAX(1,MIN(IFERROR(MATCH(U102,Tables!$E$260:$E$274,1),1),ROWS(Tables!$E$260:$E$274)-1))))*(INDEX(Tables!$F$260:$F$274,MAX(1,MIN(IFERROR(MATCH(U102,Tables!$E$260:$E$274,1),1),ROWS(Tables!$E$260:$E$274)-1))+1)-INDEX(Tables!$F$260:$F$274,MAX(1,MIN(IFERROR(MATCH(U102,Tables!$E$260:$E$274,1),1),ROWS(Tables!$E$260:$E$274)-1))))/(INDEX(Tables!$E$260:$E$274,MAX(1,MIN(IFERROR(MATCH(U102,Tables!$E$260:$E$274,1),1),ROWS(Tables!$E$260:$E$274)-1))+1)-INDEX(Tables!$E$260:$E$274,MAX(1,MIN(IFERROR(MATCH(U102,Tables!$E$260:$E$274,1),1),ROWS(Tables!$E$260:$E$274)-1))))),(INDEX(Tables!$H$260:$H$274,MAX(1,MIN(IFERROR(MATCH(U102,Tables!$G$260:$G$274,1),1),ROWS(Tables!$G$260:$G$274)-1)))+(U102-INDEX(Tables!$G$260:$G$274,MAX(1,MIN(IFERROR(MATCH(U102,Tables!$G$260:$G$274,1),1),ROWS(Tables!$G$260:$G$274)-1))))*(INDEX(Tables!$H$260:$H$274,MAX(1,MIN(IFERROR(MATCH(U102,Tables!$G$260:$G$274,1),1),ROWS(Tables!$G$260:$G$274)-1))+1)-INDEX(Tables!$H$260:$H$274,MAX(1,MIN(IFERROR(MATCH(U102,Tables!$G$260:$G$274,1),1),ROWS(Tables!$G$260:$G$274)-1))))/(INDEX(Tables!$G$260:$G$274,MAX(1,MIN(IFERROR(MATCH(U102,Tables!$G$260:$G$274,1),1),ROWS(Tables!$G$260:$G$274)-1))+1)-INDEX(Tables!$G$260:$G$274,MAX(1,MIN(IFERROR(MATCH(U102,Tables!$G$260:$G$274,1),1),ROWS(Tables!$G$260:$G$274)-1))))))))</f>
        <v>1.0024999999999999</v>
      </c>
      <c r="AW102" s="181">
        <f t="shared" si="105"/>
        <v>293.02219207317074</v>
      </c>
      <c r="AX102" s="181">
        <f t="shared" si="106"/>
        <v>0</v>
      </c>
      <c r="AY102" s="181">
        <f t="shared" si="107"/>
        <v>275.71541110126077</v>
      </c>
      <c r="AZ102" s="181">
        <f t="shared" si="108"/>
        <v>320.53013838849563</v>
      </c>
      <c r="BA102" s="181">
        <f t="shared" si="109"/>
        <v>0</v>
      </c>
      <c r="BB102" s="181">
        <f t="shared" si="110"/>
        <v>300.63841846636518</v>
      </c>
      <c r="BC102" s="181">
        <f t="shared" si="111"/>
        <v>46800</v>
      </c>
      <c r="BD102" s="181">
        <f>VLOOKUP(V102&amp;" "&amp;J102,Tables!$A$152:$E$239,4,FALSE)</f>
        <v>12000</v>
      </c>
      <c r="BE102" s="181">
        <f>VLOOKUP(V102&amp;" "&amp;J102,Tables!$A$152:$E$239,5,FALSE)</f>
        <v>23000</v>
      </c>
      <c r="BF102" s="181">
        <f t="shared" si="112"/>
        <v>8640</v>
      </c>
      <c r="BG102" s="181">
        <f t="shared" si="113"/>
        <v>16560</v>
      </c>
      <c r="BH102" s="181">
        <f t="shared" si="114"/>
        <v>0</v>
      </c>
      <c r="BI102" s="181">
        <f t="shared" si="115"/>
        <v>46800</v>
      </c>
      <c r="BJ102" s="181">
        <f t="shared" si="116"/>
        <v>300.63841846636518</v>
      </c>
      <c r="BK102" s="181">
        <f t="shared" si="117"/>
        <v>46800</v>
      </c>
      <c r="BL102" s="181">
        <f t="shared" si="118"/>
        <v>293.02219207317074</v>
      </c>
      <c r="BM102" s="181">
        <f t="shared" si="119"/>
        <v>8640</v>
      </c>
      <c r="BN102" s="181">
        <f t="shared" si="120"/>
        <v>184.02225671684451</v>
      </c>
      <c r="BO102" s="181">
        <f t="shared" si="121"/>
        <v>16560</v>
      </c>
      <c r="BP102" t="str">
        <f t="shared" si="122"/>
        <v>Pass</v>
      </c>
      <c r="BQ102" t="str">
        <f t="shared" si="123"/>
        <v>Pass</v>
      </c>
      <c r="BR102" t="str">
        <f t="shared" si="124"/>
        <v>Pass</v>
      </c>
      <c r="BS102" t="str">
        <f t="shared" si="125"/>
        <v>Pass</v>
      </c>
      <c r="BT102" t="str">
        <f t="shared" si="126"/>
        <v>Pass</v>
      </c>
      <c r="BU102" t="str">
        <f t="shared" si="127"/>
        <v>Girth Weld Stress</v>
      </c>
    </row>
    <row r="103" spans="1:73">
      <c r="A103" t="s">
        <v>695</v>
      </c>
      <c r="B103" s="181">
        <v>101</v>
      </c>
      <c r="C103" t="s">
        <v>594</v>
      </c>
      <c r="D103" s="181">
        <v>16</v>
      </c>
      <c r="E103" s="181">
        <v>1.9690000000000001</v>
      </c>
      <c r="F103" t="s">
        <v>117</v>
      </c>
      <c r="G103" t="s">
        <v>119</v>
      </c>
      <c r="H103" t="s">
        <v>122</v>
      </c>
      <c r="I103" s="181">
        <v>1</v>
      </c>
      <c r="J103" t="s">
        <v>126</v>
      </c>
      <c r="K103" t="s">
        <v>129</v>
      </c>
      <c r="L103" s="181">
        <v>70</v>
      </c>
      <c r="M103" s="181">
        <v>0</v>
      </c>
      <c r="N103" t="s">
        <v>141</v>
      </c>
      <c r="O103" s="181">
        <v>120</v>
      </c>
      <c r="P103" s="181">
        <v>8</v>
      </c>
      <c r="Q103" s="181">
        <v>18</v>
      </c>
      <c r="R103" t="s">
        <v>417</v>
      </c>
      <c r="S103" t="s">
        <v>156</v>
      </c>
      <c r="T103" s="181">
        <v>70</v>
      </c>
      <c r="U103" s="181">
        <f>HLOOKUP(D103,'Highway Loading'!$C$155:$AD$156,2,FALSE)</f>
        <v>16</v>
      </c>
      <c r="V103" s="181">
        <f>IF(ISBLANK(G103),"",INDEX('Highway Loading'!$C$216:$AG$216,1,MATCH(G103,'Highway Loading'!$C$215:$AG$215,0)))</f>
        <v>65000</v>
      </c>
      <c r="W103" s="181">
        <f>INDEX('Highway Loading'!$I$245:$L$253,MATCH(H103,'Highway Loading'!$H$245:$H$253,0),MATCH(I103,'Highway Loading'!$I$244:$L$244,0))</f>
        <v>0.72</v>
      </c>
      <c r="X103" s="181">
        <f t="shared" si="96"/>
        <v>1</v>
      </c>
      <c r="Y103" s="181">
        <f>VLOOKUP(K103,'Highway Loading'!$B$283:$E$292,2,FALSE)</f>
        <v>29000000</v>
      </c>
      <c r="Z103" s="181">
        <f>VLOOKUP(K103,'Highway Loading'!$B$283:$E$292,3,FALSE)</f>
        <v>0.3</v>
      </c>
      <c r="AA103" s="181">
        <f>VLOOKUP(K103,'Highway Loading'!$B$283:$E$292,4,FALSE)</f>
        <v>6.4999999999999996E-6</v>
      </c>
      <c r="AB103" s="181">
        <f t="shared" si="97"/>
        <v>1</v>
      </c>
      <c r="AC103" s="181">
        <f>VLOOKUP(N103,'Highway Loading'!$B$256:$D$261,2,FALSE)</f>
        <v>500</v>
      </c>
      <c r="AD103" s="181">
        <f>VLOOKUP(N103,'Highway Loading'!$B$256:$D$261,3,FALSE)</f>
        <v>10000</v>
      </c>
      <c r="AE103" s="181">
        <f>VLOOKUP(S103,'Highway Loading'!$B$340:$C$341,2,FALSE)</f>
        <v>10000</v>
      </c>
      <c r="AF103" s="181">
        <f t="shared" si="98"/>
        <v>0.12306250000000001</v>
      </c>
      <c r="AG103" s="181">
        <f t="shared" si="99"/>
        <v>5.333333333333333</v>
      </c>
      <c r="AH103" s="181">
        <f t="shared" si="100"/>
        <v>1.125</v>
      </c>
      <c r="AI103" s="181">
        <f t="shared" si="101"/>
        <v>0</v>
      </c>
      <c r="AJ103" s="181">
        <f t="shared" si="102"/>
        <v>46800</v>
      </c>
      <c r="AK103" s="181">
        <f>IF(AC103=200,(INDEX(Tables!$B$17:$B$38,MAX(1,MIN(IFERROR(MATCH(AF103,Tables!$A$17:$A$38,1),1),ROWS(Tables!$A$17:$A$38)-1)))+(AF103-INDEX(Tables!$A$17:$A$38,MAX(1,MIN(IFERROR(MATCH(AF103,Tables!$A$17:$A$38,1),1),ROWS(Tables!$A$17:$A$38)-1))))*(INDEX(Tables!$B$17:$B$38,MAX(1,MIN(IFERROR(MATCH(AF103,Tables!$A$17:$A$38,1),1),ROWS(Tables!$A$17:$A$38)-1))+1)-INDEX(Tables!$B$17:$B$38,MAX(1,MIN(IFERROR(MATCH(AF103,Tables!$A$17:$A$38,1),1),ROWS(Tables!$A$17:$A$38)-1))))/(INDEX(Tables!$A$17:$A$38,MAX(1,MIN(IFERROR(MATCH(AF103,Tables!$A$17:$A$38,1),1),ROWS(Tables!$A$17:$A$38)-1))+1)-INDEX(Tables!$A$17:$A$38,MAX(1,MIN(IFERROR(MATCH(AF103,Tables!$A$17:$A$38,1),1),ROWS(Tables!$A$17:$A$38)-1))))),IF(AC103=500,(INDEX(Tables!$D$17:$D$38,MAX(1,MIN(IFERROR(MATCH(AF103,Tables!$C$17:$C$38,1),1),ROWS(Tables!$C$17:$C$38)-1)))+(AF103-INDEX(Tables!$C$17:$C$38,MAX(1,MIN(IFERROR(MATCH(AF103,Tables!$C$17:$C$38,1),1),ROWS(Tables!$C$17:$C$38)-1))))*(INDEX(Tables!$D$17:$D$38,MAX(1,MIN(IFERROR(MATCH(AF103,Tables!$C$17:$C$38,1),1),ROWS(Tables!$C$17:$C$38)-1))+1)-INDEX(Tables!$D$17:$D$38,MAX(1,MIN(IFERROR(MATCH(AF103,Tables!$C$17:$C$38,1),1),ROWS(Tables!$C$17:$C$38)-1))))/(INDEX(Tables!$C$17:$C$38,MAX(1,MIN(IFERROR(MATCH(AF103,Tables!$C$17:$C$38,1),1),ROWS(Tables!$C$17:$C$38)-1))+1)-INDEX(Tables!$C$17:$C$38,MAX(1,MIN(IFERROR(MATCH(AF103,Tables!$C$17:$C$38,1),1),ROWS(Tables!$C$17:$C$38)-1))))),IF(AC103=1000,(INDEX(Tables!$F$17:$F$38,MAX(1,MIN(IFERROR(MATCH(AF103,Tables!$E$17:$E$38,1),1),ROWS(Tables!$E$17:$E$38)-1)))+(AF103-INDEX(Tables!$E$17:$E$38,MAX(1,MIN(IFERROR(MATCH(AF103,Tables!$E$17:$E$38,1),1),ROWS(Tables!$E$17:$E$38)-1))))*(INDEX(Tables!$F$17:$F$38,MAX(1,MIN(IFERROR(MATCH(AF103,Tables!$E$17:$E$38,1),1),ROWS(Tables!$E$17:$E$38)-1))+1)-INDEX(Tables!$F$17:$F$38,MAX(1,MIN(IFERROR(MATCH(AF103,Tables!$E$17:$E$38,1),1),ROWS(Tables!$E$17:$E$38)-1))))/(INDEX(Tables!$E$17:$E$38,MAX(1,MIN(IFERROR(MATCH(AF103,Tables!$E$17:$E$38,1),1),ROWS(Tables!$E$17:$E$38)-1))+1)-INDEX(Tables!$E$17:$E$38,MAX(1,MIN(IFERROR(MATCH(AF103,Tables!$E$17:$E$38,1),1),ROWS(Tables!$E$17:$E$38)-1))))),(INDEX(Tables!$H$17:$H$38,MAX(1,MIN(IFERROR(MATCH(AF103,Tables!$G$17:$G$38,1),1),ROWS(Tables!$G$17:$G$38)-1)))+(AF103-INDEX(Tables!$G$17:$G$38,MAX(1,MIN(IFERROR(MATCH(AF103,Tables!$G$17:$G$38,1),1),ROWS(Tables!$G$17:$G$38)-1))))*(INDEX(Tables!$H$17:$H$38,MAX(1,MIN(IFERROR(MATCH(AF103,Tables!$G$17:$G$38,1),1),ROWS(Tables!$G$17:$G$38)-1))+1)-INDEX(Tables!$H$17:$H$38,MAX(1,MIN(IFERROR(MATCH(AF103,Tables!$G$17:$G$38,1),1),ROWS(Tables!$G$17:$G$38)-1))))/(INDEX(Tables!$G$17:$G$38,MAX(1,MIN(IFERROR(MATCH(AF103,Tables!$G$17:$G$38,1),1),ROWS(Tables!$G$17:$G$38)-1))+1)-INDEX(Tables!$G$17:$G$38,MAX(1,MIN(IFERROR(MATCH(AF103,Tables!$G$17:$G$38,1),1),ROWS(Tables!$G$17:$G$38)-1))))))))</f>
        <v>88</v>
      </c>
      <c r="AL103" s="181">
        <f>IF(AC103&lt;1000,(INDEX(Tables!$B$43:$B$76,MAX(1,MIN(IFERROR(MATCH(AG103,Tables!$A$43:$A$76,1),1),ROWS(Tables!$A$43:$A$76)-1)))+(AG103-INDEX(Tables!$A$43:$A$76,MAX(1,MIN(IFERROR(MATCH(AG103,Tables!$A$43:$A$76,1),1),ROWS(Tables!$A$43:$A$76)-1))))*(INDEX(Tables!$B$43:$B$76,MAX(1,MIN(IFERROR(MATCH(AG103,Tables!$A$43:$A$76,1),1),ROWS(Tables!$A$43:$A$76)-1))+1)-INDEX(Tables!$B$43:$B$76,MAX(1,MIN(IFERROR(MATCH(AG103,Tables!$A$43:$A$76,1),1),ROWS(Tables!$A$43:$A$76)-1))))/(INDEX(Tables!$A$43:$A$76,MAX(1,MIN(IFERROR(MATCH(AG103,Tables!$A$43:$A$76,1),1),ROWS(Tables!$A$43:$A$76)-1))+1)-INDEX(Tables!$A$43:$A$76,MAX(1,MIN(IFERROR(MATCH(AG103,Tables!$A$43:$A$76,1),1),ROWS(Tables!$A$43:$A$76)-1))))),(INDEX(Tables!$D$43:$D$76,MAX(1,MIN(IFERROR(MATCH(AG103,Tables!$C$43:$C$76,1),1),ROWS(Tables!$C$43:$C$76)-1)))+(AG103-INDEX(Tables!$C$43:$C$76,MAX(1,MIN(IFERROR(MATCH(AG103,Tables!$C$43:$C$76,1),1),ROWS(Tables!$C$43:$C$76)-1))))*(INDEX(Tables!$D$43:$D$76,MAX(1,MIN(IFERROR(MATCH(AG103,Tables!$C$43:$C$76,1),1),ROWS(Tables!$C$43:$C$76)-1))+1)-INDEX(Tables!$D$43:$D$76,MAX(1,MIN(IFERROR(MATCH(AG103,Tables!$C$43:$C$76,1),1),ROWS(Tables!$C$43:$C$76)-1))))/(INDEX(Tables!$C$43:$C$76,MAX(1,MIN(IFERROR(MATCH(AG103,Tables!$C$43:$C$76,1),1),ROWS(Tables!$C$43:$C$76)-1))+1)-INDEX(Tables!$C$43:$C$76,MAX(1,MIN(IFERROR(MATCH(AG103,Tables!$C$43:$C$76,1),1),ROWS(Tables!$C$43:$C$76)-1))))))</f>
        <v>1.1053333333333333</v>
      </c>
      <c r="AM103" s="181">
        <f>(INDEX(Tables!$B$80:$B$87,MAX(1,MIN(IFERROR(MATCH(AH103,Tables!$A$80:$A$87,1),1),ROWS(Tables!$A$80:$A$87)-1)))+(AH103-INDEX(Tables!$A$80:$A$87,MAX(1,MIN(IFERROR(MATCH(AH103,Tables!$A$80:$A$87,1),1),ROWS(Tables!$A$80:$A$87)-1))))*(INDEX(Tables!$B$80:$B$87,MAX(1,MIN(IFERROR(MATCH(AH103,Tables!$A$80:$A$87,1),1),ROWS(Tables!$A$80:$A$87)-1))+1)-INDEX(Tables!$B$80:$B$87,MAX(1,MIN(IFERROR(MATCH(AH103,Tables!$A$80:$A$87,1),1),ROWS(Tables!$A$80:$A$87)-1))))/(INDEX(Tables!$A$80:$A$87,MAX(1,MIN(IFERROR(MATCH(AH103,Tables!$A$80:$A$87,1),1),ROWS(Tables!$A$80:$A$87)-1))+1)-INDEX(Tables!$A$80:$A$87,MAX(1,MIN(IFERROR(MATCH(AH103,Tables!$A$80:$A$87,1),1),ROWS(Tables!$A$80:$A$87)-1)))))</f>
        <v>1.04345</v>
      </c>
      <c r="AN103" s="181">
        <f t="shared" si="103"/>
        <v>112.77298429629629</v>
      </c>
      <c r="AO103" s="181">
        <f>(INDEX(Tables!$B$91:$B$94,MAX(1,MIN(IFERROR(MATCH(P103,Tables!$A$91:$A$94,1),1),ROWS(Tables!$A$91:$A$94)-1)))+(P103-INDEX(Tables!$A$91:$A$94,MAX(1,MIN(IFERROR(MATCH(P103,Tables!$A$91:$A$94,1),1),ROWS(Tables!$A$91:$A$94)-1))))*(INDEX(Tables!$B$91:$B$94,MAX(1,MIN(IFERROR(MATCH(P103,Tables!$A$91:$A$94,1),1),ROWS(Tables!$A$91:$A$94)-1))+1)-INDEX(Tables!$B$91:$B$94,MAX(1,MIN(IFERROR(MATCH(P103,Tables!$A$91:$A$94,1),1),ROWS(Tables!$A$91:$A$94)-1))))/(INDEX(Tables!$A$91:$A$94,MAX(1,MIN(IFERROR(MATCH(P103,Tables!$A$91:$A$94,1),1),ROWS(Tables!$A$91:$A$94)-1))+1)-INDEX(Tables!$A$91:$A$94,MAX(1,MIN(IFERROR(MATCH(P103,Tables!$A$91:$A$94,1),1),ROWS(Tables!$A$91:$A$94)-1)))))</f>
        <v>1.4152439024390244</v>
      </c>
      <c r="AP103" s="181">
        <f>IF(AD103=5000,(INDEX(Tables!$B$99:$B$118,MAX(1,MIN(IFERROR(MATCH(AF103,Tables!$A$99:$A$118,1),1),ROWS(Tables!$A$99:$A$118)-1)))+(AF103-INDEX(Tables!$A$99:$A$118,MAX(1,MIN(IFERROR(MATCH(AF103,Tables!$A$99:$A$118,1),1),ROWS(Tables!$A$99:$A$118)-1))))*(INDEX(Tables!$B$99:$B$118,MAX(1,MIN(IFERROR(MATCH(AF103,Tables!$A$99:$A$118,1),1),ROWS(Tables!$A$99:$A$118)-1))+1)-INDEX(Tables!$B$99:$B$118,MAX(1,MIN(IFERROR(MATCH(AF103,Tables!$A$99:$A$118,1),1),ROWS(Tables!$A$99:$A$118)-1))))/(INDEX(Tables!$A$99:$A$118,MAX(1,MIN(IFERROR(MATCH(AF103,Tables!$A$99:$A$118,1),1),ROWS(Tables!$A$99:$A$118)-1))+1)-INDEX(Tables!$A$99:$A$118,MAX(1,MIN(IFERROR(MATCH(AF103,Tables!$A$99:$A$118,1),1),ROWS(Tables!$A$99:$A$118)-1))))),IF(AD103=10000,(INDEX(Tables!$D$99:$D$118,MAX(1,MIN(IFERROR(MATCH(AF103,Tables!$C$99:$C$118,1),1),ROWS(Tables!$C$99:$C$118)-1)))+(AF103-INDEX(Tables!$C$99:$C$118,MAX(1,MIN(IFERROR(MATCH(AF103,Tables!$C$99:$C$118,1),1),ROWS(Tables!$C$99:$C$118)-1))))*(INDEX(Tables!$D$99:$D$118,MAX(1,MIN(IFERROR(MATCH(AF103,Tables!$C$99:$C$118,1),1),ROWS(Tables!$C$99:$C$118)-1))+1)-INDEX(Tables!$D$99:$D$118,MAX(1,MIN(IFERROR(MATCH(AF103,Tables!$C$99:$C$118,1),1),ROWS(Tables!$C$99:$C$118)-1))))/(INDEX(Tables!$C$99:$C$118,MAX(1,MIN(IFERROR(MATCH(AF103,Tables!$C$99:$C$118,1),1),ROWS(Tables!$C$99:$C$118)-1))+1)-INDEX(Tables!$C$99:$C$118,MAX(1,MIN(IFERROR(MATCH(AF103,Tables!$C$99:$C$118,1),1),ROWS(Tables!$C$99:$C$118)-1))))),(INDEX(Tables!$F$99:$F$118,MAX(1,MIN(IFERROR(MATCH(AF103,Tables!$E$99:$E$118,1),1),ROWS(Tables!$E$99:$E$118)-1)))+(AF103-INDEX(Tables!$E$99:$E$118,MAX(1,MIN(IFERROR(MATCH(AF103,Tables!$E$99:$E$118,1),1),ROWS(Tables!$E$99:$E$118)-1))))*(INDEX(Tables!$F$99:$F$118,MAX(1,MIN(IFERROR(MATCH(AF103,Tables!$E$99:$E$118,1),1),ROWS(Tables!$E$99:$E$118)-1))+1)-INDEX(Tables!$F$99:$F$118,MAX(1,MIN(IFERROR(MATCH(AF103,Tables!$E$99:$E$118,1),1),ROWS(Tables!$E$99:$E$118)-1))))/(INDEX(Tables!$E$99:$E$118,MAX(1,MIN(IFERROR(MATCH(AF103,Tables!$E$99:$E$118,1),1),ROWS(Tables!$E$99:$E$118)-1))+1)-INDEX(Tables!$E$99:$E$118,MAX(1,MIN(IFERROR(MATCH(AF103,Tables!$E$99:$E$118,1),1),ROWS(Tables!$E$99:$E$118)-1)))))))</f>
        <v>1.605</v>
      </c>
      <c r="AQ103" s="181">
        <f>IF(P103&lt;6,(INDEX(Tables!$B$123:$B$138,MAX(1,MIN(IFERROR(MATCH(U103,Tables!$A$123:$A$138,1),1),ROWS(Tables!$A$123:$A$138)-1)))+(U103-INDEX(Tables!$A$123:$A$138,MAX(1,MIN(IFERROR(MATCH(U103,Tables!$A$123:$A$138,1),1),ROWS(Tables!$A$123:$A$138)-1))))*(INDEX(Tables!$B$123:$B$138,MAX(1,MIN(IFERROR(MATCH(U103,Tables!$A$123:$A$138,1),1),ROWS(Tables!$A$123:$A$138)-1))+1)-INDEX(Tables!$B$123:$B$138,MAX(1,MIN(IFERROR(MATCH(U103,Tables!$A$123:$A$138,1),1),ROWS(Tables!$A$123:$A$138)-1))))/(INDEX(Tables!$A$123:$A$138,MAX(1,MIN(IFERROR(MATCH(U103,Tables!$A$123:$A$138,1),1),ROWS(Tables!$A$123:$A$138)-1))+1)-INDEX(Tables!$A$123:$A$138,MAX(1,MIN(IFERROR(MATCH(U103,Tables!$A$123:$A$138,1),1),ROWS(Tables!$A$123:$A$138)-1))))),IF(P103&lt;8,(INDEX(Tables!$D$123:$D$138,MAX(1,MIN(IFERROR(MATCH(U103,Tables!$C$123:$C$138,1),1),ROWS(Tables!$C$123:$C$138)-1)))+(U103-INDEX(Tables!$C$123:$C$138,MAX(1,MIN(IFERROR(MATCH(U103,Tables!$C$123:$C$138,1),1),ROWS(Tables!$C$123:$C$138)-1))))*(INDEX(Tables!$D$123:$D$138,MAX(1,MIN(IFERROR(MATCH(U103,Tables!$C$123:$C$138,1),1),ROWS(Tables!$C$123:$C$138)-1))+1)-INDEX(Tables!$D$123:$D$138,MAX(1,MIN(IFERROR(MATCH(U103,Tables!$C$123:$C$138,1),1),ROWS(Tables!$C$123:$C$138)-1))))/(INDEX(Tables!$C$123:$C$138,MAX(1,MIN(IFERROR(MATCH(U103,Tables!$C$123:$C$138,1),1),ROWS(Tables!$C$123:$C$138)-1))+1)-INDEX(Tables!$C$123:$C$138,MAX(1,MIN(IFERROR(MATCH(U103,Tables!$C$123:$C$138,1),1),ROWS(Tables!$C$123:$C$138)-1))))),IF(P103&lt;10,(INDEX(Tables!$F$123:$F$138,MAX(1,MIN(IFERROR(MATCH(U103,Tables!$E$123:$E$138,1),1),ROWS(Tables!$E$123:$E$138)-1)))+(U103-INDEX(Tables!$E$123:$E$138,MAX(1,MIN(IFERROR(MATCH(U103,Tables!$E$123:$E$138,1),1),ROWS(Tables!$E$123:$E$138)-1))))*(INDEX(Tables!$F$123:$F$138,MAX(1,MIN(IFERROR(MATCH(U103,Tables!$E$123:$E$138,1),1),ROWS(Tables!$E$123:$E$138)-1))+1)-INDEX(Tables!$F$123:$F$138,MAX(1,MIN(IFERROR(MATCH(U103,Tables!$E$123:$E$138,1),1),ROWS(Tables!$E$123:$E$138)-1))))/(INDEX(Tables!$E$123:$E$138,MAX(1,MIN(IFERROR(MATCH(U103,Tables!$E$123:$E$138,1),1),ROWS(Tables!$E$123:$E$138)-1))+1)-INDEX(Tables!$E$123:$E$138,MAX(1,MIN(IFERROR(MATCH(U103,Tables!$E$123:$E$138,1),1),ROWS(Tables!$E$123:$E$138)-1))))),(INDEX(Tables!$H$123:$H$138,MAX(1,MIN(IFERROR(MATCH(U103,Tables!$G$123:$G$138,1),1),ROWS(Tables!$G$123:$G$138)-1)))+(U103-INDEX(Tables!$G$123:$G$138,MAX(1,MIN(IFERROR(MATCH(U103,Tables!$G$123:$G$138,1),1),ROWS(Tables!$G$123:$G$138)-1))))*(INDEX(Tables!$H$123:$H$138,MAX(1,MIN(IFERROR(MATCH(U103,Tables!$G$123:$G$138,1),1),ROWS(Tables!$G$123:$G$138)-1))+1)-INDEX(Tables!$H$123:$H$138,MAX(1,MIN(IFERROR(MATCH(U103,Tables!$G$123:$G$138,1),1),ROWS(Tables!$G$123:$G$138)-1))))/(INDEX(Tables!$G$123:$G$138,MAX(1,MIN(IFERROR(MATCH(U103,Tables!$G$123:$G$138,1),1),ROWS(Tables!$G$123:$G$138)-1))+1)-INDEX(Tables!$G$123:$G$138,MAX(1,MIN(IFERROR(MATCH(U103,Tables!$G$123:$G$138,1),1),ROWS(Tables!$G$123:$G$138)-1))))))))</f>
        <v>0.79200000000000004</v>
      </c>
      <c r="AR103" s="181">
        <f>IF(OR(P103&gt;=4,U103&gt;12),VLOOKUP(R103&amp;" "&amp;S103,Tables!$D$143:$F$148,2,FALSE),VLOOKUP(R103&amp;" "&amp;S103,Tables!$A$143:$C$148,2,FALSE))</f>
        <v>1.1000000000000001</v>
      </c>
      <c r="AS103" s="181">
        <f>IF(OR(P103&gt;=4,U103&gt;12),VLOOKUP(R103&amp;" "&amp;S103,Tables!$D$143:$F$148,3,FALSE),VLOOKUP(R103&amp;" "&amp;S103,Tables!$A$143:$C$148,3,FALSE))</f>
        <v>1</v>
      </c>
      <c r="AT103" s="181">
        <f t="shared" si="104"/>
        <v>137.42372103658539</v>
      </c>
      <c r="AU103" s="181">
        <f>IF(AD103=5000,(INDEX(Tables!$B$244:$B$263,MAX(1,MIN(IFERROR(MATCH(AF103,Tables!$A$244:$A$263,1),1),ROWS(Tables!$A$244:$A$263)-1)))+(AF103-INDEX(Tables!$A$244:$A$263,MAX(1,MIN(IFERROR(MATCH(AF103,Tables!$A$244:$A$263,1),1),ROWS(Tables!$A$244:$A$263)-1))))*(INDEX(Tables!$B$244:$B$263,MAX(1,MIN(IFERROR(MATCH(AF103,Tables!$A$244:$A$263,1),1),ROWS(Tables!$A$244:$A$263)-1))+1)-INDEX(Tables!$B$244:$B$263,MAX(1,MIN(IFERROR(MATCH(AF103,Tables!$A$244:$A$263,1),1),ROWS(Tables!$A$244:$A$263)-1))))/(INDEX(Tables!$A$244:$A$263,MAX(1,MIN(IFERROR(MATCH(AF103,Tables!$A$244:$A$263,1),1),ROWS(Tables!$A$244:$A$263)-1))+1)-INDEX(Tables!$A$244:$A$263,MAX(1,MIN(IFERROR(MATCH(AF103,Tables!$A$244:$A$263,1),1),ROWS(Tables!$A$244:$A$263)-1))))),IF(AD103=10000,(INDEX(Tables!$D$244:$D$263,MAX(1,MIN(IFERROR(MATCH(AF103,Tables!$C$244:$C$263,1),1),ROWS(Tables!$C$244:$C$263)-1)))+(AF103-INDEX(Tables!$C$244:$C$263,MAX(1,MIN(IFERROR(MATCH(AF103,Tables!$C$244:$C$263,1),1),ROWS(Tables!$C$244:$C$263)-1))))*(INDEX(Tables!$D$244:$D$263,MAX(1,MIN(IFERROR(MATCH(AF103,Tables!$C$244:$C$263,1),1),ROWS(Tables!$C$244:$C$263)-1))+1)-INDEX(Tables!$D$244:$D$263,MAX(1,MIN(IFERROR(MATCH(AF103,Tables!$C$244:$C$263,1),1),ROWS(Tables!$C$244:$C$263)-1))))/(INDEX(Tables!$C$244:$C$263,MAX(1,MIN(IFERROR(MATCH(AF103,Tables!$C$244:$C$263,1),1),ROWS(Tables!$C$244:$C$263)-1))+1)-INDEX(Tables!$C$244:$C$263,MAX(1,MIN(IFERROR(MATCH(AF103,Tables!$C$244:$C$263,1),1),ROWS(Tables!$C$244:$C$263)-1))))),(INDEX(Tables!$F$244:$F$263,MAX(1,MIN(IFERROR(MATCH(AF103,Tables!$E$244:$E$263,1),1),ROWS(Tables!$E$244:$E$263)-1)))+(AF103-INDEX(Tables!$E$244:$E$263,MAX(1,MIN(IFERROR(MATCH(AF103,Tables!$E$244:$E$263,1),1),ROWS(Tables!$E$244:$E$263)-1))))*(INDEX(Tables!$F$244:$F$263,MAX(1,MIN(IFERROR(MATCH(AF103,Tables!$E$244:$E$263,1),1),ROWS(Tables!$E$244:$E$263)-1))+1)-INDEX(Tables!$F$244:$F$263,MAX(1,MIN(IFERROR(MATCH(AF103,Tables!$E$244:$E$263,1),1),ROWS(Tables!$E$244:$E$263)-1))))/(INDEX(Tables!$E$244:$E$263,MAX(1,MIN(IFERROR(MATCH(AF103,Tables!$E$244:$E$263,1),1),ROWS(Tables!$E$244:$E$263)-1))+1)-INDEX(Tables!$E$244:$E$263,MAX(1,MIN(IFERROR(MATCH(AF103,Tables!$E$244:$E$263,1),1),ROWS(Tables!$E$244:$E$263)-1)))))))</f>
        <v>2.5920000000000001</v>
      </c>
      <c r="AV103" s="181">
        <f>IF(P103&lt;6,(INDEX(Tables!$B$260:$B$274,MAX(1,MIN(IFERROR(MATCH(U103,Tables!$A$260:$A$274,1),1),ROWS(Tables!$A$260:$A$274)-1)))+(U103-INDEX(Tables!$A$260:$A$274,MAX(1,MIN(IFERROR(MATCH(U103,Tables!$A$260:$A$274,1),1),ROWS(Tables!$A$260:$A$274)-1))))*(INDEX(Tables!$B$260:$B$274,MAX(1,MIN(IFERROR(MATCH(U103,Tables!$A$260:$A$274,1),1),ROWS(Tables!$A$260:$A$274)-1))+1)-INDEX(Tables!$B$260:$B$274,MAX(1,MIN(IFERROR(MATCH(U103,Tables!$A$260:$A$274,1),1),ROWS(Tables!$A$260:$A$274)-1))))/(INDEX(Tables!$A$260:$A$274,MAX(1,MIN(IFERROR(MATCH(U103,Tables!$A$260:$A$274,1),1),ROWS(Tables!$A$260:$A$274)-1))+1)-INDEX(Tables!$A$260:$A$274,MAX(1,MIN(IFERROR(MATCH(U103,Tables!$A$260:$A$274,1),1),ROWS(Tables!$A$260:$A$274)-1))))),IF(P103&lt;8,(INDEX(Tables!$D$260:$D$274,MAX(1,MIN(IFERROR(MATCH(U103,Tables!$C$260:$C$274,1),1),ROWS(Tables!$C$260:$C$274)-1)))+(U103-INDEX(Tables!$C$260:$C$274,MAX(1,MIN(IFERROR(MATCH(U103,Tables!$C$260:$C$274,1),1),ROWS(Tables!$C$260:$C$274)-1))))*(INDEX(Tables!$D$260:$D$274,MAX(1,MIN(IFERROR(MATCH(U103,Tables!$C$260:$C$274,1),1),ROWS(Tables!$C$260:$C$274)-1))+1)-INDEX(Tables!$D$260:$D$274,MAX(1,MIN(IFERROR(MATCH(U103,Tables!$C$260:$C$274,1),1),ROWS(Tables!$C$260:$C$274)-1))))/(INDEX(Tables!$C$260:$C$274,MAX(1,MIN(IFERROR(MATCH(U103,Tables!$C$260:$C$274,1),1),ROWS(Tables!$C$260:$C$274)-1))+1)-INDEX(Tables!$C$260:$C$274,MAX(1,MIN(IFERROR(MATCH(U103,Tables!$C$260:$C$274,1),1),ROWS(Tables!$C$260:$C$274)-1))))),IF(P103&lt;10,(INDEX(Tables!$F$260:$F$274,MAX(1,MIN(IFERROR(MATCH(U103,Tables!$E$260:$E$274,1),1),ROWS(Tables!$E$260:$E$274)-1)))+(U103-INDEX(Tables!$E$260:$E$274,MAX(1,MIN(IFERROR(MATCH(U103,Tables!$E$260:$E$274,1),1),ROWS(Tables!$E$260:$E$274)-1))))*(INDEX(Tables!$F$260:$F$274,MAX(1,MIN(IFERROR(MATCH(U103,Tables!$E$260:$E$274,1),1),ROWS(Tables!$E$260:$E$274)-1))+1)-INDEX(Tables!$F$260:$F$274,MAX(1,MIN(IFERROR(MATCH(U103,Tables!$E$260:$E$274,1),1),ROWS(Tables!$E$260:$E$274)-1))))/(INDEX(Tables!$E$260:$E$274,MAX(1,MIN(IFERROR(MATCH(U103,Tables!$E$260:$E$274,1),1),ROWS(Tables!$E$260:$E$274)-1))+1)-INDEX(Tables!$E$260:$E$274,MAX(1,MIN(IFERROR(MATCH(U103,Tables!$E$260:$E$274,1),1),ROWS(Tables!$E$260:$E$274)-1))))),(INDEX(Tables!$H$260:$H$274,MAX(1,MIN(IFERROR(MATCH(U103,Tables!$G$260:$G$274,1),1),ROWS(Tables!$G$260:$G$274)-1)))+(U103-INDEX(Tables!$G$260:$G$274,MAX(1,MIN(IFERROR(MATCH(U103,Tables!$G$260:$G$274,1),1),ROWS(Tables!$G$260:$G$274)-1))))*(INDEX(Tables!$H$260:$H$274,MAX(1,MIN(IFERROR(MATCH(U103,Tables!$G$260:$G$274,1),1),ROWS(Tables!$G$260:$G$274)-1))+1)-INDEX(Tables!$H$260:$H$274,MAX(1,MIN(IFERROR(MATCH(U103,Tables!$G$260:$G$274,1),1),ROWS(Tables!$G$260:$G$274)-1))))/(INDEX(Tables!$G$260:$G$274,MAX(1,MIN(IFERROR(MATCH(U103,Tables!$G$260:$G$274,1),1),ROWS(Tables!$G$260:$G$274)-1))+1)-INDEX(Tables!$G$260:$G$274,MAX(1,MIN(IFERROR(MATCH(U103,Tables!$G$260:$G$274,1),1),ROWS(Tables!$G$260:$G$274)-1))))))))</f>
        <v>0.84099999999999997</v>
      </c>
      <c r="AW103" s="181">
        <f t="shared" si="105"/>
        <v>235.66358414634146</v>
      </c>
      <c r="AX103" s="181">
        <f t="shared" si="106"/>
        <v>0</v>
      </c>
      <c r="AY103" s="181">
        <f t="shared" si="107"/>
        <v>250.19670533288166</v>
      </c>
      <c r="AZ103" s="181">
        <f t="shared" si="108"/>
        <v>269.49547943523032</v>
      </c>
      <c r="BA103" s="181">
        <f t="shared" si="109"/>
        <v>0</v>
      </c>
      <c r="BB103" s="181">
        <f t="shared" si="110"/>
        <v>260.38303273956518</v>
      </c>
      <c r="BC103" s="181">
        <f t="shared" si="111"/>
        <v>46800</v>
      </c>
      <c r="BD103" s="181">
        <f>VLOOKUP(V103&amp;" "&amp;J103,Tables!$A$152:$E$239,4,FALSE)</f>
        <v>12000</v>
      </c>
      <c r="BE103" s="181">
        <f>VLOOKUP(V103&amp;" "&amp;J103,Tables!$A$152:$E$239,5,FALSE)</f>
        <v>23000</v>
      </c>
      <c r="BF103" s="181">
        <f t="shared" si="112"/>
        <v>8640</v>
      </c>
      <c r="BG103" s="181">
        <f t="shared" si="113"/>
        <v>16560</v>
      </c>
      <c r="BH103" s="181">
        <f t="shared" si="114"/>
        <v>0</v>
      </c>
      <c r="BI103" s="181">
        <f t="shared" si="115"/>
        <v>46800</v>
      </c>
      <c r="BJ103" s="181">
        <f t="shared" si="116"/>
        <v>260.38303273956518</v>
      </c>
      <c r="BK103" s="181">
        <f t="shared" si="117"/>
        <v>46800</v>
      </c>
      <c r="BL103" s="181">
        <f t="shared" si="118"/>
        <v>235.66358414634146</v>
      </c>
      <c r="BM103" s="181">
        <f t="shared" si="119"/>
        <v>8640</v>
      </c>
      <c r="BN103" s="181">
        <f t="shared" si="120"/>
        <v>137.42372103658539</v>
      </c>
      <c r="BO103" s="181">
        <f t="shared" si="121"/>
        <v>16560</v>
      </c>
      <c r="BP103" t="str">
        <f t="shared" si="122"/>
        <v>Pass</v>
      </c>
      <c r="BQ103" t="str">
        <f t="shared" si="123"/>
        <v>Pass</v>
      </c>
      <c r="BR103" t="str">
        <f t="shared" si="124"/>
        <v>Pass</v>
      </c>
      <c r="BS103" t="str">
        <f t="shared" si="125"/>
        <v>Pass</v>
      </c>
      <c r="BT103" t="str">
        <f t="shared" si="126"/>
        <v>Pass</v>
      </c>
      <c r="BU103" t="str">
        <f t="shared" si="127"/>
        <v>Girth Weld Stress</v>
      </c>
    </row>
    <row r="104" spans="1:73">
      <c r="A104" t="s">
        <v>696</v>
      </c>
      <c r="B104" s="181">
        <v>102</v>
      </c>
      <c r="C104" t="s">
        <v>594</v>
      </c>
      <c r="D104" s="181">
        <v>24</v>
      </c>
      <c r="E104" s="181">
        <v>2.3439999999999999</v>
      </c>
      <c r="F104" t="s">
        <v>117</v>
      </c>
      <c r="G104" t="s">
        <v>119</v>
      </c>
      <c r="H104" t="s">
        <v>122</v>
      </c>
      <c r="I104" s="181">
        <v>1</v>
      </c>
      <c r="J104" t="s">
        <v>126</v>
      </c>
      <c r="K104" t="s">
        <v>129</v>
      </c>
      <c r="L104" s="181">
        <v>70</v>
      </c>
      <c r="M104" s="181">
        <v>100</v>
      </c>
      <c r="N104" t="s">
        <v>141</v>
      </c>
      <c r="O104" s="181">
        <v>120</v>
      </c>
      <c r="P104" s="181">
        <v>10</v>
      </c>
      <c r="Q104" s="181">
        <v>26</v>
      </c>
      <c r="R104" t="s">
        <v>417</v>
      </c>
      <c r="S104" t="s">
        <v>156</v>
      </c>
      <c r="T104" s="181">
        <v>70</v>
      </c>
      <c r="U104" s="181">
        <f>HLOOKUP(D104,'Highway Loading'!$C$155:$AD$156,2,FALSE)</f>
        <v>24</v>
      </c>
      <c r="V104" s="181">
        <f>IF(ISBLANK(G104),"",INDEX('Highway Loading'!$C$216:$AG$216,1,MATCH(G104,'Highway Loading'!$C$215:$AG$215,0)))</f>
        <v>65000</v>
      </c>
      <c r="W104" s="181">
        <f>INDEX('Highway Loading'!$I$245:$L$253,MATCH(H104,'Highway Loading'!$H$245:$H$253,0),MATCH(I104,'Highway Loading'!$I$244:$L$244,0))</f>
        <v>0.72</v>
      </c>
      <c r="X104" s="181">
        <f t="shared" si="96"/>
        <v>1</v>
      </c>
      <c r="Y104" s="181">
        <f>VLOOKUP(K104,'Highway Loading'!$B$283:$E$292,2,FALSE)</f>
        <v>29000000</v>
      </c>
      <c r="Z104" s="181">
        <f>VLOOKUP(K104,'Highway Loading'!$B$283:$E$292,3,FALSE)</f>
        <v>0.3</v>
      </c>
      <c r="AA104" s="181">
        <f>VLOOKUP(K104,'Highway Loading'!$B$283:$E$292,4,FALSE)</f>
        <v>6.4999999999999996E-6</v>
      </c>
      <c r="AB104" s="181">
        <f t="shared" si="97"/>
        <v>1</v>
      </c>
      <c r="AC104" s="181">
        <f>VLOOKUP(N104,'Highway Loading'!$B$256:$D$261,2,FALSE)</f>
        <v>500</v>
      </c>
      <c r="AD104" s="181">
        <f>VLOOKUP(N104,'Highway Loading'!$B$256:$D$261,3,FALSE)</f>
        <v>10000</v>
      </c>
      <c r="AE104" s="181">
        <f>VLOOKUP(S104,'Highway Loading'!$B$340:$C$341,2,FALSE)</f>
        <v>10000</v>
      </c>
      <c r="AF104" s="181">
        <f t="shared" si="98"/>
        <v>9.7666666666666666E-2</v>
      </c>
      <c r="AG104" s="181">
        <f t="shared" si="99"/>
        <v>4.615384615384615</v>
      </c>
      <c r="AH104" s="181">
        <f t="shared" si="100"/>
        <v>1.0833333333333333</v>
      </c>
      <c r="AI104" s="181">
        <f t="shared" si="101"/>
        <v>511.9453924914676</v>
      </c>
      <c r="AJ104" s="181">
        <f t="shared" si="102"/>
        <v>46800</v>
      </c>
      <c r="AK104" s="181">
        <f>IF(AC104=200,(INDEX(Tables!$B$17:$B$38,MAX(1,MIN(IFERROR(MATCH(AF104,Tables!$A$17:$A$38,1),1),ROWS(Tables!$A$17:$A$38)-1)))+(AF104-INDEX(Tables!$A$17:$A$38,MAX(1,MIN(IFERROR(MATCH(AF104,Tables!$A$17:$A$38,1),1),ROWS(Tables!$A$17:$A$38)-1))))*(INDEX(Tables!$B$17:$B$38,MAX(1,MIN(IFERROR(MATCH(AF104,Tables!$A$17:$A$38,1),1),ROWS(Tables!$A$17:$A$38)-1))+1)-INDEX(Tables!$B$17:$B$38,MAX(1,MIN(IFERROR(MATCH(AF104,Tables!$A$17:$A$38,1),1),ROWS(Tables!$A$17:$A$38)-1))))/(INDEX(Tables!$A$17:$A$38,MAX(1,MIN(IFERROR(MATCH(AF104,Tables!$A$17:$A$38,1),1),ROWS(Tables!$A$17:$A$38)-1))+1)-INDEX(Tables!$A$17:$A$38,MAX(1,MIN(IFERROR(MATCH(AF104,Tables!$A$17:$A$38,1),1),ROWS(Tables!$A$17:$A$38)-1))))),IF(AC104=500,(INDEX(Tables!$D$17:$D$38,MAX(1,MIN(IFERROR(MATCH(AF104,Tables!$C$17:$C$38,1),1),ROWS(Tables!$C$17:$C$38)-1)))+(AF104-INDEX(Tables!$C$17:$C$38,MAX(1,MIN(IFERROR(MATCH(AF104,Tables!$C$17:$C$38,1),1),ROWS(Tables!$C$17:$C$38)-1))))*(INDEX(Tables!$D$17:$D$38,MAX(1,MIN(IFERROR(MATCH(AF104,Tables!$C$17:$C$38,1),1),ROWS(Tables!$C$17:$C$38)-1))+1)-INDEX(Tables!$D$17:$D$38,MAX(1,MIN(IFERROR(MATCH(AF104,Tables!$C$17:$C$38,1),1),ROWS(Tables!$C$17:$C$38)-1))))/(INDEX(Tables!$C$17:$C$38,MAX(1,MIN(IFERROR(MATCH(AF104,Tables!$C$17:$C$38,1),1),ROWS(Tables!$C$17:$C$38)-1))+1)-INDEX(Tables!$C$17:$C$38,MAX(1,MIN(IFERROR(MATCH(AF104,Tables!$C$17:$C$38,1),1),ROWS(Tables!$C$17:$C$38)-1))))),IF(AC104=1000,(INDEX(Tables!$F$17:$F$38,MAX(1,MIN(IFERROR(MATCH(AF104,Tables!$E$17:$E$38,1),1),ROWS(Tables!$E$17:$E$38)-1)))+(AF104-INDEX(Tables!$E$17:$E$38,MAX(1,MIN(IFERROR(MATCH(AF104,Tables!$E$17:$E$38,1),1),ROWS(Tables!$E$17:$E$38)-1))))*(INDEX(Tables!$F$17:$F$38,MAX(1,MIN(IFERROR(MATCH(AF104,Tables!$E$17:$E$38,1),1),ROWS(Tables!$E$17:$E$38)-1))+1)-INDEX(Tables!$F$17:$F$38,MAX(1,MIN(IFERROR(MATCH(AF104,Tables!$E$17:$E$38,1),1),ROWS(Tables!$E$17:$E$38)-1))))/(INDEX(Tables!$E$17:$E$38,MAX(1,MIN(IFERROR(MATCH(AF104,Tables!$E$17:$E$38,1),1),ROWS(Tables!$E$17:$E$38)-1))+1)-INDEX(Tables!$E$17:$E$38,MAX(1,MIN(IFERROR(MATCH(AF104,Tables!$E$17:$E$38,1),1),ROWS(Tables!$E$17:$E$38)-1))))),(INDEX(Tables!$H$17:$H$38,MAX(1,MIN(IFERROR(MATCH(AF104,Tables!$G$17:$G$38,1),1),ROWS(Tables!$G$17:$G$38)-1)))+(AF104-INDEX(Tables!$G$17:$G$38,MAX(1,MIN(IFERROR(MATCH(AF104,Tables!$G$17:$G$38,1),1),ROWS(Tables!$G$17:$G$38)-1))))*(INDEX(Tables!$H$17:$H$38,MAX(1,MIN(IFERROR(MATCH(AF104,Tables!$G$17:$G$38,1),1),ROWS(Tables!$G$17:$G$38)-1))+1)-INDEX(Tables!$H$17:$H$38,MAX(1,MIN(IFERROR(MATCH(AF104,Tables!$G$17:$G$38,1),1),ROWS(Tables!$G$17:$G$38)-1))))/(INDEX(Tables!$G$17:$G$38,MAX(1,MIN(IFERROR(MATCH(AF104,Tables!$G$17:$G$38,1),1),ROWS(Tables!$G$17:$G$38)-1))+1)-INDEX(Tables!$G$17:$G$38,MAX(1,MIN(IFERROR(MATCH(AF104,Tables!$G$17:$G$38,1),1),ROWS(Tables!$G$17:$G$38)-1))))))))</f>
        <v>88</v>
      </c>
      <c r="AL104" s="181">
        <f>IF(AC104&lt;1000,(INDEX(Tables!$B$43:$B$76,MAX(1,MIN(IFERROR(MATCH(AG104,Tables!$A$43:$A$76,1),1),ROWS(Tables!$A$43:$A$76)-1)))+(AG104-INDEX(Tables!$A$43:$A$76,MAX(1,MIN(IFERROR(MATCH(AG104,Tables!$A$43:$A$76,1),1),ROWS(Tables!$A$43:$A$76)-1))))*(INDEX(Tables!$B$43:$B$76,MAX(1,MIN(IFERROR(MATCH(AG104,Tables!$A$43:$A$76,1),1),ROWS(Tables!$A$43:$A$76)-1))+1)-INDEX(Tables!$B$43:$B$76,MAX(1,MIN(IFERROR(MATCH(AG104,Tables!$A$43:$A$76,1),1),ROWS(Tables!$A$43:$A$76)-1))))/(INDEX(Tables!$A$43:$A$76,MAX(1,MIN(IFERROR(MATCH(AG104,Tables!$A$43:$A$76,1),1),ROWS(Tables!$A$43:$A$76)-1))+1)-INDEX(Tables!$A$43:$A$76,MAX(1,MIN(IFERROR(MATCH(AG104,Tables!$A$43:$A$76,1),1),ROWS(Tables!$A$43:$A$76)-1))))),(INDEX(Tables!$D$43:$D$76,MAX(1,MIN(IFERROR(MATCH(AG104,Tables!$C$43:$C$76,1),1),ROWS(Tables!$C$43:$C$76)-1)))+(AG104-INDEX(Tables!$C$43:$C$76,MAX(1,MIN(IFERROR(MATCH(AG104,Tables!$C$43:$C$76,1),1),ROWS(Tables!$C$43:$C$76)-1))))*(INDEX(Tables!$D$43:$D$76,MAX(1,MIN(IFERROR(MATCH(AG104,Tables!$C$43:$C$76,1),1),ROWS(Tables!$C$43:$C$76)-1))+1)-INDEX(Tables!$D$43:$D$76,MAX(1,MIN(IFERROR(MATCH(AG104,Tables!$C$43:$C$76,1),1),ROWS(Tables!$C$43:$C$76)-1))))/(INDEX(Tables!$C$43:$C$76,MAX(1,MIN(IFERROR(MATCH(AG104,Tables!$C$43:$C$76,1),1),ROWS(Tables!$C$43:$C$76)-1))+1)-INDEX(Tables!$C$43:$C$76,MAX(1,MIN(IFERROR(MATCH(AG104,Tables!$C$43:$C$76,1),1),ROWS(Tables!$C$43:$C$76)-1))))))</f>
        <v>1.0408461538461538</v>
      </c>
      <c r="AM104" s="181">
        <f>(INDEX(Tables!$B$80:$B$87,MAX(1,MIN(IFERROR(MATCH(AH104,Tables!$A$80:$A$87,1),1),ROWS(Tables!$A$80:$A$87)-1)))+(AH104-INDEX(Tables!$A$80:$A$87,MAX(1,MIN(IFERROR(MATCH(AH104,Tables!$A$80:$A$87,1),1),ROWS(Tables!$A$80:$A$87)-1))))*(INDEX(Tables!$B$80:$B$87,MAX(1,MIN(IFERROR(MATCH(AH104,Tables!$A$80:$A$87,1),1),ROWS(Tables!$A$80:$A$87)-1))+1)-INDEX(Tables!$B$80:$B$87,MAX(1,MIN(IFERROR(MATCH(AH104,Tables!$A$80:$A$87,1),1),ROWS(Tables!$A$80:$A$87)-1))))/(INDEX(Tables!$A$80:$A$87,MAX(1,MIN(IFERROR(MATCH(AH104,Tables!$A$80:$A$87,1),1),ROWS(Tables!$A$80:$A$87)-1))+1)-INDEX(Tables!$A$80:$A$87,MAX(1,MIN(IFERROR(MATCH(AH104,Tables!$A$80:$A$87,1),1),ROWS(Tables!$A$80:$A$87)-1)))))</f>
        <v>0.96739999999999982</v>
      </c>
      <c r="AN104" s="181">
        <f t="shared" si="103"/>
        <v>147.68080348717945</v>
      </c>
      <c r="AO104" s="181">
        <f>(INDEX(Tables!$B$91:$B$94,MAX(1,MIN(IFERROR(MATCH(P104,Tables!$A$91:$A$94,1),1),ROWS(Tables!$A$91:$A$94)-1)))+(P104-INDEX(Tables!$A$91:$A$94,MAX(1,MIN(IFERROR(MATCH(P104,Tables!$A$91:$A$94,1),1),ROWS(Tables!$A$91:$A$94)-1))))*(INDEX(Tables!$B$91:$B$94,MAX(1,MIN(IFERROR(MATCH(P104,Tables!$A$91:$A$94,1),1),ROWS(Tables!$A$91:$A$94)-1))+1)-INDEX(Tables!$B$91:$B$94,MAX(1,MIN(IFERROR(MATCH(P104,Tables!$A$91:$A$94,1),1),ROWS(Tables!$A$91:$A$94)-1))))/(INDEX(Tables!$A$91:$A$94,MAX(1,MIN(IFERROR(MATCH(P104,Tables!$A$91:$A$94,1),1),ROWS(Tables!$A$91:$A$94)-1))+1)-INDEX(Tables!$A$91:$A$94,MAX(1,MIN(IFERROR(MATCH(P104,Tables!$A$91:$A$94,1),1),ROWS(Tables!$A$91:$A$94)-1)))))</f>
        <v>1.3542682926829268</v>
      </c>
      <c r="AP104" s="181">
        <f>IF(AD104=5000,(INDEX(Tables!$B$99:$B$118,MAX(1,MIN(IFERROR(MATCH(AF104,Tables!$A$99:$A$118,1),1),ROWS(Tables!$A$99:$A$118)-1)))+(AF104-INDEX(Tables!$A$99:$A$118,MAX(1,MIN(IFERROR(MATCH(AF104,Tables!$A$99:$A$118,1),1),ROWS(Tables!$A$99:$A$118)-1))))*(INDEX(Tables!$B$99:$B$118,MAX(1,MIN(IFERROR(MATCH(AF104,Tables!$A$99:$A$118,1),1),ROWS(Tables!$A$99:$A$118)-1))+1)-INDEX(Tables!$B$99:$B$118,MAX(1,MIN(IFERROR(MATCH(AF104,Tables!$A$99:$A$118,1),1),ROWS(Tables!$A$99:$A$118)-1))))/(INDEX(Tables!$A$99:$A$118,MAX(1,MIN(IFERROR(MATCH(AF104,Tables!$A$99:$A$118,1),1),ROWS(Tables!$A$99:$A$118)-1))+1)-INDEX(Tables!$A$99:$A$118,MAX(1,MIN(IFERROR(MATCH(AF104,Tables!$A$99:$A$118,1),1),ROWS(Tables!$A$99:$A$118)-1))))),IF(AD104=10000,(INDEX(Tables!$D$99:$D$118,MAX(1,MIN(IFERROR(MATCH(AF104,Tables!$C$99:$C$118,1),1),ROWS(Tables!$C$99:$C$118)-1)))+(AF104-INDEX(Tables!$C$99:$C$118,MAX(1,MIN(IFERROR(MATCH(AF104,Tables!$C$99:$C$118,1),1),ROWS(Tables!$C$99:$C$118)-1))))*(INDEX(Tables!$D$99:$D$118,MAX(1,MIN(IFERROR(MATCH(AF104,Tables!$C$99:$C$118,1),1),ROWS(Tables!$C$99:$C$118)-1))+1)-INDEX(Tables!$D$99:$D$118,MAX(1,MIN(IFERROR(MATCH(AF104,Tables!$C$99:$C$118,1),1),ROWS(Tables!$C$99:$C$118)-1))))/(INDEX(Tables!$C$99:$C$118,MAX(1,MIN(IFERROR(MATCH(AF104,Tables!$C$99:$C$118,1),1),ROWS(Tables!$C$99:$C$118)-1))+1)-INDEX(Tables!$C$99:$C$118,MAX(1,MIN(IFERROR(MATCH(AF104,Tables!$C$99:$C$118,1),1),ROWS(Tables!$C$99:$C$118)-1))))),(INDEX(Tables!$F$99:$F$118,MAX(1,MIN(IFERROR(MATCH(AF104,Tables!$E$99:$E$118,1),1),ROWS(Tables!$E$99:$E$118)-1)))+(AF104-INDEX(Tables!$E$99:$E$118,MAX(1,MIN(IFERROR(MATCH(AF104,Tables!$E$99:$E$118,1),1),ROWS(Tables!$E$99:$E$118)-1))))*(INDEX(Tables!$F$99:$F$118,MAX(1,MIN(IFERROR(MATCH(AF104,Tables!$E$99:$E$118,1),1),ROWS(Tables!$E$99:$E$118)-1))+1)-INDEX(Tables!$F$99:$F$118,MAX(1,MIN(IFERROR(MATCH(AF104,Tables!$E$99:$E$118,1),1),ROWS(Tables!$E$99:$E$118)-1))))/(INDEX(Tables!$E$99:$E$118,MAX(1,MIN(IFERROR(MATCH(AF104,Tables!$E$99:$E$118,1),1),ROWS(Tables!$E$99:$E$118)-1))+1)-INDEX(Tables!$E$99:$E$118,MAX(1,MIN(IFERROR(MATCH(AF104,Tables!$E$99:$E$118,1),1),ROWS(Tables!$E$99:$E$118)-1)))))))</f>
        <v>1.605</v>
      </c>
      <c r="AQ104" s="181">
        <f>IF(P104&lt;6,(INDEX(Tables!$B$123:$B$138,MAX(1,MIN(IFERROR(MATCH(U104,Tables!$A$123:$A$138,1),1),ROWS(Tables!$A$123:$A$138)-1)))+(U104-INDEX(Tables!$A$123:$A$138,MAX(1,MIN(IFERROR(MATCH(U104,Tables!$A$123:$A$138,1),1),ROWS(Tables!$A$123:$A$138)-1))))*(INDEX(Tables!$B$123:$B$138,MAX(1,MIN(IFERROR(MATCH(U104,Tables!$A$123:$A$138,1),1),ROWS(Tables!$A$123:$A$138)-1))+1)-INDEX(Tables!$B$123:$B$138,MAX(1,MIN(IFERROR(MATCH(U104,Tables!$A$123:$A$138,1),1),ROWS(Tables!$A$123:$A$138)-1))))/(INDEX(Tables!$A$123:$A$138,MAX(1,MIN(IFERROR(MATCH(U104,Tables!$A$123:$A$138,1),1),ROWS(Tables!$A$123:$A$138)-1))+1)-INDEX(Tables!$A$123:$A$138,MAX(1,MIN(IFERROR(MATCH(U104,Tables!$A$123:$A$138,1),1),ROWS(Tables!$A$123:$A$138)-1))))),IF(P104&lt;8,(INDEX(Tables!$D$123:$D$138,MAX(1,MIN(IFERROR(MATCH(U104,Tables!$C$123:$C$138,1),1),ROWS(Tables!$C$123:$C$138)-1)))+(U104-INDEX(Tables!$C$123:$C$138,MAX(1,MIN(IFERROR(MATCH(U104,Tables!$C$123:$C$138,1),1),ROWS(Tables!$C$123:$C$138)-1))))*(INDEX(Tables!$D$123:$D$138,MAX(1,MIN(IFERROR(MATCH(U104,Tables!$C$123:$C$138,1),1),ROWS(Tables!$C$123:$C$138)-1))+1)-INDEX(Tables!$D$123:$D$138,MAX(1,MIN(IFERROR(MATCH(U104,Tables!$C$123:$C$138,1),1),ROWS(Tables!$C$123:$C$138)-1))))/(INDEX(Tables!$C$123:$C$138,MAX(1,MIN(IFERROR(MATCH(U104,Tables!$C$123:$C$138,1),1),ROWS(Tables!$C$123:$C$138)-1))+1)-INDEX(Tables!$C$123:$C$138,MAX(1,MIN(IFERROR(MATCH(U104,Tables!$C$123:$C$138,1),1),ROWS(Tables!$C$123:$C$138)-1))))),IF(P104&lt;10,(INDEX(Tables!$F$123:$F$138,MAX(1,MIN(IFERROR(MATCH(U104,Tables!$E$123:$E$138,1),1),ROWS(Tables!$E$123:$E$138)-1)))+(U104-INDEX(Tables!$E$123:$E$138,MAX(1,MIN(IFERROR(MATCH(U104,Tables!$E$123:$E$138,1),1),ROWS(Tables!$E$123:$E$138)-1))))*(INDEX(Tables!$F$123:$F$138,MAX(1,MIN(IFERROR(MATCH(U104,Tables!$E$123:$E$138,1),1),ROWS(Tables!$E$123:$E$138)-1))+1)-INDEX(Tables!$F$123:$F$138,MAX(1,MIN(IFERROR(MATCH(U104,Tables!$E$123:$E$138,1),1),ROWS(Tables!$E$123:$E$138)-1))))/(INDEX(Tables!$E$123:$E$138,MAX(1,MIN(IFERROR(MATCH(U104,Tables!$E$123:$E$138,1),1),ROWS(Tables!$E$123:$E$138)-1))+1)-INDEX(Tables!$E$123:$E$138,MAX(1,MIN(IFERROR(MATCH(U104,Tables!$E$123:$E$138,1),1),ROWS(Tables!$E$123:$E$138)-1))))),(INDEX(Tables!$H$123:$H$138,MAX(1,MIN(IFERROR(MATCH(U104,Tables!$G$123:$G$138,1),1),ROWS(Tables!$G$123:$G$138)-1)))+(U104-INDEX(Tables!$G$123:$G$138,MAX(1,MIN(IFERROR(MATCH(U104,Tables!$G$123:$G$138,1),1),ROWS(Tables!$G$123:$G$138)-1))))*(INDEX(Tables!$H$123:$H$138,MAX(1,MIN(IFERROR(MATCH(U104,Tables!$G$123:$G$138,1),1),ROWS(Tables!$G$123:$G$138)-1))+1)-INDEX(Tables!$H$123:$H$138,MAX(1,MIN(IFERROR(MATCH(U104,Tables!$G$123:$G$138,1),1),ROWS(Tables!$G$123:$G$138)-1))))/(INDEX(Tables!$G$123:$G$138,MAX(1,MIN(IFERROR(MATCH(U104,Tables!$G$123:$G$138,1),1),ROWS(Tables!$G$123:$G$138)-1))+1)-INDEX(Tables!$G$123:$G$138,MAX(1,MIN(IFERROR(MATCH(U104,Tables!$G$123:$G$138,1),1),ROWS(Tables!$G$123:$G$138)-1))))))))</f>
        <v>0.57750000000000001</v>
      </c>
      <c r="AR104" s="181">
        <f>IF(OR(P104&gt;=4,U104&gt;12),VLOOKUP(R104&amp;" "&amp;S104,Tables!$D$143:$F$148,2,FALSE),VLOOKUP(R104&amp;" "&amp;S104,Tables!$A$143:$C$148,2,FALSE))</f>
        <v>1.1000000000000001</v>
      </c>
      <c r="AS104" s="181">
        <f>IF(OR(P104&gt;=4,U104&gt;12),VLOOKUP(R104&amp;" "&amp;S104,Tables!$D$143:$F$148,3,FALSE),VLOOKUP(R104&amp;" "&amp;S104,Tables!$A$143:$C$148,3,FALSE))</f>
        <v>1</v>
      </c>
      <c r="AT104" s="181">
        <f t="shared" si="104"/>
        <v>95.887485232469515</v>
      </c>
      <c r="AU104" s="181">
        <f>IF(AD104=5000,(INDEX(Tables!$B$244:$B$263,MAX(1,MIN(IFERROR(MATCH(AF104,Tables!$A$244:$A$263,1),1),ROWS(Tables!$A$244:$A$263)-1)))+(AF104-INDEX(Tables!$A$244:$A$263,MAX(1,MIN(IFERROR(MATCH(AF104,Tables!$A$244:$A$263,1),1),ROWS(Tables!$A$244:$A$263)-1))))*(INDEX(Tables!$B$244:$B$263,MAX(1,MIN(IFERROR(MATCH(AF104,Tables!$A$244:$A$263,1),1),ROWS(Tables!$A$244:$A$263)-1))+1)-INDEX(Tables!$B$244:$B$263,MAX(1,MIN(IFERROR(MATCH(AF104,Tables!$A$244:$A$263,1),1),ROWS(Tables!$A$244:$A$263)-1))))/(INDEX(Tables!$A$244:$A$263,MAX(1,MIN(IFERROR(MATCH(AF104,Tables!$A$244:$A$263,1),1),ROWS(Tables!$A$244:$A$263)-1))+1)-INDEX(Tables!$A$244:$A$263,MAX(1,MIN(IFERROR(MATCH(AF104,Tables!$A$244:$A$263,1),1),ROWS(Tables!$A$244:$A$263)-1))))),IF(AD104=10000,(INDEX(Tables!$D$244:$D$263,MAX(1,MIN(IFERROR(MATCH(AF104,Tables!$C$244:$C$263,1),1),ROWS(Tables!$C$244:$C$263)-1)))+(AF104-INDEX(Tables!$C$244:$C$263,MAX(1,MIN(IFERROR(MATCH(AF104,Tables!$C$244:$C$263,1),1),ROWS(Tables!$C$244:$C$263)-1))))*(INDEX(Tables!$D$244:$D$263,MAX(1,MIN(IFERROR(MATCH(AF104,Tables!$C$244:$C$263,1),1),ROWS(Tables!$C$244:$C$263)-1))+1)-INDEX(Tables!$D$244:$D$263,MAX(1,MIN(IFERROR(MATCH(AF104,Tables!$C$244:$C$263,1),1),ROWS(Tables!$C$244:$C$263)-1))))/(INDEX(Tables!$C$244:$C$263,MAX(1,MIN(IFERROR(MATCH(AF104,Tables!$C$244:$C$263,1),1),ROWS(Tables!$C$244:$C$263)-1))+1)-INDEX(Tables!$C$244:$C$263,MAX(1,MIN(IFERROR(MATCH(AF104,Tables!$C$244:$C$263,1),1),ROWS(Tables!$C$244:$C$263)-1))))),(INDEX(Tables!$F$244:$F$263,MAX(1,MIN(IFERROR(MATCH(AF104,Tables!$E$244:$E$263,1),1),ROWS(Tables!$E$244:$E$263)-1)))+(AF104-INDEX(Tables!$E$244:$E$263,MAX(1,MIN(IFERROR(MATCH(AF104,Tables!$E$244:$E$263,1),1),ROWS(Tables!$E$244:$E$263)-1))))*(INDEX(Tables!$F$244:$F$263,MAX(1,MIN(IFERROR(MATCH(AF104,Tables!$E$244:$E$263,1),1),ROWS(Tables!$E$244:$E$263)-1))+1)-INDEX(Tables!$F$244:$F$263,MAX(1,MIN(IFERROR(MATCH(AF104,Tables!$E$244:$E$263,1),1),ROWS(Tables!$E$244:$E$263)-1))))/(INDEX(Tables!$E$244:$E$263,MAX(1,MIN(IFERROR(MATCH(AF104,Tables!$E$244:$E$263,1),1),ROWS(Tables!$E$244:$E$263)-1))+1)-INDEX(Tables!$E$244:$E$263,MAX(1,MIN(IFERROR(MATCH(AF104,Tables!$E$244:$E$263,1),1),ROWS(Tables!$E$244:$E$263)-1)))))))</f>
        <v>2.5920000000000001</v>
      </c>
      <c r="AV104" s="181">
        <f>IF(P104&lt;6,(INDEX(Tables!$B$260:$B$274,MAX(1,MIN(IFERROR(MATCH(U104,Tables!$A$260:$A$274,1),1),ROWS(Tables!$A$260:$A$274)-1)))+(U104-INDEX(Tables!$A$260:$A$274,MAX(1,MIN(IFERROR(MATCH(U104,Tables!$A$260:$A$274,1),1),ROWS(Tables!$A$260:$A$274)-1))))*(INDEX(Tables!$B$260:$B$274,MAX(1,MIN(IFERROR(MATCH(U104,Tables!$A$260:$A$274,1),1),ROWS(Tables!$A$260:$A$274)-1))+1)-INDEX(Tables!$B$260:$B$274,MAX(1,MIN(IFERROR(MATCH(U104,Tables!$A$260:$A$274,1),1),ROWS(Tables!$A$260:$A$274)-1))))/(INDEX(Tables!$A$260:$A$274,MAX(1,MIN(IFERROR(MATCH(U104,Tables!$A$260:$A$274,1),1),ROWS(Tables!$A$260:$A$274)-1))+1)-INDEX(Tables!$A$260:$A$274,MAX(1,MIN(IFERROR(MATCH(U104,Tables!$A$260:$A$274,1),1),ROWS(Tables!$A$260:$A$274)-1))))),IF(P104&lt;8,(INDEX(Tables!$D$260:$D$274,MAX(1,MIN(IFERROR(MATCH(U104,Tables!$C$260:$C$274,1),1),ROWS(Tables!$C$260:$C$274)-1)))+(U104-INDEX(Tables!$C$260:$C$274,MAX(1,MIN(IFERROR(MATCH(U104,Tables!$C$260:$C$274,1),1),ROWS(Tables!$C$260:$C$274)-1))))*(INDEX(Tables!$D$260:$D$274,MAX(1,MIN(IFERROR(MATCH(U104,Tables!$C$260:$C$274,1),1),ROWS(Tables!$C$260:$C$274)-1))+1)-INDEX(Tables!$D$260:$D$274,MAX(1,MIN(IFERROR(MATCH(U104,Tables!$C$260:$C$274,1),1),ROWS(Tables!$C$260:$C$274)-1))))/(INDEX(Tables!$C$260:$C$274,MAX(1,MIN(IFERROR(MATCH(U104,Tables!$C$260:$C$274,1),1),ROWS(Tables!$C$260:$C$274)-1))+1)-INDEX(Tables!$C$260:$C$274,MAX(1,MIN(IFERROR(MATCH(U104,Tables!$C$260:$C$274,1),1),ROWS(Tables!$C$260:$C$274)-1))))),IF(P104&lt;10,(INDEX(Tables!$F$260:$F$274,MAX(1,MIN(IFERROR(MATCH(U104,Tables!$E$260:$E$274,1),1),ROWS(Tables!$E$260:$E$274)-1)))+(U104-INDEX(Tables!$E$260:$E$274,MAX(1,MIN(IFERROR(MATCH(U104,Tables!$E$260:$E$274,1),1),ROWS(Tables!$E$260:$E$274)-1))))*(INDEX(Tables!$F$260:$F$274,MAX(1,MIN(IFERROR(MATCH(U104,Tables!$E$260:$E$274,1),1),ROWS(Tables!$E$260:$E$274)-1))+1)-INDEX(Tables!$F$260:$F$274,MAX(1,MIN(IFERROR(MATCH(U104,Tables!$E$260:$E$274,1),1),ROWS(Tables!$E$260:$E$274)-1))))/(INDEX(Tables!$E$260:$E$274,MAX(1,MIN(IFERROR(MATCH(U104,Tables!$E$260:$E$274,1),1),ROWS(Tables!$E$260:$E$274)-1))+1)-INDEX(Tables!$E$260:$E$274,MAX(1,MIN(IFERROR(MATCH(U104,Tables!$E$260:$E$274,1),1),ROWS(Tables!$E$260:$E$274)-1))))),(INDEX(Tables!$H$260:$H$274,MAX(1,MIN(IFERROR(MATCH(U104,Tables!$G$260:$G$274,1),1),ROWS(Tables!$G$260:$G$274)-1)))+(U104-INDEX(Tables!$G$260:$G$274,MAX(1,MIN(IFERROR(MATCH(U104,Tables!$G$260:$G$274,1),1),ROWS(Tables!$G$260:$G$274)-1))))*(INDEX(Tables!$H$260:$H$274,MAX(1,MIN(IFERROR(MATCH(U104,Tables!$G$260:$G$274,1),1),ROWS(Tables!$G$260:$G$274)-1))+1)-INDEX(Tables!$H$260:$H$274,MAX(1,MIN(IFERROR(MATCH(U104,Tables!$G$260:$G$274,1),1),ROWS(Tables!$G$260:$G$274)-1))))/(INDEX(Tables!$G$260:$G$274,MAX(1,MIN(IFERROR(MATCH(U104,Tables!$G$260:$G$274,1),1),ROWS(Tables!$G$260:$G$274)-1))+1)-INDEX(Tables!$G$260:$G$274,MAX(1,MIN(IFERROR(MATCH(U104,Tables!$G$260:$G$274,1),1),ROWS(Tables!$G$260:$G$274)-1))))))))</f>
        <v>0.64533333333333331</v>
      </c>
      <c r="AW104" s="181">
        <f t="shared" si="105"/>
        <v>173.04298536585364</v>
      </c>
      <c r="AX104" s="181">
        <f t="shared" si="106"/>
        <v>461.9453924914676</v>
      </c>
      <c r="AY104" s="181">
        <f t="shared" si="107"/>
        <v>705.51368121111659</v>
      </c>
      <c r="AZ104" s="181">
        <f t="shared" si="108"/>
        <v>355.93084415944776</v>
      </c>
      <c r="BA104" s="181">
        <f t="shared" si="109"/>
        <v>-100</v>
      </c>
      <c r="BB104" s="181">
        <f t="shared" si="110"/>
        <v>699.61896244860486</v>
      </c>
      <c r="BC104" s="181">
        <f t="shared" si="111"/>
        <v>46800</v>
      </c>
      <c r="BD104" s="181">
        <f>VLOOKUP(V104&amp;" "&amp;J104,Tables!$A$152:$E$239,4,FALSE)</f>
        <v>12000</v>
      </c>
      <c r="BE104" s="181">
        <f>VLOOKUP(V104&amp;" "&amp;J104,Tables!$A$152:$E$239,5,FALSE)</f>
        <v>23000</v>
      </c>
      <c r="BF104" s="181">
        <f t="shared" si="112"/>
        <v>8640</v>
      </c>
      <c r="BG104" s="181">
        <f t="shared" si="113"/>
        <v>16560</v>
      </c>
      <c r="BH104" s="181">
        <f t="shared" si="114"/>
        <v>511.9453924914676</v>
      </c>
      <c r="BI104" s="181">
        <f t="shared" si="115"/>
        <v>46800</v>
      </c>
      <c r="BJ104" s="181">
        <f t="shared" si="116"/>
        <v>699.61896244860486</v>
      </c>
      <c r="BK104" s="181">
        <f t="shared" si="117"/>
        <v>46800</v>
      </c>
      <c r="BL104" s="181">
        <f t="shared" si="118"/>
        <v>173.04298536585364</v>
      </c>
      <c r="BM104" s="181">
        <f t="shared" si="119"/>
        <v>8640</v>
      </c>
      <c r="BN104" s="181">
        <f t="shared" si="120"/>
        <v>95.887485232469515</v>
      </c>
      <c r="BO104" s="181">
        <f t="shared" si="121"/>
        <v>16560</v>
      </c>
      <c r="BP104" t="str">
        <f t="shared" si="122"/>
        <v>Pass</v>
      </c>
      <c r="BQ104" t="str">
        <f t="shared" si="123"/>
        <v>Pass</v>
      </c>
      <c r="BR104" t="str">
        <f t="shared" si="124"/>
        <v>Pass</v>
      </c>
      <c r="BS104" t="str">
        <f t="shared" si="125"/>
        <v>Pass</v>
      </c>
      <c r="BT104" t="str">
        <f t="shared" si="126"/>
        <v>Pass</v>
      </c>
      <c r="BU104" t="str">
        <f t="shared" si="127"/>
        <v>Girth Weld Stress</v>
      </c>
    </row>
    <row r="105" spans="1:73">
      <c r="A105" t="s">
        <v>697</v>
      </c>
      <c r="B105" s="181">
        <v>103</v>
      </c>
      <c r="C105" t="s">
        <v>594</v>
      </c>
      <c r="D105" s="181">
        <v>36</v>
      </c>
      <c r="E105" s="181">
        <v>0.75</v>
      </c>
      <c r="F105" t="s">
        <v>117</v>
      </c>
      <c r="G105" t="s">
        <v>119</v>
      </c>
      <c r="H105" t="s">
        <v>122</v>
      </c>
      <c r="I105" s="181">
        <v>1</v>
      </c>
      <c r="J105" t="s">
        <v>126</v>
      </c>
      <c r="K105" t="s">
        <v>129</v>
      </c>
      <c r="L105" s="181">
        <v>70</v>
      </c>
      <c r="M105" s="181">
        <v>100</v>
      </c>
      <c r="N105" t="s">
        <v>141</v>
      </c>
      <c r="O105" s="181">
        <v>120</v>
      </c>
      <c r="P105" s="181">
        <v>14</v>
      </c>
      <c r="Q105" s="181">
        <v>38</v>
      </c>
      <c r="R105" t="s">
        <v>417</v>
      </c>
      <c r="S105" t="s">
        <v>156</v>
      </c>
      <c r="T105" s="181">
        <v>70</v>
      </c>
      <c r="U105" s="181">
        <f>HLOOKUP(D105,'Highway Loading'!$C$155:$AD$156,2,FALSE)</f>
        <v>36</v>
      </c>
      <c r="V105" s="181">
        <f>IF(ISBLANK(G105),"",INDEX('Highway Loading'!$C$216:$AG$216,1,MATCH(G105,'Highway Loading'!$C$215:$AG$215,0)))</f>
        <v>65000</v>
      </c>
      <c r="W105" s="181">
        <f>INDEX('Highway Loading'!$I$245:$L$253,MATCH(H105,'Highway Loading'!$H$245:$H$253,0),MATCH(I105,'Highway Loading'!$I$244:$L$244,0))</f>
        <v>0.72</v>
      </c>
      <c r="X105" s="181">
        <f t="shared" si="96"/>
        <v>1</v>
      </c>
      <c r="Y105" s="181">
        <f>VLOOKUP(K105,'Highway Loading'!$B$283:$E$292,2,FALSE)</f>
        <v>29000000</v>
      </c>
      <c r="Z105" s="181">
        <f>VLOOKUP(K105,'Highway Loading'!$B$283:$E$292,3,FALSE)</f>
        <v>0.3</v>
      </c>
      <c r="AA105" s="181">
        <f>VLOOKUP(K105,'Highway Loading'!$B$283:$E$292,4,FALSE)</f>
        <v>6.4999999999999996E-6</v>
      </c>
      <c r="AB105" s="181">
        <f t="shared" si="97"/>
        <v>1</v>
      </c>
      <c r="AC105" s="181">
        <f>VLOOKUP(N105,'Highway Loading'!$B$256:$D$261,2,FALSE)</f>
        <v>500</v>
      </c>
      <c r="AD105" s="181">
        <f>VLOOKUP(N105,'Highway Loading'!$B$256:$D$261,3,FALSE)</f>
        <v>10000</v>
      </c>
      <c r="AE105" s="181">
        <f>VLOOKUP(S105,'Highway Loading'!$B$340:$C$341,2,FALSE)</f>
        <v>10000</v>
      </c>
      <c r="AF105" s="181">
        <f t="shared" si="98"/>
        <v>2.0833333333333332E-2</v>
      </c>
      <c r="AG105" s="181">
        <f t="shared" si="99"/>
        <v>4.4210526315789478</v>
      </c>
      <c r="AH105" s="181">
        <f t="shared" si="100"/>
        <v>1.0555555555555556</v>
      </c>
      <c r="AI105" s="181">
        <f t="shared" si="101"/>
        <v>2400</v>
      </c>
      <c r="AJ105" s="181">
        <f t="shared" si="102"/>
        <v>46800</v>
      </c>
      <c r="AK105" s="181">
        <f>IF(AC105=200,(INDEX(Tables!$B$17:$B$38,MAX(1,MIN(IFERROR(MATCH(AF105,Tables!$A$17:$A$38,1),1),ROWS(Tables!$A$17:$A$38)-1)))+(AF105-INDEX(Tables!$A$17:$A$38,MAX(1,MIN(IFERROR(MATCH(AF105,Tables!$A$17:$A$38,1),1),ROWS(Tables!$A$17:$A$38)-1))))*(INDEX(Tables!$B$17:$B$38,MAX(1,MIN(IFERROR(MATCH(AF105,Tables!$A$17:$A$38,1),1),ROWS(Tables!$A$17:$A$38)-1))+1)-INDEX(Tables!$B$17:$B$38,MAX(1,MIN(IFERROR(MATCH(AF105,Tables!$A$17:$A$38,1),1),ROWS(Tables!$A$17:$A$38)-1))))/(INDEX(Tables!$A$17:$A$38,MAX(1,MIN(IFERROR(MATCH(AF105,Tables!$A$17:$A$38,1),1),ROWS(Tables!$A$17:$A$38)-1))+1)-INDEX(Tables!$A$17:$A$38,MAX(1,MIN(IFERROR(MATCH(AF105,Tables!$A$17:$A$38,1),1),ROWS(Tables!$A$17:$A$38)-1))))),IF(AC105=500,(INDEX(Tables!$D$17:$D$38,MAX(1,MIN(IFERROR(MATCH(AF105,Tables!$C$17:$C$38,1),1),ROWS(Tables!$C$17:$C$38)-1)))+(AF105-INDEX(Tables!$C$17:$C$38,MAX(1,MIN(IFERROR(MATCH(AF105,Tables!$C$17:$C$38,1),1),ROWS(Tables!$C$17:$C$38)-1))))*(INDEX(Tables!$D$17:$D$38,MAX(1,MIN(IFERROR(MATCH(AF105,Tables!$C$17:$C$38,1),1),ROWS(Tables!$C$17:$C$38)-1))+1)-INDEX(Tables!$D$17:$D$38,MAX(1,MIN(IFERROR(MATCH(AF105,Tables!$C$17:$C$38,1),1),ROWS(Tables!$C$17:$C$38)-1))))/(INDEX(Tables!$C$17:$C$38,MAX(1,MIN(IFERROR(MATCH(AF105,Tables!$C$17:$C$38,1),1),ROWS(Tables!$C$17:$C$38)-1))+1)-INDEX(Tables!$C$17:$C$38,MAX(1,MIN(IFERROR(MATCH(AF105,Tables!$C$17:$C$38,1),1),ROWS(Tables!$C$17:$C$38)-1))))),IF(AC105=1000,(INDEX(Tables!$F$17:$F$38,MAX(1,MIN(IFERROR(MATCH(AF105,Tables!$E$17:$E$38,1),1),ROWS(Tables!$E$17:$E$38)-1)))+(AF105-INDEX(Tables!$E$17:$E$38,MAX(1,MIN(IFERROR(MATCH(AF105,Tables!$E$17:$E$38,1),1),ROWS(Tables!$E$17:$E$38)-1))))*(INDEX(Tables!$F$17:$F$38,MAX(1,MIN(IFERROR(MATCH(AF105,Tables!$E$17:$E$38,1),1),ROWS(Tables!$E$17:$E$38)-1))+1)-INDEX(Tables!$F$17:$F$38,MAX(1,MIN(IFERROR(MATCH(AF105,Tables!$E$17:$E$38,1),1),ROWS(Tables!$E$17:$E$38)-1))))/(INDEX(Tables!$E$17:$E$38,MAX(1,MIN(IFERROR(MATCH(AF105,Tables!$E$17:$E$38,1),1),ROWS(Tables!$E$17:$E$38)-1))+1)-INDEX(Tables!$E$17:$E$38,MAX(1,MIN(IFERROR(MATCH(AF105,Tables!$E$17:$E$38,1),1),ROWS(Tables!$E$17:$E$38)-1))))),(INDEX(Tables!$H$17:$H$38,MAX(1,MIN(IFERROR(MATCH(AF105,Tables!$G$17:$G$38,1),1),ROWS(Tables!$G$17:$G$38)-1)))+(AF105-INDEX(Tables!$G$17:$G$38,MAX(1,MIN(IFERROR(MATCH(AF105,Tables!$G$17:$G$38,1),1),ROWS(Tables!$G$17:$G$38)-1))))*(INDEX(Tables!$H$17:$H$38,MAX(1,MIN(IFERROR(MATCH(AF105,Tables!$G$17:$G$38,1),1),ROWS(Tables!$G$17:$G$38)-1))+1)-INDEX(Tables!$H$17:$H$38,MAX(1,MIN(IFERROR(MATCH(AF105,Tables!$G$17:$G$38,1),1),ROWS(Tables!$G$17:$G$38)-1))))/(INDEX(Tables!$G$17:$G$38,MAX(1,MIN(IFERROR(MATCH(AF105,Tables!$G$17:$G$38,1),1),ROWS(Tables!$G$17:$G$38)-1))+1)-INDEX(Tables!$G$17:$G$38,MAX(1,MIN(IFERROR(MATCH(AF105,Tables!$G$17:$G$38,1),1),ROWS(Tables!$G$17:$G$38)-1))))))))</f>
        <v>2492.8333333333335</v>
      </c>
      <c r="AL105" s="181">
        <f>IF(AC105&lt;1000,(INDEX(Tables!$B$43:$B$76,MAX(1,MIN(IFERROR(MATCH(AG105,Tables!$A$43:$A$76,1),1),ROWS(Tables!$A$43:$A$76)-1)))+(AG105-INDEX(Tables!$A$43:$A$76,MAX(1,MIN(IFERROR(MATCH(AG105,Tables!$A$43:$A$76,1),1),ROWS(Tables!$A$43:$A$76)-1))))*(INDEX(Tables!$B$43:$B$76,MAX(1,MIN(IFERROR(MATCH(AG105,Tables!$A$43:$A$76,1),1),ROWS(Tables!$A$43:$A$76)-1))+1)-INDEX(Tables!$B$43:$B$76,MAX(1,MIN(IFERROR(MATCH(AG105,Tables!$A$43:$A$76,1),1),ROWS(Tables!$A$43:$A$76)-1))))/(INDEX(Tables!$A$43:$A$76,MAX(1,MIN(IFERROR(MATCH(AG105,Tables!$A$43:$A$76,1),1),ROWS(Tables!$A$43:$A$76)-1))+1)-INDEX(Tables!$A$43:$A$76,MAX(1,MIN(IFERROR(MATCH(AG105,Tables!$A$43:$A$76,1),1),ROWS(Tables!$A$43:$A$76)-1))))),(INDEX(Tables!$D$43:$D$76,MAX(1,MIN(IFERROR(MATCH(AG105,Tables!$C$43:$C$76,1),1),ROWS(Tables!$C$43:$C$76)-1)))+(AG105-INDEX(Tables!$C$43:$C$76,MAX(1,MIN(IFERROR(MATCH(AG105,Tables!$C$43:$C$76,1),1),ROWS(Tables!$C$43:$C$76)-1))))*(INDEX(Tables!$D$43:$D$76,MAX(1,MIN(IFERROR(MATCH(AG105,Tables!$C$43:$C$76,1),1),ROWS(Tables!$C$43:$C$76)-1))+1)-INDEX(Tables!$D$43:$D$76,MAX(1,MIN(IFERROR(MATCH(AG105,Tables!$C$43:$C$76,1),1),ROWS(Tables!$C$43:$C$76)-1))))/(INDEX(Tables!$C$43:$C$76,MAX(1,MIN(IFERROR(MATCH(AG105,Tables!$C$43:$C$76,1),1),ROWS(Tables!$C$43:$C$76)-1))+1)-INDEX(Tables!$C$43:$C$76,MAX(1,MIN(IFERROR(MATCH(AG105,Tables!$C$43:$C$76,1),1),ROWS(Tables!$C$43:$C$76)-1))))))</f>
        <v>1.022578947368421</v>
      </c>
      <c r="AM105" s="181">
        <f>(INDEX(Tables!$B$80:$B$87,MAX(1,MIN(IFERROR(MATCH(AH105,Tables!$A$80:$A$87,1),1),ROWS(Tables!$A$80:$A$87)-1)))+(AH105-INDEX(Tables!$A$80:$A$87,MAX(1,MIN(IFERROR(MATCH(AH105,Tables!$A$80:$A$87,1),1),ROWS(Tables!$A$80:$A$87)-1))))*(INDEX(Tables!$B$80:$B$87,MAX(1,MIN(IFERROR(MATCH(AH105,Tables!$A$80:$A$87,1),1),ROWS(Tables!$A$80:$A$87)-1))+1)-INDEX(Tables!$B$80:$B$87,MAX(1,MIN(IFERROR(MATCH(AH105,Tables!$A$80:$A$87,1),1),ROWS(Tables!$A$80:$A$87)-1))))/(INDEX(Tables!$A$80:$A$87,MAX(1,MIN(IFERROR(MATCH(AH105,Tables!$A$80:$A$87,1),1),ROWS(Tables!$A$80:$A$87)-1))+1)-INDEX(Tables!$A$80:$A$87,MAX(1,MIN(IFERROR(MATCH(AH105,Tables!$A$80:$A$87,1),1),ROWS(Tables!$A$80:$A$87)-1)))))</f>
        <v>0.91873333333333329</v>
      </c>
      <c r="AN105" s="181">
        <f t="shared" si="103"/>
        <v>5854.9012279137423</v>
      </c>
      <c r="AO105" s="181">
        <f>(INDEX(Tables!$B$91:$B$94,MAX(1,MIN(IFERROR(MATCH(P105,Tables!$A$91:$A$94,1),1),ROWS(Tables!$A$91:$A$94)-1)))+(P105-INDEX(Tables!$A$91:$A$94,MAX(1,MIN(IFERROR(MATCH(P105,Tables!$A$91:$A$94,1),1),ROWS(Tables!$A$91:$A$94)-1))))*(INDEX(Tables!$B$91:$B$94,MAX(1,MIN(IFERROR(MATCH(P105,Tables!$A$91:$A$94,1),1),ROWS(Tables!$A$91:$A$94)-1))+1)-INDEX(Tables!$B$91:$B$94,MAX(1,MIN(IFERROR(MATCH(P105,Tables!$A$91:$A$94,1),1),ROWS(Tables!$A$91:$A$94)-1))))/(INDEX(Tables!$A$91:$A$94,MAX(1,MIN(IFERROR(MATCH(P105,Tables!$A$91:$A$94,1),1),ROWS(Tables!$A$91:$A$94)-1))+1)-INDEX(Tables!$A$91:$A$94,MAX(1,MIN(IFERROR(MATCH(P105,Tables!$A$91:$A$94,1),1),ROWS(Tables!$A$91:$A$94)-1)))))</f>
        <v>1.2323170731707318</v>
      </c>
      <c r="AP105" s="181">
        <f>IF(AD105=5000,(INDEX(Tables!$B$99:$B$118,MAX(1,MIN(IFERROR(MATCH(AF105,Tables!$A$99:$A$118,1),1),ROWS(Tables!$A$99:$A$118)-1)))+(AF105-INDEX(Tables!$A$99:$A$118,MAX(1,MIN(IFERROR(MATCH(AF105,Tables!$A$99:$A$118,1),1),ROWS(Tables!$A$99:$A$118)-1))))*(INDEX(Tables!$B$99:$B$118,MAX(1,MIN(IFERROR(MATCH(AF105,Tables!$A$99:$A$118,1),1),ROWS(Tables!$A$99:$A$118)-1))+1)-INDEX(Tables!$B$99:$B$118,MAX(1,MIN(IFERROR(MATCH(AF105,Tables!$A$99:$A$118,1),1),ROWS(Tables!$A$99:$A$118)-1))))/(INDEX(Tables!$A$99:$A$118,MAX(1,MIN(IFERROR(MATCH(AF105,Tables!$A$99:$A$118,1),1),ROWS(Tables!$A$99:$A$118)-1))+1)-INDEX(Tables!$A$99:$A$118,MAX(1,MIN(IFERROR(MATCH(AF105,Tables!$A$99:$A$118,1),1),ROWS(Tables!$A$99:$A$118)-1))))),IF(AD105=10000,(INDEX(Tables!$D$99:$D$118,MAX(1,MIN(IFERROR(MATCH(AF105,Tables!$C$99:$C$118,1),1),ROWS(Tables!$C$99:$C$118)-1)))+(AF105-INDEX(Tables!$C$99:$C$118,MAX(1,MIN(IFERROR(MATCH(AF105,Tables!$C$99:$C$118,1),1),ROWS(Tables!$C$99:$C$118)-1))))*(INDEX(Tables!$D$99:$D$118,MAX(1,MIN(IFERROR(MATCH(AF105,Tables!$C$99:$C$118,1),1),ROWS(Tables!$C$99:$C$118)-1))+1)-INDEX(Tables!$D$99:$D$118,MAX(1,MIN(IFERROR(MATCH(AF105,Tables!$C$99:$C$118,1),1),ROWS(Tables!$C$99:$C$118)-1))))/(INDEX(Tables!$C$99:$C$118,MAX(1,MIN(IFERROR(MATCH(AF105,Tables!$C$99:$C$118,1),1),ROWS(Tables!$C$99:$C$118)-1))+1)-INDEX(Tables!$C$99:$C$118,MAX(1,MIN(IFERROR(MATCH(AF105,Tables!$C$99:$C$118,1),1),ROWS(Tables!$C$99:$C$118)-1))))),(INDEX(Tables!$F$99:$F$118,MAX(1,MIN(IFERROR(MATCH(AF105,Tables!$E$99:$E$118,1),1),ROWS(Tables!$E$99:$E$118)-1)))+(AF105-INDEX(Tables!$E$99:$E$118,MAX(1,MIN(IFERROR(MATCH(AF105,Tables!$E$99:$E$118,1),1),ROWS(Tables!$E$99:$E$118)-1))))*(INDEX(Tables!$F$99:$F$118,MAX(1,MIN(IFERROR(MATCH(AF105,Tables!$E$99:$E$118,1),1),ROWS(Tables!$E$99:$E$118)-1))+1)-INDEX(Tables!$F$99:$F$118,MAX(1,MIN(IFERROR(MATCH(AF105,Tables!$E$99:$E$118,1),1),ROWS(Tables!$E$99:$E$118)-1))))/(INDEX(Tables!$E$99:$E$118,MAX(1,MIN(IFERROR(MATCH(AF105,Tables!$E$99:$E$118,1),1),ROWS(Tables!$E$99:$E$118)-1))+1)-INDEX(Tables!$E$99:$E$118,MAX(1,MIN(IFERROR(MATCH(AF105,Tables!$E$99:$E$118,1),1),ROWS(Tables!$E$99:$E$118)-1)))))))</f>
        <v>13.84400081900082</v>
      </c>
      <c r="AQ105" s="181">
        <f>IF(P105&lt;6,(INDEX(Tables!$B$123:$B$138,MAX(1,MIN(IFERROR(MATCH(U105,Tables!$A$123:$A$138,1),1),ROWS(Tables!$A$123:$A$138)-1)))+(U105-INDEX(Tables!$A$123:$A$138,MAX(1,MIN(IFERROR(MATCH(U105,Tables!$A$123:$A$138,1),1),ROWS(Tables!$A$123:$A$138)-1))))*(INDEX(Tables!$B$123:$B$138,MAX(1,MIN(IFERROR(MATCH(U105,Tables!$A$123:$A$138,1),1),ROWS(Tables!$A$123:$A$138)-1))+1)-INDEX(Tables!$B$123:$B$138,MAX(1,MIN(IFERROR(MATCH(U105,Tables!$A$123:$A$138,1),1),ROWS(Tables!$A$123:$A$138)-1))))/(INDEX(Tables!$A$123:$A$138,MAX(1,MIN(IFERROR(MATCH(U105,Tables!$A$123:$A$138,1),1),ROWS(Tables!$A$123:$A$138)-1))+1)-INDEX(Tables!$A$123:$A$138,MAX(1,MIN(IFERROR(MATCH(U105,Tables!$A$123:$A$138,1),1),ROWS(Tables!$A$123:$A$138)-1))))),IF(P105&lt;8,(INDEX(Tables!$D$123:$D$138,MAX(1,MIN(IFERROR(MATCH(U105,Tables!$C$123:$C$138,1),1),ROWS(Tables!$C$123:$C$138)-1)))+(U105-INDEX(Tables!$C$123:$C$138,MAX(1,MIN(IFERROR(MATCH(U105,Tables!$C$123:$C$138,1),1),ROWS(Tables!$C$123:$C$138)-1))))*(INDEX(Tables!$D$123:$D$138,MAX(1,MIN(IFERROR(MATCH(U105,Tables!$C$123:$C$138,1),1),ROWS(Tables!$C$123:$C$138)-1))+1)-INDEX(Tables!$D$123:$D$138,MAX(1,MIN(IFERROR(MATCH(U105,Tables!$C$123:$C$138,1),1),ROWS(Tables!$C$123:$C$138)-1))))/(INDEX(Tables!$C$123:$C$138,MAX(1,MIN(IFERROR(MATCH(U105,Tables!$C$123:$C$138,1),1),ROWS(Tables!$C$123:$C$138)-1))+1)-INDEX(Tables!$C$123:$C$138,MAX(1,MIN(IFERROR(MATCH(U105,Tables!$C$123:$C$138,1),1),ROWS(Tables!$C$123:$C$138)-1))))),IF(P105&lt;10,(INDEX(Tables!$F$123:$F$138,MAX(1,MIN(IFERROR(MATCH(U105,Tables!$E$123:$E$138,1),1),ROWS(Tables!$E$123:$E$138)-1)))+(U105-INDEX(Tables!$E$123:$E$138,MAX(1,MIN(IFERROR(MATCH(U105,Tables!$E$123:$E$138,1),1),ROWS(Tables!$E$123:$E$138)-1))))*(INDEX(Tables!$F$123:$F$138,MAX(1,MIN(IFERROR(MATCH(U105,Tables!$E$123:$E$138,1),1),ROWS(Tables!$E$123:$E$138)-1))+1)-INDEX(Tables!$F$123:$F$138,MAX(1,MIN(IFERROR(MATCH(U105,Tables!$E$123:$E$138,1),1),ROWS(Tables!$E$123:$E$138)-1))))/(INDEX(Tables!$E$123:$E$138,MAX(1,MIN(IFERROR(MATCH(U105,Tables!$E$123:$E$138,1),1),ROWS(Tables!$E$123:$E$138)-1))+1)-INDEX(Tables!$E$123:$E$138,MAX(1,MIN(IFERROR(MATCH(U105,Tables!$E$123:$E$138,1),1),ROWS(Tables!$E$123:$E$138)-1))))),(INDEX(Tables!$H$123:$H$138,MAX(1,MIN(IFERROR(MATCH(U105,Tables!$G$123:$G$138,1),1),ROWS(Tables!$G$123:$G$138)-1)))+(U105-INDEX(Tables!$G$123:$G$138,MAX(1,MIN(IFERROR(MATCH(U105,Tables!$G$123:$G$138,1),1),ROWS(Tables!$G$123:$G$138)-1))))*(INDEX(Tables!$H$123:$H$138,MAX(1,MIN(IFERROR(MATCH(U105,Tables!$G$123:$G$138,1),1),ROWS(Tables!$G$123:$G$138)-1))+1)-INDEX(Tables!$H$123:$H$138,MAX(1,MIN(IFERROR(MATCH(U105,Tables!$G$123:$G$138,1),1),ROWS(Tables!$G$123:$G$138)-1))))/(INDEX(Tables!$G$123:$G$138,MAX(1,MIN(IFERROR(MATCH(U105,Tables!$G$123:$G$138,1),1),ROWS(Tables!$G$123:$G$138)-1))+1)-INDEX(Tables!$G$123:$G$138,MAX(1,MIN(IFERROR(MATCH(U105,Tables!$G$123:$G$138,1),1),ROWS(Tables!$G$123:$G$138)-1))))))))</f>
        <v>0.50060000000000004</v>
      </c>
      <c r="AR105" s="181">
        <f>IF(OR(P105&gt;=4,U105&gt;12),VLOOKUP(R105&amp;" "&amp;S105,Tables!$D$143:$F$148,2,FALSE),VLOOKUP(R105&amp;" "&amp;S105,Tables!$A$143:$C$148,2,FALSE))</f>
        <v>1.1000000000000001</v>
      </c>
      <c r="AS105" s="181">
        <f>IF(OR(P105&gt;=4,U105&gt;12),VLOOKUP(R105&amp;" "&amp;S105,Tables!$D$143:$F$148,3,FALSE),VLOOKUP(R105&amp;" "&amp;S105,Tables!$A$143:$C$148,3,FALSE))</f>
        <v>1</v>
      </c>
      <c r="AT105" s="181">
        <f t="shared" si="104"/>
        <v>652.38673227018967</v>
      </c>
      <c r="AU105" s="181">
        <f>IF(AD105=5000,(INDEX(Tables!$B$244:$B$263,MAX(1,MIN(IFERROR(MATCH(AF105,Tables!$A$244:$A$263,1),1),ROWS(Tables!$A$244:$A$263)-1)))+(AF105-INDEX(Tables!$A$244:$A$263,MAX(1,MIN(IFERROR(MATCH(AF105,Tables!$A$244:$A$263,1),1),ROWS(Tables!$A$244:$A$263)-1))))*(INDEX(Tables!$B$244:$B$263,MAX(1,MIN(IFERROR(MATCH(AF105,Tables!$A$244:$A$263,1),1),ROWS(Tables!$A$244:$A$263)-1))+1)-INDEX(Tables!$B$244:$B$263,MAX(1,MIN(IFERROR(MATCH(AF105,Tables!$A$244:$A$263,1),1),ROWS(Tables!$A$244:$A$263)-1))))/(INDEX(Tables!$A$244:$A$263,MAX(1,MIN(IFERROR(MATCH(AF105,Tables!$A$244:$A$263,1),1),ROWS(Tables!$A$244:$A$263)-1))+1)-INDEX(Tables!$A$244:$A$263,MAX(1,MIN(IFERROR(MATCH(AF105,Tables!$A$244:$A$263,1),1),ROWS(Tables!$A$244:$A$263)-1))))),IF(AD105=10000,(INDEX(Tables!$D$244:$D$263,MAX(1,MIN(IFERROR(MATCH(AF105,Tables!$C$244:$C$263,1),1),ROWS(Tables!$C$244:$C$263)-1)))+(AF105-INDEX(Tables!$C$244:$C$263,MAX(1,MIN(IFERROR(MATCH(AF105,Tables!$C$244:$C$263,1),1),ROWS(Tables!$C$244:$C$263)-1))))*(INDEX(Tables!$D$244:$D$263,MAX(1,MIN(IFERROR(MATCH(AF105,Tables!$C$244:$C$263,1),1),ROWS(Tables!$C$244:$C$263)-1))+1)-INDEX(Tables!$D$244:$D$263,MAX(1,MIN(IFERROR(MATCH(AF105,Tables!$C$244:$C$263,1),1),ROWS(Tables!$C$244:$C$263)-1))))/(INDEX(Tables!$C$244:$C$263,MAX(1,MIN(IFERROR(MATCH(AF105,Tables!$C$244:$C$263,1),1),ROWS(Tables!$C$244:$C$263)-1))+1)-INDEX(Tables!$C$244:$C$263,MAX(1,MIN(IFERROR(MATCH(AF105,Tables!$C$244:$C$263,1),1),ROWS(Tables!$C$244:$C$263)-1))))),(INDEX(Tables!$F$244:$F$263,MAX(1,MIN(IFERROR(MATCH(AF105,Tables!$E$244:$E$263,1),1),ROWS(Tables!$E$244:$E$263)-1)))+(AF105-INDEX(Tables!$E$244:$E$263,MAX(1,MIN(IFERROR(MATCH(AF105,Tables!$E$244:$E$263,1),1),ROWS(Tables!$E$244:$E$263)-1))))*(INDEX(Tables!$F$244:$F$263,MAX(1,MIN(IFERROR(MATCH(AF105,Tables!$E$244:$E$263,1),1),ROWS(Tables!$E$244:$E$263)-1))+1)-INDEX(Tables!$F$244:$F$263,MAX(1,MIN(IFERROR(MATCH(AF105,Tables!$E$244:$E$263,1),1),ROWS(Tables!$E$244:$E$263)-1))))/(INDEX(Tables!$E$244:$E$263,MAX(1,MIN(IFERROR(MATCH(AF105,Tables!$E$244:$E$263,1),1),ROWS(Tables!$E$244:$E$263)-1))+1)-INDEX(Tables!$E$244:$E$263,MAX(1,MIN(IFERROR(MATCH(AF105,Tables!$E$244:$E$263,1),1),ROWS(Tables!$E$244:$E$263)-1)))))))</f>
        <v>9.6654999999999998</v>
      </c>
      <c r="AV105" s="181">
        <f>IF(P105&lt;6,(INDEX(Tables!$B$260:$B$274,MAX(1,MIN(IFERROR(MATCH(U105,Tables!$A$260:$A$274,1),1),ROWS(Tables!$A$260:$A$274)-1)))+(U105-INDEX(Tables!$A$260:$A$274,MAX(1,MIN(IFERROR(MATCH(U105,Tables!$A$260:$A$274,1),1),ROWS(Tables!$A$260:$A$274)-1))))*(INDEX(Tables!$B$260:$B$274,MAX(1,MIN(IFERROR(MATCH(U105,Tables!$A$260:$A$274,1),1),ROWS(Tables!$A$260:$A$274)-1))+1)-INDEX(Tables!$B$260:$B$274,MAX(1,MIN(IFERROR(MATCH(U105,Tables!$A$260:$A$274,1),1),ROWS(Tables!$A$260:$A$274)-1))))/(INDEX(Tables!$A$260:$A$274,MAX(1,MIN(IFERROR(MATCH(U105,Tables!$A$260:$A$274,1),1),ROWS(Tables!$A$260:$A$274)-1))+1)-INDEX(Tables!$A$260:$A$274,MAX(1,MIN(IFERROR(MATCH(U105,Tables!$A$260:$A$274,1),1),ROWS(Tables!$A$260:$A$274)-1))))),IF(P105&lt;8,(INDEX(Tables!$D$260:$D$274,MAX(1,MIN(IFERROR(MATCH(U105,Tables!$C$260:$C$274,1),1),ROWS(Tables!$C$260:$C$274)-1)))+(U105-INDEX(Tables!$C$260:$C$274,MAX(1,MIN(IFERROR(MATCH(U105,Tables!$C$260:$C$274,1),1),ROWS(Tables!$C$260:$C$274)-1))))*(INDEX(Tables!$D$260:$D$274,MAX(1,MIN(IFERROR(MATCH(U105,Tables!$C$260:$C$274,1),1),ROWS(Tables!$C$260:$C$274)-1))+1)-INDEX(Tables!$D$260:$D$274,MAX(1,MIN(IFERROR(MATCH(U105,Tables!$C$260:$C$274,1),1),ROWS(Tables!$C$260:$C$274)-1))))/(INDEX(Tables!$C$260:$C$274,MAX(1,MIN(IFERROR(MATCH(U105,Tables!$C$260:$C$274,1),1),ROWS(Tables!$C$260:$C$274)-1))+1)-INDEX(Tables!$C$260:$C$274,MAX(1,MIN(IFERROR(MATCH(U105,Tables!$C$260:$C$274,1),1),ROWS(Tables!$C$260:$C$274)-1))))),IF(P105&lt;10,(INDEX(Tables!$F$260:$F$274,MAX(1,MIN(IFERROR(MATCH(U105,Tables!$E$260:$E$274,1),1),ROWS(Tables!$E$260:$E$274)-1)))+(U105-INDEX(Tables!$E$260:$E$274,MAX(1,MIN(IFERROR(MATCH(U105,Tables!$E$260:$E$274,1),1),ROWS(Tables!$E$260:$E$274)-1))))*(INDEX(Tables!$F$260:$F$274,MAX(1,MIN(IFERROR(MATCH(U105,Tables!$E$260:$E$274,1),1),ROWS(Tables!$E$260:$E$274)-1))+1)-INDEX(Tables!$F$260:$F$274,MAX(1,MIN(IFERROR(MATCH(U105,Tables!$E$260:$E$274,1),1),ROWS(Tables!$E$260:$E$274)-1))))/(INDEX(Tables!$E$260:$E$274,MAX(1,MIN(IFERROR(MATCH(U105,Tables!$E$260:$E$274,1),1),ROWS(Tables!$E$260:$E$274)-1))+1)-INDEX(Tables!$E$260:$E$274,MAX(1,MIN(IFERROR(MATCH(U105,Tables!$E$260:$E$274,1),1),ROWS(Tables!$E$260:$E$274)-1))))),(INDEX(Tables!$H$260:$H$274,MAX(1,MIN(IFERROR(MATCH(U105,Tables!$G$260:$G$274,1),1),ROWS(Tables!$G$260:$G$274)-1)))+(U105-INDEX(Tables!$G$260:$G$274,MAX(1,MIN(IFERROR(MATCH(U105,Tables!$G$260:$G$274,1),1),ROWS(Tables!$G$260:$G$274)-1))))*(INDEX(Tables!$H$260:$H$274,MAX(1,MIN(IFERROR(MATCH(U105,Tables!$G$260:$G$274,1),1),ROWS(Tables!$G$260:$G$274)-1))+1)-INDEX(Tables!$H$260:$H$274,MAX(1,MIN(IFERROR(MATCH(U105,Tables!$G$260:$G$274,1),1),ROWS(Tables!$G$260:$G$274)-1))))/(INDEX(Tables!$G$260:$G$274,MAX(1,MIN(IFERROR(MATCH(U105,Tables!$G$260:$G$274,1),1),ROWS(Tables!$G$260:$G$274)-1))+1)-INDEX(Tables!$G$260:$G$274,MAX(1,MIN(IFERROR(MATCH(U105,Tables!$G$260:$G$274,1),1),ROWS(Tables!$G$260:$G$274)-1))))))))</f>
        <v>0.51828571428571424</v>
      </c>
      <c r="AW105" s="181">
        <f t="shared" si="105"/>
        <v>471.57005798369147</v>
      </c>
      <c r="AX105" s="181">
        <f t="shared" si="106"/>
        <v>2350</v>
      </c>
      <c r="AY105" s="181">
        <f t="shared" si="107"/>
        <v>8857.2879601839322</v>
      </c>
      <c r="AZ105" s="181">
        <f t="shared" si="108"/>
        <v>2933.0404263578143</v>
      </c>
      <c r="BA105" s="181">
        <f t="shared" si="109"/>
        <v>-100</v>
      </c>
      <c r="BB105" s="181">
        <f t="shared" si="110"/>
        <v>7890.7873710936374</v>
      </c>
      <c r="BC105" s="181">
        <f t="shared" si="111"/>
        <v>46800</v>
      </c>
      <c r="BD105" s="181">
        <f>VLOOKUP(V105&amp;" "&amp;J105,Tables!$A$152:$E$239,4,FALSE)</f>
        <v>12000</v>
      </c>
      <c r="BE105" s="181">
        <f>VLOOKUP(V105&amp;" "&amp;J105,Tables!$A$152:$E$239,5,FALSE)</f>
        <v>23000</v>
      </c>
      <c r="BF105" s="181">
        <f t="shared" si="112"/>
        <v>8640</v>
      </c>
      <c r="BG105" s="181">
        <f t="shared" si="113"/>
        <v>16560</v>
      </c>
      <c r="BH105" s="181">
        <f t="shared" si="114"/>
        <v>2400</v>
      </c>
      <c r="BI105" s="181">
        <f t="shared" si="115"/>
        <v>46800</v>
      </c>
      <c r="BJ105" s="181">
        <f t="shared" si="116"/>
        <v>7890.7873710936374</v>
      </c>
      <c r="BK105" s="181">
        <f t="shared" si="117"/>
        <v>46800</v>
      </c>
      <c r="BL105" s="181">
        <f t="shared" si="118"/>
        <v>471.57005798369147</v>
      </c>
      <c r="BM105" s="181">
        <f t="shared" si="119"/>
        <v>8640</v>
      </c>
      <c r="BN105" s="181">
        <f t="shared" si="120"/>
        <v>652.38673227018967</v>
      </c>
      <c r="BO105" s="181">
        <f t="shared" si="121"/>
        <v>16560</v>
      </c>
      <c r="BP105" t="str">
        <f t="shared" si="122"/>
        <v>Pass</v>
      </c>
      <c r="BQ105" t="str">
        <f t="shared" si="123"/>
        <v>Pass</v>
      </c>
      <c r="BR105" t="str">
        <f t="shared" si="124"/>
        <v>Pass</v>
      </c>
      <c r="BS105" t="str">
        <f t="shared" si="125"/>
        <v>Pass</v>
      </c>
      <c r="BT105" t="str">
        <f t="shared" si="126"/>
        <v>Pass</v>
      </c>
      <c r="BU105" t="str">
        <f t="shared" si="127"/>
        <v>Effective Stress</v>
      </c>
    </row>
    <row r="106" spans="1:73">
      <c r="A106" t="s">
        <v>698</v>
      </c>
      <c r="B106" s="181">
        <v>104</v>
      </c>
      <c r="C106" t="s">
        <v>594</v>
      </c>
      <c r="D106" s="181">
        <v>48</v>
      </c>
      <c r="E106" s="181">
        <v>0.5</v>
      </c>
      <c r="F106" t="s">
        <v>117</v>
      </c>
      <c r="G106" t="s">
        <v>119</v>
      </c>
      <c r="H106" t="s">
        <v>122</v>
      </c>
      <c r="I106" s="181">
        <v>1</v>
      </c>
      <c r="J106" t="s">
        <v>126</v>
      </c>
      <c r="K106" t="s">
        <v>129</v>
      </c>
      <c r="L106" s="181">
        <v>70</v>
      </c>
      <c r="M106" s="181">
        <v>100</v>
      </c>
      <c r="N106" t="s">
        <v>141</v>
      </c>
      <c r="O106" s="181">
        <v>120</v>
      </c>
      <c r="P106" s="181">
        <v>30</v>
      </c>
      <c r="Q106" s="181">
        <v>50</v>
      </c>
      <c r="R106" t="s">
        <v>417</v>
      </c>
      <c r="S106" t="s">
        <v>156</v>
      </c>
      <c r="T106" s="181">
        <v>70</v>
      </c>
      <c r="U106" s="181">
        <f>HLOOKUP(D106,'Highway Loading'!$C$155:$AD$156,2,FALSE)</f>
        <v>48</v>
      </c>
      <c r="V106" s="181">
        <f>IF(ISBLANK(G106),"",INDEX('Highway Loading'!$C$216:$AG$216,1,MATCH(G106,'Highway Loading'!$C$215:$AG$215,0)))</f>
        <v>65000</v>
      </c>
      <c r="W106" s="181">
        <f>INDEX('Highway Loading'!$I$245:$L$253,MATCH(H106,'Highway Loading'!$H$245:$H$253,0),MATCH(I106,'Highway Loading'!$I$244:$L$244,0))</f>
        <v>0.72</v>
      </c>
      <c r="X106" s="181">
        <f t="shared" si="96"/>
        <v>1</v>
      </c>
      <c r="Y106" s="181">
        <f>VLOOKUP(K106,'Highway Loading'!$B$283:$E$292,2,FALSE)</f>
        <v>29000000</v>
      </c>
      <c r="Z106" s="181">
        <f>VLOOKUP(K106,'Highway Loading'!$B$283:$E$292,3,FALSE)</f>
        <v>0.3</v>
      </c>
      <c r="AA106" s="181">
        <f>VLOOKUP(K106,'Highway Loading'!$B$283:$E$292,4,FALSE)</f>
        <v>6.4999999999999996E-6</v>
      </c>
      <c r="AB106" s="181">
        <f t="shared" si="97"/>
        <v>1</v>
      </c>
      <c r="AC106" s="181">
        <f>VLOOKUP(N106,'Highway Loading'!$B$256:$D$261,2,FALSE)</f>
        <v>500</v>
      </c>
      <c r="AD106" s="181">
        <f>VLOOKUP(N106,'Highway Loading'!$B$256:$D$261,3,FALSE)</f>
        <v>10000</v>
      </c>
      <c r="AE106" s="181">
        <f>VLOOKUP(S106,'Highway Loading'!$B$340:$C$341,2,FALSE)</f>
        <v>10000</v>
      </c>
      <c r="AF106" s="181">
        <f t="shared" si="98"/>
        <v>1.0416666666666666E-2</v>
      </c>
      <c r="AG106" s="181">
        <f t="shared" si="99"/>
        <v>7.2</v>
      </c>
      <c r="AH106" s="181">
        <f t="shared" si="100"/>
        <v>1.0416666666666667</v>
      </c>
      <c r="AI106" s="181">
        <f t="shared" si="101"/>
        <v>4800</v>
      </c>
      <c r="AJ106" s="181">
        <f t="shared" si="102"/>
        <v>46800</v>
      </c>
      <c r="AK106" s="181">
        <f>IF(AC106=200,(INDEX(Tables!$B$17:$B$38,MAX(1,MIN(IFERROR(MATCH(AF106,Tables!$A$17:$A$38,1),1),ROWS(Tables!$A$17:$A$38)-1)))+(AF106-INDEX(Tables!$A$17:$A$38,MAX(1,MIN(IFERROR(MATCH(AF106,Tables!$A$17:$A$38,1),1),ROWS(Tables!$A$17:$A$38)-1))))*(INDEX(Tables!$B$17:$B$38,MAX(1,MIN(IFERROR(MATCH(AF106,Tables!$A$17:$A$38,1),1),ROWS(Tables!$A$17:$A$38)-1))+1)-INDEX(Tables!$B$17:$B$38,MAX(1,MIN(IFERROR(MATCH(AF106,Tables!$A$17:$A$38,1),1),ROWS(Tables!$A$17:$A$38)-1))))/(INDEX(Tables!$A$17:$A$38,MAX(1,MIN(IFERROR(MATCH(AF106,Tables!$A$17:$A$38,1),1),ROWS(Tables!$A$17:$A$38)-1))+1)-INDEX(Tables!$A$17:$A$38,MAX(1,MIN(IFERROR(MATCH(AF106,Tables!$A$17:$A$38,1),1),ROWS(Tables!$A$17:$A$38)-1))))),IF(AC106=500,(INDEX(Tables!$D$17:$D$38,MAX(1,MIN(IFERROR(MATCH(AF106,Tables!$C$17:$C$38,1),1),ROWS(Tables!$C$17:$C$38)-1)))+(AF106-INDEX(Tables!$C$17:$C$38,MAX(1,MIN(IFERROR(MATCH(AF106,Tables!$C$17:$C$38,1),1),ROWS(Tables!$C$17:$C$38)-1))))*(INDEX(Tables!$D$17:$D$38,MAX(1,MIN(IFERROR(MATCH(AF106,Tables!$C$17:$C$38,1),1),ROWS(Tables!$C$17:$C$38)-1))+1)-INDEX(Tables!$D$17:$D$38,MAX(1,MIN(IFERROR(MATCH(AF106,Tables!$C$17:$C$38,1),1),ROWS(Tables!$C$17:$C$38)-1))))/(INDEX(Tables!$C$17:$C$38,MAX(1,MIN(IFERROR(MATCH(AF106,Tables!$C$17:$C$38,1),1),ROWS(Tables!$C$17:$C$38)-1))+1)-INDEX(Tables!$C$17:$C$38,MAX(1,MIN(IFERROR(MATCH(AF106,Tables!$C$17:$C$38,1),1),ROWS(Tables!$C$17:$C$38)-1))))),IF(AC106=1000,(INDEX(Tables!$F$17:$F$38,MAX(1,MIN(IFERROR(MATCH(AF106,Tables!$E$17:$E$38,1),1),ROWS(Tables!$E$17:$E$38)-1)))+(AF106-INDEX(Tables!$E$17:$E$38,MAX(1,MIN(IFERROR(MATCH(AF106,Tables!$E$17:$E$38,1),1),ROWS(Tables!$E$17:$E$38)-1))))*(INDEX(Tables!$F$17:$F$38,MAX(1,MIN(IFERROR(MATCH(AF106,Tables!$E$17:$E$38,1),1),ROWS(Tables!$E$17:$E$38)-1))+1)-INDEX(Tables!$F$17:$F$38,MAX(1,MIN(IFERROR(MATCH(AF106,Tables!$E$17:$E$38,1),1),ROWS(Tables!$E$17:$E$38)-1))))/(INDEX(Tables!$E$17:$E$38,MAX(1,MIN(IFERROR(MATCH(AF106,Tables!$E$17:$E$38,1),1),ROWS(Tables!$E$17:$E$38)-1))+1)-INDEX(Tables!$E$17:$E$38,MAX(1,MIN(IFERROR(MATCH(AF106,Tables!$E$17:$E$38,1),1),ROWS(Tables!$E$17:$E$38)-1))))),(INDEX(Tables!$H$17:$H$38,MAX(1,MIN(IFERROR(MATCH(AF106,Tables!$G$17:$G$38,1),1),ROWS(Tables!$G$17:$G$38)-1)))+(AF106-INDEX(Tables!$G$17:$G$38,MAX(1,MIN(IFERROR(MATCH(AF106,Tables!$G$17:$G$38,1),1),ROWS(Tables!$G$17:$G$38)-1))))*(INDEX(Tables!$H$17:$H$38,MAX(1,MIN(IFERROR(MATCH(AF106,Tables!$G$17:$G$38,1),1),ROWS(Tables!$G$17:$G$38)-1))+1)-INDEX(Tables!$H$17:$H$38,MAX(1,MIN(IFERROR(MATCH(AF106,Tables!$G$17:$G$38,1),1),ROWS(Tables!$G$17:$G$38)-1))))/(INDEX(Tables!$G$17:$G$38,MAX(1,MIN(IFERROR(MATCH(AF106,Tables!$G$17:$G$38,1),1),ROWS(Tables!$G$17:$G$38)-1))+1)-INDEX(Tables!$G$17:$G$38,MAX(1,MIN(IFERROR(MATCH(AF106,Tables!$G$17:$G$38,1),1),ROWS(Tables!$G$17:$G$38)-1))))))))</f>
        <v>6129</v>
      </c>
      <c r="AL106" s="181">
        <f>IF(AC106&lt;1000,(INDEX(Tables!$B$43:$B$76,MAX(1,MIN(IFERROR(MATCH(AG106,Tables!$A$43:$A$76,1),1),ROWS(Tables!$A$43:$A$76)-1)))+(AG106-INDEX(Tables!$A$43:$A$76,MAX(1,MIN(IFERROR(MATCH(AG106,Tables!$A$43:$A$76,1),1),ROWS(Tables!$A$43:$A$76)-1))))*(INDEX(Tables!$B$43:$B$76,MAX(1,MIN(IFERROR(MATCH(AG106,Tables!$A$43:$A$76,1),1),ROWS(Tables!$A$43:$A$76)-1))+1)-INDEX(Tables!$B$43:$B$76,MAX(1,MIN(IFERROR(MATCH(AG106,Tables!$A$43:$A$76,1),1),ROWS(Tables!$A$43:$A$76)-1))))/(INDEX(Tables!$A$43:$A$76,MAX(1,MIN(IFERROR(MATCH(AG106,Tables!$A$43:$A$76,1),1),ROWS(Tables!$A$43:$A$76)-1))+1)-INDEX(Tables!$A$43:$A$76,MAX(1,MIN(IFERROR(MATCH(AG106,Tables!$A$43:$A$76,1),1),ROWS(Tables!$A$43:$A$76)-1))))),(INDEX(Tables!$D$43:$D$76,MAX(1,MIN(IFERROR(MATCH(AG106,Tables!$C$43:$C$76,1),1),ROWS(Tables!$C$43:$C$76)-1)))+(AG106-INDEX(Tables!$C$43:$C$76,MAX(1,MIN(IFERROR(MATCH(AG106,Tables!$C$43:$C$76,1),1),ROWS(Tables!$C$43:$C$76)-1))))*(INDEX(Tables!$D$43:$D$76,MAX(1,MIN(IFERROR(MATCH(AG106,Tables!$C$43:$C$76,1),1),ROWS(Tables!$C$43:$C$76)-1))+1)-INDEX(Tables!$D$43:$D$76,MAX(1,MIN(IFERROR(MATCH(AG106,Tables!$C$43:$C$76,1),1),ROWS(Tables!$C$43:$C$76)-1))))/(INDEX(Tables!$C$43:$C$76,MAX(1,MIN(IFERROR(MATCH(AG106,Tables!$C$43:$C$76,1),1),ROWS(Tables!$C$43:$C$76)-1))+1)-INDEX(Tables!$C$43:$C$76,MAX(1,MIN(IFERROR(MATCH(AG106,Tables!$C$43:$C$76,1),1),ROWS(Tables!$C$43:$C$76)-1))))))</f>
        <v>1.224</v>
      </c>
      <c r="AM106" s="181">
        <f>(INDEX(Tables!$B$80:$B$87,MAX(1,MIN(IFERROR(MATCH(AH106,Tables!$A$80:$A$87,1),1),ROWS(Tables!$A$80:$A$87)-1)))+(AH106-INDEX(Tables!$A$80:$A$87,MAX(1,MIN(IFERROR(MATCH(AH106,Tables!$A$80:$A$87,1),1),ROWS(Tables!$A$80:$A$87)-1))))*(INDEX(Tables!$B$80:$B$87,MAX(1,MIN(IFERROR(MATCH(AH106,Tables!$A$80:$A$87,1),1),ROWS(Tables!$A$80:$A$87)-1))+1)-INDEX(Tables!$B$80:$B$87,MAX(1,MIN(IFERROR(MATCH(AH106,Tables!$A$80:$A$87,1),1),ROWS(Tables!$A$80:$A$87)-1))))/(INDEX(Tables!$A$80:$A$87,MAX(1,MIN(IFERROR(MATCH(AH106,Tables!$A$80:$A$87,1),1),ROWS(Tables!$A$80:$A$87)-1))+1)-INDEX(Tables!$A$80:$A$87,MAX(1,MIN(IFERROR(MATCH(AH106,Tables!$A$80:$A$87,1),1),ROWS(Tables!$A$80:$A$87)-1)))))</f>
        <v>0.89595000000000002</v>
      </c>
      <c r="AN106" s="181">
        <f t="shared" si="103"/>
        <v>22404.412404000002</v>
      </c>
      <c r="AO106" s="181">
        <f>(INDEX(Tables!$B$91:$B$94,MAX(1,MIN(IFERROR(MATCH(P106,Tables!$A$91:$A$94,1),1),ROWS(Tables!$A$91:$A$94)-1)))+(P106-INDEX(Tables!$A$91:$A$94,MAX(1,MIN(IFERROR(MATCH(P106,Tables!$A$91:$A$94,1),1),ROWS(Tables!$A$91:$A$94)-1))))*(INDEX(Tables!$B$91:$B$94,MAX(1,MIN(IFERROR(MATCH(P106,Tables!$A$91:$A$94,1),1),ROWS(Tables!$A$91:$A$94)-1))+1)-INDEX(Tables!$B$91:$B$94,MAX(1,MIN(IFERROR(MATCH(P106,Tables!$A$91:$A$94,1),1),ROWS(Tables!$A$91:$A$94)-1))))/(INDEX(Tables!$A$91:$A$94,MAX(1,MIN(IFERROR(MATCH(P106,Tables!$A$91:$A$94,1),1),ROWS(Tables!$A$91:$A$94)-1))+1)-INDEX(Tables!$A$91:$A$94,MAX(1,MIN(IFERROR(MATCH(P106,Tables!$A$91:$A$94,1),1),ROWS(Tables!$A$91:$A$94)-1)))))</f>
        <v>1</v>
      </c>
      <c r="AP106" s="181">
        <f>IF(AD106=5000,(INDEX(Tables!$B$99:$B$118,MAX(1,MIN(IFERROR(MATCH(AF106,Tables!$A$99:$A$118,1),1),ROWS(Tables!$A$99:$A$118)-1)))+(AF106-INDEX(Tables!$A$99:$A$118,MAX(1,MIN(IFERROR(MATCH(AF106,Tables!$A$99:$A$118,1),1),ROWS(Tables!$A$99:$A$118)-1))))*(INDEX(Tables!$B$99:$B$118,MAX(1,MIN(IFERROR(MATCH(AF106,Tables!$A$99:$A$118,1),1),ROWS(Tables!$A$99:$A$118)-1))+1)-INDEX(Tables!$B$99:$B$118,MAX(1,MIN(IFERROR(MATCH(AF106,Tables!$A$99:$A$118,1),1),ROWS(Tables!$A$99:$A$118)-1))))/(INDEX(Tables!$A$99:$A$118,MAX(1,MIN(IFERROR(MATCH(AF106,Tables!$A$99:$A$118,1),1),ROWS(Tables!$A$99:$A$118)-1))+1)-INDEX(Tables!$A$99:$A$118,MAX(1,MIN(IFERROR(MATCH(AF106,Tables!$A$99:$A$118,1),1),ROWS(Tables!$A$99:$A$118)-1))))),IF(AD106=10000,(INDEX(Tables!$D$99:$D$118,MAX(1,MIN(IFERROR(MATCH(AF106,Tables!$C$99:$C$118,1),1),ROWS(Tables!$C$99:$C$118)-1)))+(AF106-INDEX(Tables!$C$99:$C$118,MAX(1,MIN(IFERROR(MATCH(AF106,Tables!$C$99:$C$118,1),1),ROWS(Tables!$C$99:$C$118)-1))))*(INDEX(Tables!$D$99:$D$118,MAX(1,MIN(IFERROR(MATCH(AF106,Tables!$C$99:$C$118,1),1),ROWS(Tables!$C$99:$C$118)-1))+1)-INDEX(Tables!$D$99:$D$118,MAX(1,MIN(IFERROR(MATCH(AF106,Tables!$C$99:$C$118,1),1),ROWS(Tables!$C$99:$C$118)-1))))/(INDEX(Tables!$C$99:$C$118,MAX(1,MIN(IFERROR(MATCH(AF106,Tables!$C$99:$C$118,1),1),ROWS(Tables!$C$99:$C$118)-1))+1)-INDEX(Tables!$C$99:$C$118,MAX(1,MIN(IFERROR(MATCH(AF106,Tables!$C$99:$C$118,1),1),ROWS(Tables!$C$99:$C$118)-1))))),(INDEX(Tables!$F$99:$F$118,MAX(1,MIN(IFERROR(MATCH(AF106,Tables!$E$99:$E$118,1),1),ROWS(Tables!$E$99:$E$118)-1)))+(AF106-INDEX(Tables!$E$99:$E$118,MAX(1,MIN(IFERROR(MATCH(AF106,Tables!$E$99:$E$118,1),1),ROWS(Tables!$E$99:$E$118)-1))))*(INDEX(Tables!$F$99:$F$118,MAX(1,MIN(IFERROR(MATCH(AF106,Tables!$E$99:$E$118,1),1),ROWS(Tables!$E$99:$E$118)-1))+1)-INDEX(Tables!$F$99:$F$118,MAX(1,MIN(IFERROR(MATCH(AF106,Tables!$E$99:$E$118,1),1),ROWS(Tables!$E$99:$E$118)-1))))/(INDEX(Tables!$E$99:$E$118,MAX(1,MIN(IFERROR(MATCH(AF106,Tables!$E$99:$E$118,1),1),ROWS(Tables!$E$99:$E$118)-1))+1)-INDEX(Tables!$E$99:$E$118,MAX(1,MIN(IFERROR(MATCH(AF106,Tables!$E$99:$E$118,1),1),ROWS(Tables!$E$99:$E$118)-1)))))))</f>
        <v>12.907736434108527</v>
      </c>
      <c r="AQ106" s="181">
        <f>IF(P106&lt;6,(INDEX(Tables!$B$123:$B$138,MAX(1,MIN(IFERROR(MATCH(U106,Tables!$A$123:$A$138,1),1),ROWS(Tables!$A$123:$A$138)-1)))+(U106-INDEX(Tables!$A$123:$A$138,MAX(1,MIN(IFERROR(MATCH(U106,Tables!$A$123:$A$138,1),1),ROWS(Tables!$A$123:$A$138)-1))))*(INDEX(Tables!$B$123:$B$138,MAX(1,MIN(IFERROR(MATCH(U106,Tables!$A$123:$A$138,1),1),ROWS(Tables!$A$123:$A$138)-1))+1)-INDEX(Tables!$B$123:$B$138,MAX(1,MIN(IFERROR(MATCH(U106,Tables!$A$123:$A$138,1),1),ROWS(Tables!$A$123:$A$138)-1))))/(INDEX(Tables!$A$123:$A$138,MAX(1,MIN(IFERROR(MATCH(U106,Tables!$A$123:$A$138,1),1),ROWS(Tables!$A$123:$A$138)-1))+1)-INDEX(Tables!$A$123:$A$138,MAX(1,MIN(IFERROR(MATCH(U106,Tables!$A$123:$A$138,1),1),ROWS(Tables!$A$123:$A$138)-1))))),IF(P106&lt;8,(INDEX(Tables!$D$123:$D$138,MAX(1,MIN(IFERROR(MATCH(U106,Tables!$C$123:$C$138,1),1),ROWS(Tables!$C$123:$C$138)-1)))+(U106-INDEX(Tables!$C$123:$C$138,MAX(1,MIN(IFERROR(MATCH(U106,Tables!$C$123:$C$138,1),1),ROWS(Tables!$C$123:$C$138)-1))))*(INDEX(Tables!$D$123:$D$138,MAX(1,MIN(IFERROR(MATCH(U106,Tables!$C$123:$C$138,1),1),ROWS(Tables!$C$123:$C$138)-1))+1)-INDEX(Tables!$D$123:$D$138,MAX(1,MIN(IFERROR(MATCH(U106,Tables!$C$123:$C$138,1),1),ROWS(Tables!$C$123:$C$138)-1))))/(INDEX(Tables!$C$123:$C$138,MAX(1,MIN(IFERROR(MATCH(U106,Tables!$C$123:$C$138,1),1),ROWS(Tables!$C$123:$C$138)-1))+1)-INDEX(Tables!$C$123:$C$138,MAX(1,MIN(IFERROR(MATCH(U106,Tables!$C$123:$C$138,1),1),ROWS(Tables!$C$123:$C$138)-1))))),IF(P106&lt;10,(INDEX(Tables!$F$123:$F$138,MAX(1,MIN(IFERROR(MATCH(U106,Tables!$E$123:$E$138,1),1),ROWS(Tables!$E$123:$E$138)-1)))+(U106-INDEX(Tables!$E$123:$E$138,MAX(1,MIN(IFERROR(MATCH(U106,Tables!$E$123:$E$138,1),1),ROWS(Tables!$E$123:$E$138)-1))))*(INDEX(Tables!$F$123:$F$138,MAX(1,MIN(IFERROR(MATCH(U106,Tables!$E$123:$E$138,1),1),ROWS(Tables!$E$123:$E$138)-1))+1)-INDEX(Tables!$F$123:$F$138,MAX(1,MIN(IFERROR(MATCH(U106,Tables!$E$123:$E$138,1),1),ROWS(Tables!$E$123:$E$138)-1))))/(INDEX(Tables!$E$123:$E$138,MAX(1,MIN(IFERROR(MATCH(U106,Tables!$E$123:$E$138,1),1),ROWS(Tables!$E$123:$E$138)-1))+1)-INDEX(Tables!$E$123:$E$138,MAX(1,MIN(IFERROR(MATCH(U106,Tables!$E$123:$E$138,1),1),ROWS(Tables!$E$123:$E$138)-1))))),(INDEX(Tables!$H$123:$H$138,MAX(1,MIN(IFERROR(MATCH(U106,Tables!$G$123:$G$138,1),1),ROWS(Tables!$G$123:$G$138)-1)))+(U106-INDEX(Tables!$G$123:$G$138,MAX(1,MIN(IFERROR(MATCH(U106,Tables!$G$123:$G$138,1),1),ROWS(Tables!$G$123:$G$138)-1))))*(INDEX(Tables!$H$123:$H$138,MAX(1,MIN(IFERROR(MATCH(U106,Tables!$G$123:$G$138,1),1),ROWS(Tables!$G$123:$G$138)-1))+1)-INDEX(Tables!$H$123:$H$138,MAX(1,MIN(IFERROR(MATCH(U106,Tables!$G$123:$G$138,1),1),ROWS(Tables!$G$123:$G$138)-1))))/(INDEX(Tables!$G$123:$G$138,MAX(1,MIN(IFERROR(MATCH(U106,Tables!$G$123:$G$138,1),1),ROWS(Tables!$G$123:$G$138)-1))+1)-INDEX(Tables!$G$123:$G$138,MAX(1,MIN(IFERROR(MATCH(U106,Tables!$G$123:$G$138,1),1),ROWS(Tables!$G$123:$G$138)-1))))))))</f>
        <v>0.46899999999999997</v>
      </c>
      <c r="AR106" s="181">
        <f>IF(OR(P106&gt;=4,U106&gt;12),VLOOKUP(R106&amp;" "&amp;S106,Tables!$D$143:$F$148,2,FALSE),VLOOKUP(R106&amp;" "&amp;S106,Tables!$A$143:$C$148,2,FALSE))</f>
        <v>1.1000000000000001</v>
      </c>
      <c r="AS106" s="181">
        <f>IF(OR(P106&gt;=4,U106&gt;12),VLOOKUP(R106&amp;" "&amp;S106,Tables!$D$143:$F$148,3,FALSE),VLOOKUP(R106&amp;" "&amp;S106,Tables!$A$143:$C$148,3,FALSE))</f>
        <v>1</v>
      </c>
      <c r="AT106" s="181">
        <f t="shared" si="104"/>
        <v>462.43758516365205</v>
      </c>
      <c r="AU106" s="181">
        <f>IF(AD106=5000,(INDEX(Tables!$B$244:$B$263,MAX(1,MIN(IFERROR(MATCH(AF106,Tables!$A$244:$A$263,1),1),ROWS(Tables!$A$244:$A$263)-1)))+(AF106-INDEX(Tables!$A$244:$A$263,MAX(1,MIN(IFERROR(MATCH(AF106,Tables!$A$244:$A$263,1),1),ROWS(Tables!$A$244:$A$263)-1))))*(INDEX(Tables!$B$244:$B$263,MAX(1,MIN(IFERROR(MATCH(AF106,Tables!$A$244:$A$263,1),1),ROWS(Tables!$A$244:$A$263)-1))+1)-INDEX(Tables!$B$244:$B$263,MAX(1,MIN(IFERROR(MATCH(AF106,Tables!$A$244:$A$263,1),1),ROWS(Tables!$A$244:$A$263)-1))))/(INDEX(Tables!$A$244:$A$263,MAX(1,MIN(IFERROR(MATCH(AF106,Tables!$A$244:$A$263,1),1),ROWS(Tables!$A$244:$A$263)-1))+1)-INDEX(Tables!$A$244:$A$263,MAX(1,MIN(IFERROR(MATCH(AF106,Tables!$A$244:$A$263,1),1),ROWS(Tables!$A$244:$A$263)-1))))),IF(AD106=10000,(INDEX(Tables!$D$244:$D$263,MAX(1,MIN(IFERROR(MATCH(AF106,Tables!$C$244:$C$263,1),1),ROWS(Tables!$C$244:$C$263)-1)))+(AF106-INDEX(Tables!$C$244:$C$263,MAX(1,MIN(IFERROR(MATCH(AF106,Tables!$C$244:$C$263,1),1),ROWS(Tables!$C$244:$C$263)-1))))*(INDEX(Tables!$D$244:$D$263,MAX(1,MIN(IFERROR(MATCH(AF106,Tables!$C$244:$C$263,1),1),ROWS(Tables!$C$244:$C$263)-1))+1)-INDEX(Tables!$D$244:$D$263,MAX(1,MIN(IFERROR(MATCH(AF106,Tables!$C$244:$C$263,1),1),ROWS(Tables!$C$244:$C$263)-1))))/(INDEX(Tables!$C$244:$C$263,MAX(1,MIN(IFERROR(MATCH(AF106,Tables!$C$244:$C$263,1),1),ROWS(Tables!$C$244:$C$263)-1))+1)-INDEX(Tables!$C$244:$C$263,MAX(1,MIN(IFERROR(MATCH(AF106,Tables!$C$244:$C$263,1),1),ROWS(Tables!$C$244:$C$263)-1))))),(INDEX(Tables!$F$244:$F$263,MAX(1,MIN(IFERROR(MATCH(AF106,Tables!$E$244:$E$263,1),1),ROWS(Tables!$E$244:$E$263)-1)))+(AF106-INDEX(Tables!$E$244:$E$263,MAX(1,MIN(IFERROR(MATCH(AF106,Tables!$E$244:$E$263,1),1),ROWS(Tables!$E$244:$E$263)-1))))*(INDEX(Tables!$F$244:$F$263,MAX(1,MIN(IFERROR(MATCH(AF106,Tables!$E$244:$E$263,1),1),ROWS(Tables!$E$244:$E$263)-1))+1)-INDEX(Tables!$F$244:$F$263,MAX(1,MIN(IFERROR(MATCH(AF106,Tables!$E$244:$E$263,1),1),ROWS(Tables!$E$244:$E$263)-1))))/(INDEX(Tables!$E$244:$E$263,MAX(1,MIN(IFERROR(MATCH(AF106,Tables!$E$244:$E$263,1),1),ROWS(Tables!$E$244:$E$263)-1))+1)-INDEX(Tables!$E$244:$E$263,MAX(1,MIN(IFERROR(MATCH(AF106,Tables!$E$244:$E$263,1),1),ROWS(Tables!$E$244:$E$263)-1)))))))</f>
        <v>9.7669999999999995</v>
      </c>
      <c r="AV106" s="181">
        <f>IF(P106&lt;6,(INDEX(Tables!$B$260:$B$274,MAX(1,MIN(IFERROR(MATCH(U106,Tables!$A$260:$A$274,1),1),ROWS(Tables!$A$260:$A$274)-1)))+(U106-INDEX(Tables!$A$260:$A$274,MAX(1,MIN(IFERROR(MATCH(U106,Tables!$A$260:$A$274,1),1),ROWS(Tables!$A$260:$A$274)-1))))*(INDEX(Tables!$B$260:$B$274,MAX(1,MIN(IFERROR(MATCH(U106,Tables!$A$260:$A$274,1),1),ROWS(Tables!$A$260:$A$274)-1))+1)-INDEX(Tables!$B$260:$B$274,MAX(1,MIN(IFERROR(MATCH(U106,Tables!$A$260:$A$274,1),1),ROWS(Tables!$A$260:$A$274)-1))))/(INDEX(Tables!$A$260:$A$274,MAX(1,MIN(IFERROR(MATCH(U106,Tables!$A$260:$A$274,1),1),ROWS(Tables!$A$260:$A$274)-1))+1)-INDEX(Tables!$A$260:$A$274,MAX(1,MIN(IFERROR(MATCH(U106,Tables!$A$260:$A$274,1),1),ROWS(Tables!$A$260:$A$274)-1))))),IF(P106&lt;8,(INDEX(Tables!$D$260:$D$274,MAX(1,MIN(IFERROR(MATCH(U106,Tables!$C$260:$C$274,1),1),ROWS(Tables!$C$260:$C$274)-1)))+(U106-INDEX(Tables!$C$260:$C$274,MAX(1,MIN(IFERROR(MATCH(U106,Tables!$C$260:$C$274,1),1),ROWS(Tables!$C$260:$C$274)-1))))*(INDEX(Tables!$D$260:$D$274,MAX(1,MIN(IFERROR(MATCH(U106,Tables!$C$260:$C$274,1),1),ROWS(Tables!$C$260:$C$274)-1))+1)-INDEX(Tables!$D$260:$D$274,MAX(1,MIN(IFERROR(MATCH(U106,Tables!$C$260:$C$274,1),1),ROWS(Tables!$C$260:$C$274)-1))))/(INDEX(Tables!$C$260:$C$274,MAX(1,MIN(IFERROR(MATCH(U106,Tables!$C$260:$C$274,1),1),ROWS(Tables!$C$260:$C$274)-1))+1)-INDEX(Tables!$C$260:$C$274,MAX(1,MIN(IFERROR(MATCH(U106,Tables!$C$260:$C$274,1),1),ROWS(Tables!$C$260:$C$274)-1))))),IF(P106&lt;10,(INDEX(Tables!$F$260:$F$274,MAX(1,MIN(IFERROR(MATCH(U106,Tables!$E$260:$E$274,1),1),ROWS(Tables!$E$260:$E$274)-1)))+(U106-INDEX(Tables!$E$260:$E$274,MAX(1,MIN(IFERROR(MATCH(U106,Tables!$E$260:$E$274,1),1),ROWS(Tables!$E$260:$E$274)-1))))*(INDEX(Tables!$F$260:$F$274,MAX(1,MIN(IFERROR(MATCH(U106,Tables!$E$260:$E$274,1),1),ROWS(Tables!$E$260:$E$274)-1))+1)-INDEX(Tables!$F$260:$F$274,MAX(1,MIN(IFERROR(MATCH(U106,Tables!$E$260:$E$274,1),1),ROWS(Tables!$E$260:$E$274)-1))))/(INDEX(Tables!$E$260:$E$274,MAX(1,MIN(IFERROR(MATCH(U106,Tables!$E$260:$E$274,1),1),ROWS(Tables!$E$260:$E$274)-1))+1)-INDEX(Tables!$E$260:$E$274,MAX(1,MIN(IFERROR(MATCH(U106,Tables!$E$260:$E$274,1),1),ROWS(Tables!$E$260:$E$274)-1))))),(INDEX(Tables!$H$260:$H$274,MAX(1,MIN(IFERROR(MATCH(U106,Tables!$G$260:$G$274,1),1),ROWS(Tables!$G$260:$G$274)-1)))+(U106-INDEX(Tables!$G$260:$G$274,MAX(1,MIN(IFERROR(MATCH(U106,Tables!$G$260:$G$274,1),1),ROWS(Tables!$G$260:$G$274)-1))))*(INDEX(Tables!$H$260:$H$274,MAX(1,MIN(IFERROR(MATCH(U106,Tables!$G$260:$G$274,1),1),ROWS(Tables!$G$260:$G$274)-1))+1)-INDEX(Tables!$H$260:$H$274,MAX(1,MIN(IFERROR(MATCH(U106,Tables!$G$260:$G$274,1),1),ROWS(Tables!$G$260:$G$274)-1))))/(INDEX(Tables!$G$260:$G$274,MAX(1,MIN(IFERROR(MATCH(U106,Tables!$G$260:$G$274,1),1),ROWS(Tables!$G$260:$G$274)-1))+1)-INDEX(Tables!$G$260:$G$274,MAX(1,MIN(IFERROR(MATCH(U106,Tables!$G$260:$G$274,1),1),ROWS(Tables!$G$260:$G$274)-1))))))))</f>
        <v>0.45700000000000002</v>
      </c>
      <c r="AW106" s="181">
        <f t="shared" si="105"/>
        <v>340.96325694444448</v>
      </c>
      <c r="AX106" s="181">
        <f t="shared" si="106"/>
        <v>4750</v>
      </c>
      <c r="AY106" s="181">
        <f t="shared" si="107"/>
        <v>27616.849989163653</v>
      </c>
      <c r="AZ106" s="181">
        <f t="shared" si="108"/>
        <v>8487.2869781444442</v>
      </c>
      <c r="BA106" s="181">
        <f t="shared" si="109"/>
        <v>-100</v>
      </c>
      <c r="BB106" s="181">
        <f t="shared" si="110"/>
        <v>24575.449659765785</v>
      </c>
      <c r="BC106" s="181">
        <f t="shared" si="111"/>
        <v>46800</v>
      </c>
      <c r="BD106" s="181">
        <f>VLOOKUP(V106&amp;" "&amp;J106,Tables!$A$152:$E$239,4,FALSE)</f>
        <v>12000</v>
      </c>
      <c r="BE106" s="181">
        <f>VLOOKUP(V106&amp;" "&amp;J106,Tables!$A$152:$E$239,5,FALSE)</f>
        <v>23000</v>
      </c>
      <c r="BF106" s="181">
        <f t="shared" si="112"/>
        <v>8640</v>
      </c>
      <c r="BG106" s="181">
        <f t="shared" si="113"/>
        <v>16560</v>
      </c>
      <c r="BH106" s="181">
        <f t="shared" si="114"/>
        <v>4800</v>
      </c>
      <c r="BI106" s="181">
        <f t="shared" si="115"/>
        <v>46800</v>
      </c>
      <c r="BJ106" s="181">
        <f t="shared" si="116"/>
        <v>24575.449659765785</v>
      </c>
      <c r="BK106" s="181">
        <f t="shared" si="117"/>
        <v>46800</v>
      </c>
      <c r="BL106" s="181">
        <f t="shared" si="118"/>
        <v>340.96325694444448</v>
      </c>
      <c r="BM106" s="181">
        <f t="shared" si="119"/>
        <v>8640</v>
      </c>
      <c r="BN106" s="181">
        <f t="shared" si="120"/>
        <v>462.43758516365205</v>
      </c>
      <c r="BO106" s="181">
        <f t="shared" si="121"/>
        <v>16560</v>
      </c>
      <c r="BP106" t="str">
        <f t="shared" si="122"/>
        <v>Pass</v>
      </c>
      <c r="BQ106" t="str">
        <f t="shared" si="123"/>
        <v>Pass</v>
      </c>
      <c r="BR106" t="str">
        <f t="shared" si="124"/>
        <v>Pass</v>
      </c>
      <c r="BS106" t="str">
        <f t="shared" si="125"/>
        <v>Pass</v>
      </c>
      <c r="BT106" t="str">
        <f t="shared" si="126"/>
        <v>Pass</v>
      </c>
      <c r="BU106" t="str">
        <f t="shared" si="127"/>
        <v>Effective Stress</v>
      </c>
    </row>
    <row r="107" spans="1:73">
      <c r="A107" t="s">
        <v>699</v>
      </c>
      <c r="B107" s="181">
        <v>105</v>
      </c>
      <c r="C107" t="s">
        <v>594</v>
      </c>
      <c r="D107" s="181">
        <v>6</v>
      </c>
      <c r="E107" s="181">
        <v>0.14699999999999999</v>
      </c>
      <c r="F107" t="s">
        <v>117</v>
      </c>
      <c r="G107" t="s">
        <v>119</v>
      </c>
      <c r="H107" t="s">
        <v>122</v>
      </c>
      <c r="I107" s="181">
        <v>1</v>
      </c>
      <c r="J107" t="s">
        <v>126</v>
      </c>
      <c r="K107" t="s">
        <v>129</v>
      </c>
      <c r="L107" s="181">
        <v>70</v>
      </c>
      <c r="M107" s="181">
        <v>800</v>
      </c>
      <c r="N107" t="s">
        <v>390</v>
      </c>
      <c r="O107" s="181">
        <v>120</v>
      </c>
      <c r="P107" s="181">
        <v>1</v>
      </c>
      <c r="Q107" s="181">
        <v>8.625</v>
      </c>
      <c r="R107" t="s">
        <v>154</v>
      </c>
      <c r="S107" t="s">
        <v>156</v>
      </c>
      <c r="T107" s="181">
        <v>70</v>
      </c>
      <c r="U107" s="181">
        <f>HLOOKUP(D107,'Highway Loading'!$C$155:$AD$156,2,FALSE)</f>
        <v>6.625</v>
      </c>
      <c r="V107" s="181">
        <f>IF(ISBLANK(G107),"",INDEX('Highway Loading'!$C$216:$AG$216,1,MATCH(G107,'Highway Loading'!$C$215:$AG$215,0)))</f>
        <v>65000</v>
      </c>
      <c r="W107" s="181">
        <f>INDEX('Highway Loading'!$I$245:$L$253,MATCH(H107,'Highway Loading'!$H$245:$H$253,0),MATCH(I107,'Highway Loading'!$I$244:$L$244,0))</f>
        <v>0.72</v>
      </c>
      <c r="X107" s="181">
        <f t="shared" si="96"/>
        <v>1</v>
      </c>
      <c r="Y107" s="181">
        <f>VLOOKUP(K107,'Highway Loading'!$B$283:$E$292,2,FALSE)</f>
        <v>29000000</v>
      </c>
      <c r="Z107" s="181">
        <f>VLOOKUP(K107,'Highway Loading'!$B$283:$E$292,3,FALSE)</f>
        <v>0.3</v>
      </c>
      <c r="AA107" s="181">
        <f>VLOOKUP(K107,'Highway Loading'!$B$283:$E$292,4,FALSE)</f>
        <v>6.4999999999999996E-6</v>
      </c>
      <c r="AB107" s="181">
        <f t="shared" si="97"/>
        <v>1</v>
      </c>
      <c r="AC107" s="181">
        <f>VLOOKUP(N107,'Highway Loading'!$B$256:$D$261,2,FALSE)</f>
        <v>1000</v>
      </c>
      <c r="AD107" s="181">
        <f>VLOOKUP(N107,'Highway Loading'!$B$256:$D$261,3,FALSE)</f>
        <v>10000</v>
      </c>
      <c r="AE107" s="181">
        <f>VLOOKUP(S107,'Highway Loading'!$B$340:$C$341,2,FALSE)</f>
        <v>10000</v>
      </c>
      <c r="AF107" s="181">
        <f t="shared" si="98"/>
        <v>2.2188679245283019E-2</v>
      </c>
      <c r="AG107" s="181">
        <f t="shared" si="99"/>
        <v>1.3913043478260869</v>
      </c>
      <c r="AH107" s="181">
        <f t="shared" si="100"/>
        <v>1.3018867924528301</v>
      </c>
      <c r="AI107" s="181">
        <f t="shared" si="101"/>
        <v>18027.210884353743</v>
      </c>
      <c r="AJ107" s="181">
        <f t="shared" si="102"/>
        <v>46800</v>
      </c>
      <c r="AK107" s="181">
        <f>IF(AC107=200,(INDEX(Tables!$B$17:$B$38,MAX(1,MIN(IFERROR(MATCH(AF107,Tables!$A$17:$A$38,1),1),ROWS(Tables!$A$17:$A$38)-1)))+(AF107-INDEX(Tables!$A$17:$A$38,MAX(1,MIN(IFERROR(MATCH(AF107,Tables!$A$17:$A$38,1),1),ROWS(Tables!$A$17:$A$38)-1))))*(INDEX(Tables!$B$17:$B$38,MAX(1,MIN(IFERROR(MATCH(AF107,Tables!$A$17:$A$38,1),1),ROWS(Tables!$A$17:$A$38)-1))+1)-INDEX(Tables!$B$17:$B$38,MAX(1,MIN(IFERROR(MATCH(AF107,Tables!$A$17:$A$38,1),1),ROWS(Tables!$A$17:$A$38)-1))))/(INDEX(Tables!$A$17:$A$38,MAX(1,MIN(IFERROR(MATCH(AF107,Tables!$A$17:$A$38,1),1),ROWS(Tables!$A$17:$A$38)-1))+1)-INDEX(Tables!$A$17:$A$38,MAX(1,MIN(IFERROR(MATCH(AF107,Tables!$A$17:$A$38,1),1),ROWS(Tables!$A$17:$A$38)-1))))),IF(AC107=500,(INDEX(Tables!$D$17:$D$38,MAX(1,MIN(IFERROR(MATCH(AF107,Tables!$C$17:$C$38,1),1),ROWS(Tables!$C$17:$C$38)-1)))+(AF107-INDEX(Tables!$C$17:$C$38,MAX(1,MIN(IFERROR(MATCH(AF107,Tables!$C$17:$C$38,1),1),ROWS(Tables!$C$17:$C$38)-1))))*(INDEX(Tables!$D$17:$D$38,MAX(1,MIN(IFERROR(MATCH(AF107,Tables!$C$17:$C$38,1),1),ROWS(Tables!$C$17:$C$38)-1))+1)-INDEX(Tables!$D$17:$D$38,MAX(1,MIN(IFERROR(MATCH(AF107,Tables!$C$17:$C$38,1),1),ROWS(Tables!$C$17:$C$38)-1))))/(INDEX(Tables!$C$17:$C$38,MAX(1,MIN(IFERROR(MATCH(AF107,Tables!$C$17:$C$38,1),1),ROWS(Tables!$C$17:$C$38)-1))+1)-INDEX(Tables!$C$17:$C$38,MAX(1,MIN(IFERROR(MATCH(AF107,Tables!$C$17:$C$38,1),1),ROWS(Tables!$C$17:$C$38)-1))))),IF(AC107=1000,(INDEX(Tables!$F$17:$F$38,MAX(1,MIN(IFERROR(MATCH(AF107,Tables!$E$17:$E$38,1),1),ROWS(Tables!$E$17:$E$38)-1)))+(AF107-INDEX(Tables!$E$17:$E$38,MAX(1,MIN(IFERROR(MATCH(AF107,Tables!$E$17:$E$38,1),1),ROWS(Tables!$E$17:$E$38)-1))))*(INDEX(Tables!$F$17:$F$38,MAX(1,MIN(IFERROR(MATCH(AF107,Tables!$E$17:$E$38,1),1),ROWS(Tables!$E$17:$E$38)-1))+1)-INDEX(Tables!$F$17:$F$38,MAX(1,MIN(IFERROR(MATCH(AF107,Tables!$E$17:$E$38,1),1),ROWS(Tables!$E$17:$E$38)-1))))/(INDEX(Tables!$E$17:$E$38,MAX(1,MIN(IFERROR(MATCH(AF107,Tables!$E$17:$E$38,1),1),ROWS(Tables!$E$17:$E$38)-1))+1)-INDEX(Tables!$E$17:$E$38,MAX(1,MIN(IFERROR(MATCH(AF107,Tables!$E$17:$E$38,1),1),ROWS(Tables!$E$17:$E$38)-1))))),(INDEX(Tables!$H$17:$H$38,MAX(1,MIN(IFERROR(MATCH(AF107,Tables!$G$17:$G$38,1),1),ROWS(Tables!$G$17:$G$38)-1)))+(AF107-INDEX(Tables!$G$17:$G$38,MAX(1,MIN(IFERROR(MATCH(AF107,Tables!$G$17:$G$38,1),1),ROWS(Tables!$G$17:$G$38)-1))))*(INDEX(Tables!$H$17:$H$38,MAX(1,MIN(IFERROR(MATCH(AF107,Tables!$G$17:$G$38,1),1),ROWS(Tables!$G$17:$G$38)-1))+1)-INDEX(Tables!$H$17:$H$38,MAX(1,MIN(IFERROR(MATCH(AF107,Tables!$G$17:$G$38,1),1),ROWS(Tables!$G$17:$G$38)-1))))/(INDEX(Tables!$G$17:$G$38,MAX(1,MIN(IFERROR(MATCH(AF107,Tables!$G$17:$G$38,1),1),ROWS(Tables!$G$17:$G$38)-1))+1)-INDEX(Tables!$G$17:$G$38,MAX(1,MIN(IFERROR(MATCH(AF107,Tables!$G$17:$G$38,1),1),ROWS(Tables!$G$17:$G$38)-1))))))))</f>
        <v>1965.011320754717</v>
      </c>
      <c r="AL107" s="181">
        <f>IF(AC107&lt;1000,(INDEX(Tables!$B$43:$B$76,MAX(1,MIN(IFERROR(MATCH(AG107,Tables!$A$43:$A$76,1),1),ROWS(Tables!$A$43:$A$76)-1)))+(AG107-INDEX(Tables!$A$43:$A$76,MAX(1,MIN(IFERROR(MATCH(AG107,Tables!$A$43:$A$76,1),1),ROWS(Tables!$A$43:$A$76)-1))))*(INDEX(Tables!$B$43:$B$76,MAX(1,MIN(IFERROR(MATCH(AG107,Tables!$A$43:$A$76,1),1),ROWS(Tables!$A$43:$A$76)-1))+1)-INDEX(Tables!$B$43:$B$76,MAX(1,MIN(IFERROR(MATCH(AG107,Tables!$A$43:$A$76,1),1),ROWS(Tables!$A$43:$A$76)-1))))/(INDEX(Tables!$A$43:$A$76,MAX(1,MIN(IFERROR(MATCH(AG107,Tables!$A$43:$A$76,1),1),ROWS(Tables!$A$43:$A$76)-1))+1)-INDEX(Tables!$A$43:$A$76,MAX(1,MIN(IFERROR(MATCH(AG107,Tables!$A$43:$A$76,1),1),ROWS(Tables!$A$43:$A$76)-1))))),(INDEX(Tables!$D$43:$D$76,MAX(1,MIN(IFERROR(MATCH(AG107,Tables!$C$43:$C$76,1),1),ROWS(Tables!$C$43:$C$76)-1)))+(AG107-INDEX(Tables!$C$43:$C$76,MAX(1,MIN(IFERROR(MATCH(AG107,Tables!$C$43:$C$76,1),1),ROWS(Tables!$C$43:$C$76)-1))))*(INDEX(Tables!$D$43:$D$76,MAX(1,MIN(IFERROR(MATCH(AG107,Tables!$C$43:$C$76,1),1),ROWS(Tables!$C$43:$C$76)-1))+1)-INDEX(Tables!$D$43:$D$76,MAX(1,MIN(IFERROR(MATCH(AG107,Tables!$C$43:$C$76,1),1),ROWS(Tables!$C$43:$C$76)-1))))/(INDEX(Tables!$C$43:$C$76,MAX(1,MIN(IFERROR(MATCH(AG107,Tables!$C$43:$C$76,1),1),ROWS(Tables!$C$43:$C$76)-1))+1)-INDEX(Tables!$C$43:$C$76,MAX(1,MIN(IFERROR(MATCH(AG107,Tables!$C$43:$C$76,1),1),ROWS(Tables!$C$43:$C$76)-1))))))</f>
        <v>0.44230434782608696</v>
      </c>
      <c r="AM107" s="181">
        <f>(INDEX(Tables!$B$80:$B$87,MAX(1,MIN(IFERROR(MATCH(AH107,Tables!$A$80:$A$87,1),1),ROWS(Tables!$A$80:$A$87)-1)))+(AH107-INDEX(Tables!$A$80:$A$87,MAX(1,MIN(IFERROR(MATCH(AH107,Tables!$A$80:$A$87,1),1),ROWS(Tables!$A$80:$A$87)-1))))*(INDEX(Tables!$B$80:$B$87,MAX(1,MIN(IFERROR(MATCH(AH107,Tables!$A$80:$A$87,1),1),ROWS(Tables!$A$80:$A$87)-1))+1)-INDEX(Tables!$B$80:$B$87,MAX(1,MIN(IFERROR(MATCH(AH107,Tables!$A$80:$A$87,1),1),ROWS(Tables!$A$80:$A$87)-1))))/(INDEX(Tables!$A$80:$A$87,MAX(1,MIN(IFERROR(MATCH(AH107,Tables!$A$80:$A$87,1),1),ROWS(Tables!$A$80:$A$87)-1))+1)-INDEX(Tables!$A$80:$A$87,MAX(1,MIN(IFERROR(MATCH(AH107,Tables!$A$80:$A$87,1),1),ROWS(Tables!$A$80:$A$87)-1)))))</f>
        <v>1.403996226415094</v>
      </c>
      <c r="AN107" s="181">
        <f t="shared" si="103"/>
        <v>561.40412102323614</v>
      </c>
      <c r="AO107" s="181">
        <f>(INDEX(Tables!$B$91:$B$94,MAX(1,MIN(IFERROR(MATCH(P107,Tables!$A$91:$A$94,1),1),ROWS(Tables!$A$91:$A$94)-1)))+(P107-INDEX(Tables!$A$91:$A$94,MAX(1,MIN(IFERROR(MATCH(P107,Tables!$A$91:$A$94,1),1),ROWS(Tables!$A$91:$A$94)-1))))*(INDEX(Tables!$B$91:$B$94,MAX(1,MIN(IFERROR(MATCH(P107,Tables!$A$91:$A$94,1),1),ROWS(Tables!$A$91:$A$94)-1))+1)-INDEX(Tables!$B$91:$B$94,MAX(1,MIN(IFERROR(MATCH(P107,Tables!$A$91:$A$94,1),1),ROWS(Tables!$A$91:$A$94)-1))))/(INDEX(Tables!$A$91:$A$94,MAX(1,MIN(IFERROR(MATCH(P107,Tables!$A$91:$A$94,1),1),ROWS(Tables!$A$91:$A$94)-1))+1)-INDEX(Tables!$A$91:$A$94,MAX(1,MIN(IFERROR(MATCH(P107,Tables!$A$91:$A$94,1),1),ROWS(Tables!$A$91:$A$94)-1)))))</f>
        <v>1.5</v>
      </c>
      <c r="AP107" s="181">
        <f>IF(AD107=5000,(INDEX(Tables!$B$99:$B$118,MAX(1,MIN(IFERROR(MATCH(AF107,Tables!$A$99:$A$118,1),1),ROWS(Tables!$A$99:$A$118)-1)))+(AF107-INDEX(Tables!$A$99:$A$118,MAX(1,MIN(IFERROR(MATCH(AF107,Tables!$A$99:$A$118,1),1),ROWS(Tables!$A$99:$A$118)-1))))*(INDEX(Tables!$B$99:$B$118,MAX(1,MIN(IFERROR(MATCH(AF107,Tables!$A$99:$A$118,1),1),ROWS(Tables!$A$99:$A$118)-1))+1)-INDEX(Tables!$B$99:$B$118,MAX(1,MIN(IFERROR(MATCH(AF107,Tables!$A$99:$A$118,1),1),ROWS(Tables!$A$99:$A$118)-1))))/(INDEX(Tables!$A$99:$A$118,MAX(1,MIN(IFERROR(MATCH(AF107,Tables!$A$99:$A$118,1),1),ROWS(Tables!$A$99:$A$118)-1))+1)-INDEX(Tables!$A$99:$A$118,MAX(1,MIN(IFERROR(MATCH(AF107,Tables!$A$99:$A$118,1),1),ROWS(Tables!$A$99:$A$118)-1))))),IF(AD107=10000,(INDEX(Tables!$D$99:$D$118,MAX(1,MIN(IFERROR(MATCH(AF107,Tables!$C$99:$C$118,1),1),ROWS(Tables!$C$99:$C$118)-1)))+(AF107-INDEX(Tables!$C$99:$C$118,MAX(1,MIN(IFERROR(MATCH(AF107,Tables!$C$99:$C$118,1),1),ROWS(Tables!$C$99:$C$118)-1))))*(INDEX(Tables!$D$99:$D$118,MAX(1,MIN(IFERROR(MATCH(AF107,Tables!$C$99:$C$118,1),1),ROWS(Tables!$C$99:$C$118)-1))+1)-INDEX(Tables!$D$99:$D$118,MAX(1,MIN(IFERROR(MATCH(AF107,Tables!$C$99:$C$118,1),1),ROWS(Tables!$C$99:$C$118)-1))))/(INDEX(Tables!$C$99:$C$118,MAX(1,MIN(IFERROR(MATCH(AF107,Tables!$C$99:$C$118,1),1),ROWS(Tables!$C$99:$C$118)-1))+1)-INDEX(Tables!$C$99:$C$118,MAX(1,MIN(IFERROR(MATCH(AF107,Tables!$C$99:$C$118,1),1),ROWS(Tables!$C$99:$C$118)-1))))),(INDEX(Tables!$F$99:$F$118,MAX(1,MIN(IFERROR(MATCH(AF107,Tables!$E$99:$E$118,1),1),ROWS(Tables!$E$99:$E$118)-1)))+(AF107-INDEX(Tables!$E$99:$E$118,MAX(1,MIN(IFERROR(MATCH(AF107,Tables!$E$99:$E$118,1),1),ROWS(Tables!$E$99:$E$118)-1))))*(INDEX(Tables!$F$99:$F$118,MAX(1,MIN(IFERROR(MATCH(AF107,Tables!$E$99:$E$118,1),1),ROWS(Tables!$E$99:$E$118)-1))+1)-INDEX(Tables!$F$99:$F$118,MAX(1,MIN(IFERROR(MATCH(AF107,Tables!$E$99:$E$118,1),1),ROWS(Tables!$E$99:$E$118)-1))))/(INDEX(Tables!$E$99:$E$118,MAX(1,MIN(IFERROR(MATCH(AF107,Tables!$E$99:$E$118,1),1),ROWS(Tables!$E$99:$E$118)-1))+1)-INDEX(Tables!$E$99:$E$118,MAX(1,MIN(IFERROR(MATCH(AF107,Tables!$E$99:$E$118,1),1),ROWS(Tables!$E$99:$E$118)-1)))))))</f>
        <v>13.310853692457467</v>
      </c>
      <c r="AQ107" s="181">
        <f>IF(P107&lt;6,(INDEX(Tables!$B$123:$B$138,MAX(1,MIN(IFERROR(MATCH(U107,Tables!$A$123:$A$138,1),1),ROWS(Tables!$A$123:$A$138)-1)))+(U107-INDEX(Tables!$A$123:$A$138,MAX(1,MIN(IFERROR(MATCH(U107,Tables!$A$123:$A$138,1),1),ROWS(Tables!$A$123:$A$138)-1))))*(INDEX(Tables!$B$123:$B$138,MAX(1,MIN(IFERROR(MATCH(U107,Tables!$A$123:$A$138,1),1),ROWS(Tables!$A$123:$A$138)-1))+1)-INDEX(Tables!$B$123:$B$138,MAX(1,MIN(IFERROR(MATCH(U107,Tables!$A$123:$A$138,1),1),ROWS(Tables!$A$123:$A$138)-1))))/(INDEX(Tables!$A$123:$A$138,MAX(1,MIN(IFERROR(MATCH(U107,Tables!$A$123:$A$138,1),1),ROWS(Tables!$A$123:$A$138)-1))+1)-INDEX(Tables!$A$123:$A$138,MAX(1,MIN(IFERROR(MATCH(U107,Tables!$A$123:$A$138,1),1),ROWS(Tables!$A$123:$A$138)-1))))),IF(P107&lt;8,(INDEX(Tables!$D$123:$D$138,MAX(1,MIN(IFERROR(MATCH(U107,Tables!$C$123:$C$138,1),1),ROWS(Tables!$C$123:$C$138)-1)))+(U107-INDEX(Tables!$C$123:$C$138,MAX(1,MIN(IFERROR(MATCH(U107,Tables!$C$123:$C$138,1),1),ROWS(Tables!$C$123:$C$138)-1))))*(INDEX(Tables!$D$123:$D$138,MAX(1,MIN(IFERROR(MATCH(U107,Tables!$C$123:$C$138,1),1),ROWS(Tables!$C$123:$C$138)-1))+1)-INDEX(Tables!$D$123:$D$138,MAX(1,MIN(IFERROR(MATCH(U107,Tables!$C$123:$C$138,1),1),ROWS(Tables!$C$123:$C$138)-1))))/(INDEX(Tables!$C$123:$C$138,MAX(1,MIN(IFERROR(MATCH(U107,Tables!$C$123:$C$138,1),1),ROWS(Tables!$C$123:$C$138)-1))+1)-INDEX(Tables!$C$123:$C$138,MAX(1,MIN(IFERROR(MATCH(U107,Tables!$C$123:$C$138,1),1),ROWS(Tables!$C$123:$C$138)-1))))),IF(P107&lt;10,(INDEX(Tables!$F$123:$F$138,MAX(1,MIN(IFERROR(MATCH(U107,Tables!$E$123:$E$138,1),1),ROWS(Tables!$E$123:$E$138)-1)))+(U107-INDEX(Tables!$E$123:$E$138,MAX(1,MIN(IFERROR(MATCH(U107,Tables!$E$123:$E$138,1),1),ROWS(Tables!$E$123:$E$138)-1))))*(INDEX(Tables!$F$123:$F$138,MAX(1,MIN(IFERROR(MATCH(U107,Tables!$E$123:$E$138,1),1),ROWS(Tables!$E$123:$E$138)-1))+1)-INDEX(Tables!$F$123:$F$138,MAX(1,MIN(IFERROR(MATCH(U107,Tables!$E$123:$E$138,1),1),ROWS(Tables!$E$123:$E$138)-1))))/(INDEX(Tables!$E$123:$E$138,MAX(1,MIN(IFERROR(MATCH(U107,Tables!$E$123:$E$138,1),1),ROWS(Tables!$E$123:$E$138)-1))+1)-INDEX(Tables!$E$123:$E$138,MAX(1,MIN(IFERROR(MATCH(U107,Tables!$E$123:$E$138,1),1),ROWS(Tables!$E$123:$E$138)-1))))),(INDEX(Tables!$H$123:$H$138,MAX(1,MIN(IFERROR(MATCH(U107,Tables!$G$123:$G$138,1),1),ROWS(Tables!$G$123:$G$138)-1)))+(U107-INDEX(Tables!$G$123:$G$138,MAX(1,MIN(IFERROR(MATCH(U107,Tables!$G$123:$G$138,1),1),ROWS(Tables!$G$123:$G$138)-1))))*(INDEX(Tables!$H$123:$H$138,MAX(1,MIN(IFERROR(MATCH(U107,Tables!$G$123:$G$138,1),1),ROWS(Tables!$G$123:$G$138)-1))+1)-INDEX(Tables!$H$123:$H$138,MAX(1,MIN(IFERROR(MATCH(U107,Tables!$G$123:$G$138,1),1),ROWS(Tables!$G$123:$G$138)-1))))/(INDEX(Tables!$G$123:$G$138,MAX(1,MIN(IFERROR(MATCH(U107,Tables!$G$123:$G$138,1),1),ROWS(Tables!$G$123:$G$138)-1))+1)-INDEX(Tables!$G$123:$G$138,MAX(1,MIN(IFERROR(MATCH(U107,Tables!$G$123:$G$138,1),1),ROWS(Tables!$G$123:$G$138)-1))))))))</f>
        <v>1.4501250000000001</v>
      </c>
      <c r="AR107" s="181">
        <f>IF(OR(P107&gt;=4,U107&gt;12),VLOOKUP(R107&amp;" "&amp;S107,Tables!$D$143:$F$148,2,FALSE),VLOOKUP(R107&amp;" "&amp;S107,Tables!$A$143:$C$148,2,FALSE))</f>
        <v>1</v>
      </c>
      <c r="AS107" s="181">
        <f>IF(OR(P107&gt;=4,U107&gt;12),VLOOKUP(R107&amp;" "&amp;S107,Tables!$D$143:$F$148,3,FALSE),VLOOKUP(R107&amp;" "&amp;S107,Tables!$A$143:$C$148,3,FALSE))</f>
        <v>1</v>
      </c>
      <c r="AT107" s="181">
        <f t="shared" si="104"/>
        <v>2010.6668448723842</v>
      </c>
      <c r="AU107" s="181">
        <f>IF(AD107=5000,(INDEX(Tables!$B$244:$B$263,MAX(1,MIN(IFERROR(MATCH(AF107,Tables!$A$244:$A$263,1),1),ROWS(Tables!$A$244:$A$263)-1)))+(AF107-INDEX(Tables!$A$244:$A$263,MAX(1,MIN(IFERROR(MATCH(AF107,Tables!$A$244:$A$263,1),1),ROWS(Tables!$A$244:$A$263)-1))))*(INDEX(Tables!$B$244:$B$263,MAX(1,MIN(IFERROR(MATCH(AF107,Tables!$A$244:$A$263,1),1),ROWS(Tables!$A$244:$A$263)-1))+1)-INDEX(Tables!$B$244:$B$263,MAX(1,MIN(IFERROR(MATCH(AF107,Tables!$A$244:$A$263,1),1),ROWS(Tables!$A$244:$A$263)-1))))/(INDEX(Tables!$A$244:$A$263,MAX(1,MIN(IFERROR(MATCH(AF107,Tables!$A$244:$A$263,1),1),ROWS(Tables!$A$244:$A$263)-1))+1)-INDEX(Tables!$A$244:$A$263,MAX(1,MIN(IFERROR(MATCH(AF107,Tables!$A$244:$A$263,1),1),ROWS(Tables!$A$244:$A$263)-1))))),IF(AD107=10000,(INDEX(Tables!$D$244:$D$263,MAX(1,MIN(IFERROR(MATCH(AF107,Tables!$C$244:$C$263,1),1),ROWS(Tables!$C$244:$C$263)-1)))+(AF107-INDEX(Tables!$C$244:$C$263,MAX(1,MIN(IFERROR(MATCH(AF107,Tables!$C$244:$C$263,1),1),ROWS(Tables!$C$244:$C$263)-1))))*(INDEX(Tables!$D$244:$D$263,MAX(1,MIN(IFERROR(MATCH(AF107,Tables!$C$244:$C$263,1),1),ROWS(Tables!$C$244:$C$263)-1))+1)-INDEX(Tables!$D$244:$D$263,MAX(1,MIN(IFERROR(MATCH(AF107,Tables!$C$244:$C$263,1),1),ROWS(Tables!$C$244:$C$263)-1))))/(INDEX(Tables!$C$244:$C$263,MAX(1,MIN(IFERROR(MATCH(AF107,Tables!$C$244:$C$263,1),1),ROWS(Tables!$C$244:$C$263)-1))+1)-INDEX(Tables!$C$244:$C$263,MAX(1,MIN(IFERROR(MATCH(AF107,Tables!$C$244:$C$263,1),1),ROWS(Tables!$C$244:$C$263)-1))))),(INDEX(Tables!$F$244:$F$263,MAX(1,MIN(IFERROR(MATCH(AF107,Tables!$E$244:$E$263,1),1),ROWS(Tables!$E$244:$E$263)-1)))+(AF107-INDEX(Tables!$E$244:$E$263,MAX(1,MIN(IFERROR(MATCH(AF107,Tables!$E$244:$E$263,1),1),ROWS(Tables!$E$244:$E$263)-1))))*(INDEX(Tables!$F$244:$F$263,MAX(1,MIN(IFERROR(MATCH(AF107,Tables!$E$244:$E$263,1),1),ROWS(Tables!$E$244:$E$263)-1))+1)-INDEX(Tables!$F$244:$F$263,MAX(1,MIN(IFERROR(MATCH(AF107,Tables!$E$244:$E$263,1),1),ROWS(Tables!$E$244:$E$263)-1))))/(INDEX(Tables!$E$244:$E$263,MAX(1,MIN(IFERROR(MATCH(AF107,Tables!$E$244:$E$263,1),1),ROWS(Tables!$E$244:$E$263)-1))+1)-INDEX(Tables!$E$244:$E$263,MAX(1,MIN(IFERROR(MATCH(AF107,Tables!$E$244:$E$263,1),1),ROWS(Tables!$E$244:$E$263)-1)))))))</f>
        <v>9.5004188679245285</v>
      </c>
      <c r="AV107" s="181">
        <f>IF(P107&lt;6,(INDEX(Tables!$B$260:$B$274,MAX(1,MIN(IFERROR(MATCH(U107,Tables!$A$260:$A$274,1),1),ROWS(Tables!$A$260:$A$274)-1)))+(U107-INDEX(Tables!$A$260:$A$274,MAX(1,MIN(IFERROR(MATCH(U107,Tables!$A$260:$A$274,1),1),ROWS(Tables!$A$260:$A$274)-1))))*(INDEX(Tables!$B$260:$B$274,MAX(1,MIN(IFERROR(MATCH(U107,Tables!$A$260:$A$274,1),1),ROWS(Tables!$A$260:$A$274)-1))+1)-INDEX(Tables!$B$260:$B$274,MAX(1,MIN(IFERROR(MATCH(U107,Tables!$A$260:$A$274,1),1),ROWS(Tables!$A$260:$A$274)-1))))/(INDEX(Tables!$A$260:$A$274,MAX(1,MIN(IFERROR(MATCH(U107,Tables!$A$260:$A$274,1),1),ROWS(Tables!$A$260:$A$274)-1))+1)-INDEX(Tables!$A$260:$A$274,MAX(1,MIN(IFERROR(MATCH(U107,Tables!$A$260:$A$274,1),1),ROWS(Tables!$A$260:$A$274)-1))))),IF(P107&lt;8,(INDEX(Tables!$D$260:$D$274,MAX(1,MIN(IFERROR(MATCH(U107,Tables!$C$260:$C$274,1),1),ROWS(Tables!$C$260:$C$274)-1)))+(U107-INDEX(Tables!$C$260:$C$274,MAX(1,MIN(IFERROR(MATCH(U107,Tables!$C$260:$C$274,1),1),ROWS(Tables!$C$260:$C$274)-1))))*(INDEX(Tables!$D$260:$D$274,MAX(1,MIN(IFERROR(MATCH(U107,Tables!$C$260:$C$274,1),1),ROWS(Tables!$C$260:$C$274)-1))+1)-INDEX(Tables!$D$260:$D$274,MAX(1,MIN(IFERROR(MATCH(U107,Tables!$C$260:$C$274,1),1),ROWS(Tables!$C$260:$C$274)-1))))/(INDEX(Tables!$C$260:$C$274,MAX(1,MIN(IFERROR(MATCH(U107,Tables!$C$260:$C$274,1),1),ROWS(Tables!$C$260:$C$274)-1))+1)-INDEX(Tables!$C$260:$C$274,MAX(1,MIN(IFERROR(MATCH(U107,Tables!$C$260:$C$274,1),1),ROWS(Tables!$C$260:$C$274)-1))))),IF(P107&lt;10,(INDEX(Tables!$F$260:$F$274,MAX(1,MIN(IFERROR(MATCH(U107,Tables!$E$260:$E$274,1),1),ROWS(Tables!$E$260:$E$274)-1)))+(U107-INDEX(Tables!$E$260:$E$274,MAX(1,MIN(IFERROR(MATCH(U107,Tables!$E$260:$E$274,1),1),ROWS(Tables!$E$260:$E$274)-1))))*(INDEX(Tables!$F$260:$F$274,MAX(1,MIN(IFERROR(MATCH(U107,Tables!$E$260:$E$274,1),1),ROWS(Tables!$E$260:$E$274)-1))+1)-INDEX(Tables!$F$260:$F$274,MAX(1,MIN(IFERROR(MATCH(U107,Tables!$E$260:$E$274,1),1),ROWS(Tables!$E$260:$E$274)-1))))/(INDEX(Tables!$E$260:$E$274,MAX(1,MIN(IFERROR(MATCH(U107,Tables!$E$260:$E$274,1),1),ROWS(Tables!$E$260:$E$274)-1))+1)-INDEX(Tables!$E$260:$E$274,MAX(1,MIN(IFERROR(MATCH(U107,Tables!$E$260:$E$274,1),1),ROWS(Tables!$E$260:$E$274)-1))))),(INDEX(Tables!$H$260:$H$274,MAX(1,MIN(IFERROR(MATCH(U107,Tables!$G$260:$G$274,1),1),ROWS(Tables!$G$260:$G$274)-1)))+(U107-INDEX(Tables!$G$260:$G$274,MAX(1,MIN(IFERROR(MATCH(U107,Tables!$G$260:$G$274,1),1),ROWS(Tables!$G$260:$G$274)-1))))*(INDEX(Tables!$H$260:$H$274,MAX(1,MIN(IFERROR(MATCH(U107,Tables!$G$260:$G$274,1),1),ROWS(Tables!$G$260:$G$274)-1))+1)-INDEX(Tables!$H$260:$H$274,MAX(1,MIN(IFERROR(MATCH(U107,Tables!$G$260:$G$274,1),1),ROWS(Tables!$G$260:$G$274)-1))))/(INDEX(Tables!$G$260:$G$274,MAX(1,MIN(IFERROR(MATCH(U107,Tables!$G$260:$G$274,1),1),ROWS(Tables!$G$260:$G$274)-1))+1)-INDEX(Tables!$G$260:$G$274,MAX(1,MIN(IFERROR(MATCH(U107,Tables!$G$260:$G$274,1),1),ROWS(Tables!$G$260:$G$274)-1))))))))</f>
        <v>1.4965000000000002</v>
      </c>
      <c r="AW107" s="181">
        <f t="shared" si="105"/>
        <v>1480.9767537342771</v>
      </c>
      <c r="AX107" s="181">
        <f t="shared" si="106"/>
        <v>17627.210884353743</v>
      </c>
      <c r="AY107" s="181">
        <f t="shared" si="107"/>
        <v>20199.281850249361</v>
      </c>
      <c r="AZ107" s="181">
        <f t="shared" si="108"/>
        <v>6937.5612553473702</v>
      </c>
      <c r="BA107" s="181">
        <f t="shared" si="109"/>
        <v>-800</v>
      </c>
      <c r="BB107" s="181">
        <f t="shared" si="110"/>
        <v>18394.468265537231</v>
      </c>
      <c r="BC107" s="181">
        <f t="shared" si="111"/>
        <v>46800</v>
      </c>
      <c r="BD107" s="181">
        <f>VLOOKUP(V107&amp;" "&amp;J107,Tables!$A$152:$E$239,4,FALSE)</f>
        <v>12000</v>
      </c>
      <c r="BE107" s="181">
        <f>VLOOKUP(V107&amp;" "&amp;J107,Tables!$A$152:$E$239,5,FALSE)</f>
        <v>23000</v>
      </c>
      <c r="BF107" s="181">
        <f t="shared" si="112"/>
        <v>8640</v>
      </c>
      <c r="BG107" s="181">
        <f t="shared" si="113"/>
        <v>16560</v>
      </c>
      <c r="BH107" s="181">
        <f t="shared" si="114"/>
        <v>18027.210884353743</v>
      </c>
      <c r="BI107" s="181">
        <f t="shared" si="115"/>
        <v>46800</v>
      </c>
      <c r="BJ107" s="181">
        <f t="shared" si="116"/>
        <v>18394.468265537231</v>
      </c>
      <c r="BK107" s="181">
        <f t="shared" si="117"/>
        <v>46800</v>
      </c>
      <c r="BL107" s="181">
        <f t="shared" si="118"/>
        <v>1480.9767537342771</v>
      </c>
      <c r="BM107" s="181">
        <f t="shared" si="119"/>
        <v>8640</v>
      </c>
      <c r="BN107" s="181">
        <f t="shared" si="120"/>
        <v>2010.6668448723842</v>
      </c>
      <c r="BO107" s="181">
        <f t="shared" si="121"/>
        <v>16560</v>
      </c>
      <c r="BP107" t="str">
        <f t="shared" si="122"/>
        <v>Pass</v>
      </c>
      <c r="BQ107" t="str">
        <f t="shared" si="123"/>
        <v>Pass</v>
      </c>
      <c r="BR107" t="str">
        <f t="shared" si="124"/>
        <v>Pass</v>
      </c>
      <c r="BS107" t="str">
        <f t="shared" si="125"/>
        <v>Pass</v>
      </c>
      <c r="BT107" t="str">
        <f t="shared" si="126"/>
        <v>Pass</v>
      </c>
      <c r="BU107" t="str">
        <f t="shared" si="127"/>
        <v>Effective Stress</v>
      </c>
    </row>
    <row r="108" spans="1:73">
      <c r="A108" t="s">
        <v>700</v>
      </c>
      <c r="B108" s="181">
        <v>106</v>
      </c>
      <c r="C108" t="s">
        <v>594</v>
      </c>
      <c r="D108" s="181">
        <v>8</v>
      </c>
      <c r="E108" s="181">
        <v>0.161</v>
      </c>
      <c r="F108" t="s">
        <v>117</v>
      </c>
      <c r="G108" t="s">
        <v>119</v>
      </c>
      <c r="H108" t="s">
        <v>122</v>
      </c>
      <c r="I108" s="181">
        <v>1</v>
      </c>
      <c r="J108" t="s">
        <v>126</v>
      </c>
      <c r="K108" t="s">
        <v>129</v>
      </c>
      <c r="L108" s="181">
        <v>70</v>
      </c>
      <c r="M108" s="181">
        <v>800</v>
      </c>
      <c r="N108" t="s">
        <v>390</v>
      </c>
      <c r="O108" s="181">
        <v>120</v>
      </c>
      <c r="P108" s="181">
        <v>3</v>
      </c>
      <c r="Q108" s="181">
        <v>10.625</v>
      </c>
      <c r="R108" t="s">
        <v>154</v>
      </c>
      <c r="S108" t="s">
        <v>156</v>
      </c>
      <c r="T108" s="181">
        <v>70</v>
      </c>
      <c r="U108" s="181">
        <f>HLOOKUP(D108,'Highway Loading'!$C$155:$AD$156,2,FALSE)</f>
        <v>8.625</v>
      </c>
      <c r="V108" s="181">
        <f>IF(ISBLANK(G108),"",INDEX('Highway Loading'!$C$216:$AG$216,1,MATCH(G108,'Highway Loading'!$C$215:$AG$215,0)))</f>
        <v>65000</v>
      </c>
      <c r="W108" s="181">
        <f>INDEX('Highway Loading'!$I$245:$L$253,MATCH(H108,'Highway Loading'!$H$245:$H$253,0),MATCH(I108,'Highway Loading'!$I$244:$L$244,0))</f>
        <v>0.72</v>
      </c>
      <c r="X108" s="181">
        <f t="shared" si="96"/>
        <v>1</v>
      </c>
      <c r="Y108" s="181">
        <f>VLOOKUP(K108,'Highway Loading'!$B$283:$E$292,2,FALSE)</f>
        <v>29000000</v>
      </c>
      <c r="Z108" s="181">
        <f>VLOOKUP(K108,'Highway Loading'!$B$283:$E$292,3,FALSE)</f>
        <v>0.3</v>
      </c>
      <c r="AA108" s="181">
        <f>VLOOKUP(K108,'Highway Loading'!$B$283:$E$292,4,FALSE)</f>
        <v>6.4999999999999996E-6</v>
      </c>
      <c r="AB108" s="181">
        <f t="shared" si="97"/>
        <v>1</v>
      </c>
      <c r="AC108" s="181">
        <f>VLOOKUP(N108,'Highway Loading'!$B$256:$D$261,2,FALSE)</f>
        <v>1000</v>
      </c>
      <c r="AD108" s="181">
        <f>VLOOKUP(N108,'Highway Loading'!$B$256:$D$261,3,FALSE)</f>
        <v>10000</v>
      </c>
      <c r="AE108" s="181">
        <f>VLOOKUP(S108,'Highway Loading'!$B$340:$C$341,2,FALSE)</f>
        <v>10000</v>
      </c>
      <c r="AF108" s="181">
        <f t="shared" si="98"/>
        <v>1.8666666666666668E-2</v>
      </c>
      <c r="AG108" s="181">
        <f t="shared" si="99"/>
        <v>3.388235294117647</v>
      </c>
      <c r="AH108" s="181">
        <f t="shared" si="100"/>
        <v>1.2318840579710144</v>
      </c>
      <c r="AI108" s="181">
        <f t="shared" si="101"/>
        <v>21428.571428571428</v>
      </c>
      <c r="AJ108" s="181">
        <f t="shared" si="102"/>
        <v>46800</v>
      </c>
      <c r="AK108" s="181">
        <f>IF(AC108=200,(INDEX(Tables!$B$17:$B$38,MAX(1,MIN(IFERROR(MATCH(AF108,Tables!$A$17:$A$38,1),1),ROWS(Tables!$A$17:$A$38)-1)))+(AF108-INDEX(Tables!$A$17:$A$38,MAX(1,MIN(IFERROR(MATCH(AF108,Tables!$A$17:$A$38,1),1),ROWS(Tables!$A$17:$A$38)-1))))*(INDEX(Tables!$B$17:$B$38,MAX(1,MIN(IFERROR(MATCH(AF108,Tables!$A$17:$A$38,1),1),ROWS(Tables!$A$17:$A$38)-1))+1)-INDEX(Tables!$B$17:$B$38,MAX(1,MIN(IFERROR(MATCH(AF108,Tables!$A$17:$A$38,1),1),ROWS(Tables!$A$17:$A$38)-1))))/(INDEX(Tables!$A$17:$A$38,MAX(1,MIN(IFERROR(MATCH(AF108,Tables!$A$17:$A$38,1),1),ROWS(Tables!$A$17:$A$38)-1))+1)-INDEX(Tables!$A$17:$A$38,MAX(1,MIN(IFERROR(MATCH(AF108,Tables!$A$17:$A$38,1),1),ROWS(Tables!$A$17:$A$38)-1))))),IF(AC108=500,(INDEX(Tables!$D$17:$D$38,MAX(1,MIN(IFERROR(MATCH(AF108,Tables!$C$17:$C$38,1),1),ROWS(Tables!$C$17:$C$38)-1)))+(AF108-INDEX(Tables!$C$17:$C$38,MAX(1,MIN(IFERROR(MATCH(AF108,Tables!$C$17:$C$38,1),1),ROWS(Tables!$C$17:$C$38)-1))))*(INDEX(Tables!$D$17:$D$38,MAX(1,MIN(IFERROR(MATCH(AF108,Tables!$C$17:$C$38,1),1),ROWS(Tables!$C$17:$C$38)-1))+1)-INDEX(Tables!$D$17:$D$38,MAX(1,MIN(IFERROR(MATCH(AF108,Tables!$C$17:$C$38,1),1),ROWS(Tables!$C$17:$C$38)-1))))/(INDEX(Tables!$C$17:$C$38,MAX(1,MIN(IFERROR(MATCH(AF108,Tables!$C$17:$C$38,1),1),ROWS(Tables!$C$17:$C$38)-1))+1)-INDEX(Tables!$C$17:$C$38,MAX(1,MIN(IFERROR(MATCH(AF108,Tables!$C$17:$C$38,1),1),ROWS(Tables!$C$17:$C$38)-1))))),IF(AC108=1000,(INDEX(Tables!$F$17:$F$38,MAX(1,MIN(IFERROR(MATCH(AF108,Tables!$E$17:$E$38,1),1),ROWS(Tables!$E$17:$E$38)-1)))+(AF108-INDEX(Tables!$E$17:$E$38,MAX(1,MIN(IFERROR(MATCH(AF108,Tables!$E$17:$E$38,1),1),ROWS(Tables!$E$17:$E$38)-1))))*(INDEX(Tables!$F$17:$F$38,MAX(1,MIN(IFERROR(MATCH(AF108,Tables!$E$17:$E$38,1),1),ROWS(Tables!$E$17:$E$38)-1))+1)-INDEX(Tables!$F$17:$F$38,MAX(1,MIN(IFERROR(MATCH(AF108,Tables!$E$17:$E$38,1),1),ROWS(Tables!$E$17:$E$38)-1))))/(INDEX(Tables!$E$17:$E$38,MAX(1,MIN(IFERROR(MATCH(AF108,Tables!$E$17:$E$38,1),1),ROWS(Tables!$E$17:$E$38)-1))+1)-INDEX(Tables!$E$17:$E$38,MAX(1,MIN(IFERROR(MATCH(AF108,Tables!$E$17:$E$38,1),1),ROWS(Tables!$E$17:$E$38)-1))))),(INDEX(Tables!$H$17:$H$38,MAX(1,MIN(IFERROR(MATCH(AF108,Tables!$G$17:$G$38,1),1),ROWS(Tables!$G$17:$G$38)-1)))+(AF108-INDEX(Tables!$G$17:$G$38,MAX(1,MIN(IFERROR(MATCH(AF108,Tables!$G$17:$G$38,1),1),ROWS(Tables!$G$17:$G$38)-1))))*(INDEX(Tables!$H$17:$H$38,MAX(1,MIN(IFERROR(MATCH(AF108,Tables!$G$17:$G$38,1),1),ROWS(Tables!$G$17:$G$38)-1))+1)-INDEX(Tables!$H$17:$H$38,MAX(1,MIN(IFERROR(MATCH(AF108,Tables!$G$17:$G$38,1),1),ROWS(Tables!$G$17:$G$38)-1))))/(INDEX(Tables!$G$17:$G$38,MAX(1,MIN(IFERROR(MATCH(AF108,Tables!$G$17:$G$38,1),1),ROWS(Tables!$G$17:$G$38)-1))+1)-INDEX(Tables!$G$17:$G$38,MAX(1,MIN(IFERROR(MATCH(AF108,Tables!$G$17:$G$38,1),1),ROWS(Tables!$G$17:$G$38)-1))))))))</f>
        <v>2558.1333333333332</v>
      </c>
      <c r="AL108" s="181">
        <f>IF(AC108&lt;1000,(INDEX(Tables!$B$43:$B$76,MAX(1,MIN(IFERROR(MATCH(AG108,Tables!$A$43:$A$76,1),1),ROWS(Tables!$A$43:$A$76)-1)))+(AG108-INDEX(Tables!$A$43:$A$76,MAX(1,MIN(IFERROR(MATCH(AG108,Tables!$A$43:$A$76,1),1),ROWS(Tables!$A$43:$A$76)-1))))*(INDEX(Tables!$B$43:$B$76,MAX(1,MIN(IFERROR(MATCH(AG108,Tables!$A$43:$A$76,1),1),ROWS(Tables!$A$43:$A$76)-1))+1)-INDEX(Tables!$B$43:$B$76,MAX(1,MIN(IFERROR(MATCH(AG108,Tables!$A$43:$A$76,1),1),ROWS(Tables!$A$43:$A$76)-1))))/(INDEX(Tables!$A$43:$A$76,MAX(1,MIN(IFERROR(MATCH(AG108,Tables!$A$43:$A$76,1),1),ROWS(Tables!$A$43:$A$76)-1))+1)-INDEX(Tables!$A$43:$A$76,MAX(1,MIN(IFERROR(MATCH(AG108,Tables!$A$43:$A$76,1),1),ROWS(Tables!$A$43:$A$76)-1))))),(INDEX(Tables!$D$43:$D$76,MAX(1,MIN(IFERROR(MATCH(AG108,Tables!$C$43:$C$76,1),1),ROWS(Tables!$C$43:$C$76)-1)))+(AG108-INDEX(Tables!$C$43:$C$76,MAX(1,MIN(IFERROR(MATCH(AG108,Tables!$C$43:$C$76,1),1),ROWS(Tables!$C$43:$C$76)-1))))*(INDEX(Tables!$D$43:$D$76,MAX(1,MIN(IFERROR(MATCH(AG108,Tables!$C$43:$C$76,1),1),ROWS(Tables!$C$43:$C$76)-1))+1)-INDEX(Tables!$D$43:$D$76,MAX(1,MIN(IFERROR(MATCH(AG108,Tables!$C$43:$C$76,1),1),ROWS(Tables!$C$43:$C$76)-1))))/(INDEX(Tables!$C$43:$C$76,MAX(1,MIN(IFERROR(MATCH(AG108,Tables!$C$43:$C$76,1),1),ROWS(Tables!$C$43:$C$76)-1))+1)-INDEX(Tables!$C$43:$C$76,MAX(1,MIN(IFERROR(MATCH(AG108,Tables!$C$43:$C$76,1),1),ROWS(Tables!$C$43:$C$76)-1))))))</f>
        <v>0.82142352941176466</v>
      </c>
      <c r="AM108" s="181">
        <f>(INDEX(Tables!$B$80:$B$87,MAX(1,MIN(IFERROR(MATCH(AH108,Tables!$A$80:$A$87,1),1),ROWS(Tables!$A$80:$A$87)-1)))+(AH108-INDEX(Tables!$A$80:$A$87,MAX(1,MIN(IFERROR(MATCH(AH108,Tables!$A$80:$A$87,1),1),ROWS(Tables!$A$80:$A$87)-1))))*(INDEX(Tables!$B$80:$B$87,MAX(1,MIN(IFERROR(MATCH(AH108,Tables!$A$80:$A$87,1),1),ROWS(Tables!$A$80:$A$87)-1))+1)-INDEX(Tables!$B$80:$B$87,MAX(1,MIN(IFERROR(MATCH(AH108,Tables!$A$80:$A$87,1),1),ROWS(Tables!$A$80:$A$87)-1))))/(INDEX(Tables!$A$80:$A$87,MAX(1,MIN(IFERROR(MATCH(AH108,Tables!$A$80:$A$87,1),1),ROWS(Tables!$A$80:$A$87)-1))+1)-INDEX(Tables!$A$80:$A$87,MAX(1,MIN(IFERROR(MATCH(AH108,Tables!$A$80:$A$87,1),1),ROWS(Tables!$A$80:$A$87)-1)))))</f>
        <v>1.2567086956521738</v>
      </c>
      <c r="AN108" s="181">
        <f t="shared" si="103"/>
        <v>1581.6906504058738</v>
      </c>
      <c r="AO108" s="181">
        <f>(INDEX(Tables!$B$91:$B$94,MAX(1,MIN(IFERROR(MATCH(P108,Tables!$A$91:$A$94,1),1),ROWS(Tables!$A$91:$A$94)-1)))+(P108-INDEX(Tables!$A$91:$A$94,MAX(1,MIN(IFERROR(MATCH(P108,Tables!$A$91:$A$94,1),1),ROWS(Tables!$A$91:$A$94)-1))))*(INDEX(Tables!$B$91:$B$94,MAX(1,MIN(IFERROR(MATCH(P108,Tables!$A$91:$A$94,1),1),ROWS(Tables!$A$91:$A$94)-1))+1)-INDEX(Tables!$B$91:$B$94,MAX(1,MIN(IFERROR(MATCH(P108,Tables!$A$91:$A$94,1),1),ROWS(Tables!$A$91:$A$94)-1))))/(INDEX(Tables!$A$91:$A$94,MAX(1,MIN(IFERROR(MATCH(P108,Tables!$A$91:$A$94,1),1),ROWS(Tables!$A$91:$A$94)-1))+1)-INDEX(Tables!$A$91:$A$94,MAX(1,MIN(IFERROR(MATCH(P108,Tables!$A$91:$A$94,1),1),ROWS(Tables!$A$91:$A$94)-1)))))</f>
        <v>1.5</v>
      </c>
      <c r="AP108" s="181">
        <f>IF(AD108=5000,(INDEX(Tables!$B$99:$B$118,MAX(1,MIN(IFERROR(MATCH(AF108,Tables!$A$99:$A$118,1),1),ROWS(Tables!$A$99:$A$118)-1)))+(AF108-INDEX(Tables!$A$99:$A$118,MAX(1,MIN(IFERROR(MATCH(AF108,Tables!$A$99:$A$118,1),1),ROWS(Tables!$A$99:$A$118)-1))))*(INDEX(Tables!$B$99:$B$118,MAX(1,MIN(IFERROR(MATCH(AF108,Tables!$A$99:$A$118,1),1),ROWS(Tables!$A$99:$A$118)-1))+1)-INDEX(Tables!$B$99:$B$118,MAX(1,MIN(IFERROR(MATCH(AF108,Tables!$A$99:$A$118,1),1),ROWS(Tables!$A$99:$A$118)-1))))/(INDEX(Tables!$A$99:$A$118,MAX(1,MIN(IFERROR(MATCH(AF108,Tables!$A$99:$A$118,1),1),ROWS(Tables!$A$99:$A$118)-1))+1)-INDEX(Tables!$A$99:$A$118,MAX(1,MIN(IFERROR(MATCH(AF108,Tables!$A$99:$A$118,1),1),ROWS(Tables!$A$99:$A$118)-1))))),IF(AD108=10000,(INDEX(Tables!$D$99:$D$118,MAX(1,MIN(IFERROR(MATCH(AF108,Tables!$C$99:$C$118,1),1),ROWS(Tables!$C$99:$C$118)-1)))+(AF108-INDEX(Tables!$C$99:$C$118,MAX(1,MIN(IFERROR(MATCH(AF108,Tables!$C$99:$C$118,1),1),ROWS(Tables!$C$99:$C$118)-1))))*(INDEX(Tables!$D$99:$D$118,MAX(1,MIN(IFERROR(MATCH(AF108,Tables!$C$99:$C$118,1),1),ROWS(Tables!$C$99:$C$118)-1))+1)-INDEX(Tables!$D$99:$D$118,MAX(1,MIN(IFERROR(MATCH(AF108,Tables!$C$99:$C$118,1),1),ROWS(Tables!$C$99:$C$118)-1))))/(INDEX(Tables!$C$99:$C$118,MAX(1,MIN(IFERROR(MATCH(AF108,Tables!$C$99:$C$118,1),1),ROWS(Tables!$C$99:$C$118)-1))+1)-INDEX(Tables!$C$99:$C$118,MAX(1,MIN(IFERROR(MATCH(AF108,Tables!$C$99:$C$118,1),1),ROWS(Tables!$C$99:$C$118)-1))))),(INDEX(Tables!$F$99:$F$118,MAX(1,MIN(IFERROR(MATCH(AF108,Tables!$E$99:$E$118,1),1),ROWS(Tables!$E$99:$E$118)-1)))+(AF108-INDEX(Tables!$E$99:$E$118,MAX(1,MIN(IFERROR(MATCH(AF108,Tables!$E$99:$E$118,1),1),ROWS(Tables!$E$99:$E$118)-1))))*(INDEX(Tables!$F$99:$F$118,MAX(1,MIN(IFERROR(MATCH(AF108,Tables!$E$99:$E$118,1),1),ROWS(Tables!$E$99:$E$118)-1))+1)-INDEX(Tables!$F$99:$F$118,MAX(1,MIN(IFERROR(MATCH(AF108,Tables!$E$99:$E$118,1),1),ROWS(Tables!$E$99:$E$118)-1))))/(INDEX(Tables!$E$99:$E$118,MAX(1,MIN(IFERROR(MATCH(AF108,Tables!$E$99:$E$118,1),1),ROWS(Tables!$E$99:$E$118)-1))+1)-INDEX(Tables!$E$99:$E$118,MAX(1,MIN(IFERROR(MATCH(AF108,Tables!$E$99:$E$118,1),1),ROWS(Tables!$E$99:$E$118)-1)))))))</f>
        <v>14.383768166089965</v>
      </c>
      <c r="AQ108" s="181">
        <f>IF(P108&lt;6,(INDEX(Tables!$B$123:$B$138,MAX(1,MIN(IFERROR(MATCH(U108,Tables!$A$123:$A$138,1),1),ROWS(Tables!$A$123:$A$138)-1)))+(U108-INDEX(Tables!$A$123:$A$138,MAX(1,MIN(IFERROR(MATCH(U108,Tables!$A$123:$A$138,1),1),ROWS(Tables!$A$123:$A$138)-1))))*(INDEX(Tables!$B$123:$B$138,MAX(1,MIN(IFERROR(MATCH(U108,Tables!$A$123:$A$138,1),1),ROWS(Tables!$A$123:$A$138)-1))+1)-INDEX(Tables!$B$123:$B$138,MAX(1,MIN(IFERROR(MATCH(U108,Tables!$A$123:$A$138,1),1),ROWS(Tables!$A$123:$A$138)-1))))/(INDEX(Tables!$A$123:$A$138,MAX(1,MIN(IFERROR(MATCH(U108,Tables!$A$123:$A$138,1),1),ROWS(Tables!$A$123:$A$138)-1))+1)-INDEX(Tables!$A$123:$A$138,MAX(1,MIN(IFERROR(MATCH(U108,Tables!$A$123:$A$138,1),1),ROWS(Tables!$A$123:$A$138)-1))))),IF(P108&lt;8,(INDEX(Tables!$D$123:$D$138,MAX(1,MIN(IFERROR(MATCH(U108,Tables!$C$123:$C$138,1),1),ROWS(Tables!$C$123:$C$138)-1)))+(U108-INDEX(Tables!$C$123:$C$138,MAX(1,MIN(IFERROR(MATCH(U108,Tables!$C$123:$C$138,1),1),ROWS(Tables!$C$123:$C$138)-1))))*(INDEX(Tables!$D$123:$D$138,MAX(1,MIN(IFERROR(MATCH(U108,Tables!$C$123:$C$138,1),1),ROWS(Tables!$C$123:$C$138)-1))+1)-INDEX(Tables!$D$123:$D$138,MAX(1,MIN(IFERROR(MATCH(U108,Tables!$C$123:$C$138,1),1),ROWS(Tables!$C$123:$C$138)-1))))/(INDEX(Tables!$C$123:$C$138,MAX(1,MIN(IFERROR(MATCH(U108,Tables!$C$123:$C$138,1),1),ROWS(Tables!$C$123:$C$138)-1))+1)-INDEX(Tables!$C$123:$C$138,MAX(1,MIN(IFERROR(MATCH(U108,Tables!$C$123:$C$138,1),1),ROWS(Tables!$C$123:$C$138)-1))))),IF(P108&lt;10,(INDEX(Tables!$F$123:$F$138,MAX(1,MIN(IFERROR(MATCH(U108,Tables!$E$123:$E$138,1),1),ROWS(Tables!$E$123:$E$138)-1)))+(U108-INDEX(Tables!$E$123:$E$138,MAX(1,MIN(IFERROR(MATCH(U108,Tables!$E$123:$E$138,1),1),ROWS(Tables!$E$123:$E$138)-1))))*(INDEX(Tables!$F$123:$F$138,MAX(1,MIN(IFERROR(MATCH(U108,Tables!$E$123:$E$138,1),1),ROWS(Tables!$E$123:$E$138)-1))+1)-INDEX(Tables!$F$123:$F$138,MAX(1,MIN(IFERROR(MATCH(U108,Tables!$E$123:$E$138,1),1),ROWS(Tables!$E$123:$E$138)-1))))/(INDEX(Tables!$E$123:$E$138,MAX(1,MIN(IFERROR(MATCH(U108,Tables!$E$123:$E$138,1),1),ROWS(Tables!$E$123:$E$138)-1))+1)-INDEX(Tables!$E$123:$E$138,MAX(1,MIN(IFERROR(MATCH(U108,Tables!$E$123:$E$138,1),1),ROWS(Tables!$E$123:$E$138)-1))))),(INDEX(Tables!$H$123:$H$138,MAX(1,MIN(IFERROR(MATCH(U108,Tables!$G$123:$G$138,1),1),ROWS(Tables!$G$123:$G$138)-1)))+(U108-INDEX(Tables!$G$123:$G$138,MAX(1,MIN(IFERROR(MATCH(U108,Tables!$G$123:$G$138,1),1),ROWS(Tables!$G$123:$G$138)-1))))*(INDEX(Tables!$H$123:$H$138,MAX(1,MIN(IFERROR(MATCH(U108,Tables!$G$123:$G$138,1),1),ROWS(Tables!$G$123:$G$138)-1))+1)-INDEX(Tables!$H$123:$H$138,MAX(1,MIN(IFERROR(MATCH(U108,Tables!$G$123:$G$138,1),1),ROWS(Tables!$G$123:$G$138)-1))))/(INDEX(Tables!$G$123:$G$138,MAX(1,MIN(IFERROR(MATCH(U108,Tables!$G$123:$G$138,1),1),ROWS(Tables!$G$123:$G$138)-1))+1)-INDEX(Tables!$G$123:$G$138,MAX(1,MIN(IFERROR(MATCH(U108,Tables!$G$123:$G$138,1),1),ROWS(Tables!$G$123:$G$138)-1))))))))</f>
        <v>1.389875</v>
      </c>
      <c r="AR108" s="181">
        <f>IF(OR(P108&gt;=4,U108&gt;12),VLOOKUP(R108&amp;" "&amp;S108,Tables!$D$143:$F$148,2,FALSE),VLOOKUP(R108&amp;" "&amp;S108,Tables!$A$143:$C$148,2,FALSE))</f>
        <v>1</v>
      </c>
      <c r="AS108" s="181">
        <f>IF(OR(P108&gt;=4,U108&gt;12),VLOOKUP(R108&amp;" "&amp;S108,Tables!$D$143:$F$148,3,FALSE),VLOOKUP(R108&amp;" "&amp;S108,Tables!$A$143:$C$148,3,FALSE))</f>
        <v>1</v>
      </c>
      <c r="AT108" s="181">
        <f t="shared" si="104"/>
        <v>2082.462477067113</v>
      </c>
      <c r="AU108" s="181">
        <f>IF(AD108=5000,(INDEX(Tables!$B$244:$B$263,MAX(1,MIN(IFERROR(MATCH(AF108,Tables!$A$244:$A$263,1),1),ROWS(Tables!$A$244:$A$263)-1)))+(AF108-INDEX(Tables!$A$244:$A$263,MAX(1,MIN(IFERROR(MATCH(AF108,Tables!$A$244:$A$263,1),1),ROWS(Tables!$A$244:$A$263)-1))))*(INDEX(Tables!$B$244:$B$263,MAX(1,MIN(IFERROR(MATCH(AF108,Tables!$A$244:$A$263,1),1),ROWS(Tables!$A$244:$A$263)-1))+1)-INDEX(Tables!$B$244:$B$263,MAX(1,MIN(IFERROR(MATCH(AF108,Tables!$A$244:$A$263,1),1),ROWS(Tables!$A$244:$A$263)-1))))/(INDEX(Tables!$A$244:$A$263,MAX(1,MIN(IFERROR(MATCH(AF108,Tables!$A$244:$A$263,1),1),ROWS(Tables!$A$244:$A$263)-1))+1)-INDEX(Tables!$A$244:$A$263,MAX(1,MIN(IFERROR(MATCH(AF108,Tables!$A$244:$A$263,1),1),ROWS(Tables!$A$244:$A$263)-1))))),IF(AD108=10000,(INDEX(Tables!$D$244:$D$263,MAX(1,MIN(IFERROR(MATCH(AF108,Tables!$C$244:$C$263,1),1),ROWS(Tables!$C$244:$C$263)-1)))+(AF108-INDEX(Tables!$C$244:$C$263,MAX(1,MIN(IFERROR(MATCH(AF108,Tables!$C$244:$C$263,1),1),ROWS(Tables!$C$244:$C$263)-1))))*(INDEX(Tables!$D$244:$D$263,MAX(1,MIN(IFERROR(MATCH(AF108,Tables!$C$244:$C$263,1),1),ROWS(Tables!$C$244:$C$263)-1))+1)-INDEX(Tables!$D$244:$D$263,MAX(1,MIN(IFERROR(MATCH(AF108,Tables!$C$244:$C$263,1),1),ROWS(Tables!$C$244:$C$263)-1))))/(INDEX(Tables!$C$244:$C$263,MAX(1,MIN(IFERROR(MATCH(AF108,Tables!$C$244:$C$263,1),1),ROWS(Tables!$C$244:$C$263)-1))+1)-INDEX(Tables!$C$244:$C$263,MAX(1,MIN(IFERROR(MATCH(AF108,Tables!$C$244:$C$263,1),1),ROWS(Tables!$C$244:$C$263)-1))))),(INDEX(Tables!$F$244:$F$263,MAX(1,MIN(IFERROR(MATCH(AF108,Tables!$E$244:$E$263,1),1),ROWS(Tables!$E$244:$E$263)-1)))+(AF108-INDEX(Tables!$E$244:$E$263,MAX(1,MIN(IFERROR(MATCH(AF108,Tables!$E$244:$E$263,1),1),ROWS(Tables!$E$244:$E$263)-1))))*(INDEX(Tables!$F$244:$F$263,MAX(1,MIN(IFERROR(MATCH(AF108,Tables!$E$244:$E$263,1),1),ROWS(Tables!$E$244:$E$263)-1))+1)-INDEX(Tables!$F$244:$F$263,MAX(1,MIN(IFERROR(MATCH(AF108,Tables!$E$244:$E$263,1),1),ROWS(Tables!$E$244:$E$263)-1))))/(INDEX(Tables!$E$244:$E$263,MAX(1,MIN(IFERROR(MATCH(AF108,Tables!$E$244:$E$263,1),1),ROWS(Tables!$E$244:$E$263)-1))+1)-INDEX(Tables!$E$244:$E$263,MAX(1,MIN(IFERROR(MATCH(AF108,Tables!$E$244:$E$263,1),1),ROWS(Tables!$E$244:$E$263)-1)))))))</f>
        <v>9.8291333333333331</v>
      </c>
      <c r="AV108" s="181">
        <f>IF(P108&lt;6,(INDEX(Tables!$B$260:$B$274,MAX(1,MIN(IFERROR(MATCH(U108,Tables!$A$260:$A$274,1),1),ROWS(Tables!$A$260:$A$274)-1)))+(U108-INDEX(Tables!$A$260:$A$274,MAX(1,MIN(IFERROR(MATCH(U108,Tables!$A$260:$A$274,1),1),ROWS(Tables!$A$260:$A$274)-1))))*(INDEX(Tables!$B$260:$B$274,MAX(1,MIN(IFERROR(MATCH(U108,Tables!$A$260:$A$274,1),1),ROWS(Tables!$A$260:$A$274)-1))+1)-INDEX(Tables!$B$260:$B$274,MAX(1,MIN(IFERROR(MATCH(U108,Tables!$A$260:$A$274,1),1),ROWS(Tables!$A$260:$A$274)-1))))/(INDEX(Tables!$A$260:$A$274,MAX(1,MIN(IFERROR(MATCH(U108,Tables!$A$260:$A$274,1),1),ROWS(Tables!$A$260:$A$274)-1))+1)-INDEX(Tables!$A$260:$A$274,MAX(1,MIN(IFERROR(MATCH(U108,Tables!$A$260:$A$274,1),1),ROWS(Tables!$A$260:$A$274)-1))))),IF(P108&lt;8,(INDEX(Tables!$D$260:$D$274,MAX(1,MIN(IFERROR(MATCH(U108,Tables!$C$260:$C$274,1),1),ROWS(Tables!$C$260:$C$274)-1)))+(U108-INDEX(Tables!$C$260:$C$274,MAX(1,MIN(IFERROR(MATCH(U108,Tables!$C$260:$C$274,1),1),ROWS(Tables!$C$260:$C$274)-1))))*(INDEX(Tables!$D$260:$D$274,MAX(1,MIN(IFERROR(MATCH(U108,Tables!$C$260:$C$274,1),1),ROWS(Tables!$C$260:$C$274)-1))+1)-INDEX(Tables!$D$260:$D$274,MAX(1,MIN(IFERROR(MATCH(U108,Tables!$C$260:$C$274,1),1),ROWS(Tables!$C$260:$C$274)-1))))/(INDEX(Tables!$C$260:$C$274,MAX(1,MIN(IFERROR(MATCH(U108,Tables!$C$260:$C$274,1),1),ROWS(Tables!$C$260:$C$274)-1))+1)-INDEX(Tables!$C$260:$C$274,MAX(1,MIN(IFERROR(MATCH(U108,Tables!$C$260:$C$274,1),1),ROWS(Tables!$C$260:$C$274)-1))))),IF(P108&lt;10,(INDEX(Tables!$F$260:$F$274,MAX(1,MIN(IFERROR(MATCH(U108,Tables!$E$260:$E$274,1),1),ROWS(Tables!$E$260:$E$274)-1)))+(U108-INDEX(Tables!$E$260:$E$274,MAX(1,MIN(IFERROR(MATCH(U108,Tables!$E$260:$E$274,1),1),ROWS(Tables!$E$260:$E$274)-1))))*(INDEX(Tables!$F$260:$F$274,MAX(1,MIN(IFERROR(MATCH(U108,Tables!$E$260:$E$274,1),1),ROWS(Tables!$E$260:$E$274)-1))+1)-INDEX(Tables!$F$260:$F$274,MAX(1,MIN(IFERROR(MATCH(U108,Tables!$E$260:$E$274,1),1),ROWS(Tables!$E$260:$E$274)-1))))/(INDEX(Tables!$E$260:$E$274,MAX(1,MIN(IFERROR(MATCH(U108,Tables!$E$260:$E$274,1),1),ROWS(Tables!$E$260:$E$274)-1))+1)-INDEX(Tables!$E$260:$E$274,MAX(1,MIN(IFERROR(MATCH(U108,Tables!$E$260:$E$274,1),1),ROWS(Tables!$E$260:$E$274)-1))))),(INDEX(Tables!$H$260:$H$274,MAX(1,MIN(IFERROR(MATCH(U108,Tables!$G$260:$G$274,1),1),ROWS(Tables!$G$260:$G$274)-1)))+(U108-INDEX(Tables!$G$260:$G$274,MAX(1,MIN(IFERROR(MATCH(U108,Tables!$G$260:$G$274,1),1),ROWS(Tables!$G$260:$G$274)-1))))*(INDEX(Tables!$H$260:$H$274,MAX(1,MIN(IFERROR(MATCH(U108,Tables!$G$260:$G$274,1),1),ROWS(Tables!$G$260:$G$274)-1))+1)-INDEX(Tables!$H$260:$H$274,MAX(1,MIN(IFERROR(MATCH(U108,Tables!$G$260:$G$274,1),1),ROWS(Tables!$G$260:$G$274)-1))))/(INDEX(Tables!$G$260:$G$274,MAX(1,MIN(IFERROR(MATCH(U108,Tables!$G$260:$G$274,1),1),ROWS(Tables!$G$260:$G$274)-1))+1)-INDEX(Tables!$G$260:$G$274,MAX(1,MIN(IFERROR(MATCH(U108,Tables!$G$260:$G$274,1),1),ROWS(Tables!$G$260:$G$274)-1))))))))</f>
        <v>1.3123750000000001</v>
      </c>
      <c r="AW108" s="181">
        <f t="shared" si="105"/>
        <v>1343.6988394097223</v>
      </c>
      <c r="AX108" s="181">
        <f t="shared" si="106"/>
        <v>21028.571428571431</v>
      </c>
      <c r="AY108" s="181">
        <f t="shared" si="107"/>
        <v>24692.724556044417</v>
      </c>
      <c r="AZ108" s="181">
        <f t="shared" si="108"/>
        <v>8126.7774631029142</v>
      </c>
      <c r="BA108" s="181">
        <f t="shared" si="109"/>
        <v>-800</v>
      </c>
      <c r="BB108" s="181">
        <f t="shared" si="110"/>
        <v>22405.322629369224</v>
      </c>
      <c r="BC108" s="181">
        <f t="shared" si="111"/>
        <v>46800</v>
      </c>
      <c r="BD108" s="181">
        <f>VLOOKUP(V108&amp;" "&amp;J108,Tables!$A$152:$E$239,4,FALSE)</f>
        <v>12000</v>
      </c>
      <c r="BE108" s="181">
        <f>VLOOKUP(V108&amp;" "&amp;J108,Tables!$A$152:$E$239,5,FALSE)</f>
        <v>23000</v>
      </c>
      <c r="BF108" s="181">
        <f t="shared" si="112"/>
        <v>8640</v>
      </c>
      <c r="BG108" s="181">
        <f t="shared" si="113"/>
        <v>16560</v>
      </c>
      <c r="BH108" s="181">
        <f t="shared" si="114"/>
        <v>21428.571428571428</v>
      </c>
      <c r="BI108" s="181">
        <f t="shared" si="115"/>
        <v>46800</v>
      </c>
      <c r="BJ108" s="181">
        <f t="shared" si="116"/>
        <v>22405.322629369224</v>
      </c>
      <c r="BK108" s="181">
        <f t="shared" si="117"/>
        <v>46800</v>
      </c>
      <c r="BL108" s="181">
        <f t="shared" si="118"/>
        <v>1343.6988394097223</v>
      </c>
      <c r="BM108" s="181">
        <f t="shared" si="119"/>
        <v>8640</v>
      </c>
      <c r="BN108" s="181">
        <f t="shared" si="120"/>
        <v>2082.462477067113</v>
      </c>
      <c r="BO108" s="181">
        <f t="shared" si="121"/>
        <v>16560</v>
      </c>
      <c r="BP108" t="str">
        <f t="shared" si="122"/>
        <v>Pass</v>
      </c>
      <c r="BQ108" t="str">
        <f t="shared" si="123"/>
        <v>Pass</v>
      </c>
      <c r="BR108" t="str">
        <f t="shared" si="124"/>
        <v>Pass</v>
      </c>
      <c r="BS108" t="str">
        <f t="shared" si="125"/>
        <v>Pass</v>
      </c>
      <c r="BT108" t="str">
        <f t="shared" si="126"/>
        <v>Pass</v>
      </c>
      <c r="BU108" t="str">
        <f t="shared" si="127"/>
        <v>Effective Stress</v>
      </c>
    </row>
    <row r="109" spans="1:73">
      <c r="A109" t="s">
        <v>701</v>
      </c>
      <c r="B109" s="181">
        <v>107</v>
      </c>
      <c r="C109" t="s">
        <v>594</v>
      </c>
      <c r="D109" s="181">
        <v>12</v>
      </c>
      <c r="E109" s="181">
        <v>0.193</v>
      </c>
      <c r="F109" t="s">
        <v>117</v>
      </c>
      <c r="G109" t="s">
        <v>119</v>
      </c>
      <c r="H109" t="s">
        <v>122</v>
      </c>
      <c r="I109" s="181">
        <v>1</v>
      </c>
      <c r="J109" t="s">
        <v>126</v>
      </c>
      <c r="K109" t="s">
        <v>129</v>
      </c>
      <c r="L109" s="181">
        <v>70</v>
      </c>
      <c r="M109" s="181">
        <v>800</v>
      </c>
      <c r="N109" t="s">
        <v>390</v>
      </c>
      <c r="O109" s="181">
        <v>120</v>
      </c>
      <c r="P109" s="181">
        <v>6</v>
      </c>
      <c r="Q109" s="181">
        <v>14.75</v>
      </c>
      <c r="R109" t="s">
        <v>154</v>
      </c>
      <c r="S109" t="s">
        <v>156</v>
      </c>
      <c r="T109" s="181">
        <v>70</v>
      </c>
      <c r="U109" s="181">
        <f>HLOOKUP(D109,'Highway Loading'!$C$155:$AD$156,2,FALSE)</f>
        <v>12.75</v>
      </c>
      <c r="V109" s="181">
        <f>IF(ISBLANK(G109),"",INDEX('Highway Loading'!$C$216:$AG$216,1,MATCH(G109,'Highway Loading'!$C$215:$AG$215,0)))</f>
        <v>65000</v>
      </c>
      <c r="W109" s="181">
        <f>INDEX('Highway Loading'!$I$245:$L$253,MATCH(H109,'Highway Loading'!$H$245:$H$253,0),MATCH(I109,'Highway Loading'!$I$244:$L$244,0))</f>
        <v>0.72</v>
      </c>
      <c r="X109" s="181">
        <f t="shared" si="96"/>
        <v>1</v>
      </c>
      <c r="Y109" s="181">
        <f>VLOOKUP(K109,'Highway Loading'!$B$283:$E$292,2,FALSE)</f>
        <v>29000000</v>
      </c>
      <c r="Z109" s="181">
        <f>VLOOKUP(K109,'Highway Loading'!$B$283:$E$292,3,FALSE)</f>
        <v>0.3</v>
      </c>
      <c r="AA109" s="181">
        <f>VLOOKUP(K109,'Highway Loading'!$B$283:$E$292,4,FALSE)</f>
        <v>6.4999999999999996E-6</v>
      </c>
      <c r="AB109" s="181">
        <f t="shared" si="97"/>
        <v>1</v>
      </c>
      <c r="AC109" s="181">
        <f>VLOOKUP(N109,'Highway Loading'!$B$256:$D$261,2,FALSE)</f>
        <v>1000</v>
      </c>
      <c r="AD109" s="181">
        <f>VLOOKUP(N109,'Highway Loading'!$B$256:$D$261,3,FALSE)</f>
        <v>10000</v>
      </c>
      <c r="AE109" s="181">
        <f>VLOOKUP(S109,'Highway Loading'!$B$340:$C$341,2,FALSE)</f>
        <v>10000</v>
      </c>
      <c r="AF109" s="181">
        <f t="shared" si="98"/>
        <v>1.5137254901960785E-2</v>
      </c>
      <c r="AG109" s="181">
        <f t="shared" si="99"/>
        <v>4.8813559322033901</v>
      </c>
      <c r="AH109" s="181">
        <f t="shared" si="100"/>
        <v>1.1568627450980393</v>
      </c>
      <c r="AI109" s="181">
        <f t="shared" si="101"/>
        <v>26424.870466321241</v>
      </c>
      <c r="AJ109" s="181">
        <f t="shared" si="102"/>
        <v>46800</v>
      </c>
      <c r="AK109" s="181">
        <f>IF(AC109=200,(INDEX(Tables!$B$17:$B$38,MAX(1,MIN(IFERROR(MATCH(AF109,Tables!$A$17:$A$38,1),1),ROWS(Tables!$A$17:$A$38)-1)))+(AF109-INDEX(Tables!$A$17:$A$38,MAX(1,MIN(IFERROR(MATCH(AF109,Tables!$A$17:$A$38,1),1),ROWS(Tables!$A$17:$A$38)-1))))*(INDEX(Tables!$B$17:$B$38,MAX(1,MIN(IFERROR(MATCH(AF109,Tables!$A$17:$A$38,1),1),ROWS(Tables!$A$17:$A$38)-1))+1)-INDEX(Tables!$B$17:$B$38,MAX(1,MIN(IFERROR(MATCH(AF109,Tables!$A$17:$A$38,1),1),ROWS(Tables!$A$17:$A$38)-1))))/(INDEX(Tables!$A$17:$A$38,MAX(1,MIN(IFERROR(MATCH(AF109,Tables!$A$17:$A$38,1),1),ROWS(Tables!$A$17:$A$38)-1))+1)-INDEX(Tables!$A$17:$A$38,MAX(1,MIN(IFERROR(MATCH(AF109,Tables!$A$17:$A$38,1),1),ROWS(Tables!$A$17:$A$38)-1))))),IF(AC109=500,(INDEX(Tables!$D$17:$D$38,MAX(1,MIN(IFERROR(MATCH(AF109,Tables!$C$17:$C$38,1),1),ROWS(Tables!$C$17:$C$38)-1)))+(AF109-INDEX(Tables!$C$17:$C$38,MAX(1,MIN(IFERROR(MATCH(AF109,Tables!$C$17:$C$38,1),1),ROWS(Tables!$C$17:$C$38)-1))))*(INDEX(Tables!$D$17:$D$38,MAX(1,MIN(IFERROR(MATCH(AF109,Tables!$C$17:$C$38,1),1),ROWS(Tables!$C$17:$C$38)-1))+1)-INDEX(Tables!$D$17:$D$38,MAX(1,MIN(IFERROR(MATCH(AF109,Tables!$C$17:$C$38,1),1),ROWS(Tables!$C$17:$C$38)-1))))/(INDEX(Tables!$C$17:$C$38,MAX(1,MIN(IFERROR(MATCH(AF109,Tables!$C$17:$C$38,1),1),ROWS(Tables!$C$17:$C$38)-1))+1)-INDEX(Tables!$C$17:$C$38,MAX(1,MIN(IFERROR(MATCH(AF109,Tables!$C$17:$C$38,1),1),ROWS(Tables!$C$17:$C$38)-1))))),IF(AC109=1000,(INDEX(Tables!$F$17:$F$38,MAX(1,MIN(IFERROR(MATCH(AF109,Tables!$E$17:$E$38,1),1),ROWS(Tables!$E$17:$E$38)-1)))+(AF109-INDEX(Tables!$E$17:$E$38,MAX(1,MIN(IFERROR(MATCH(AF109,Tables!$E$17:$E$38,1),1),ROWS(Tables!$E$17:$E$38)-1))))*(INDEX(Tables!$F$17:$F$38,MAX(1,MIN(IFERROR(MATCH(AF109,Tables!$E$17:$E$38,1),1),ROWS(Tables!$E$17:$E$38)-1))+1)-INDEX(Tables!$F$17:$F$38,MAX(1,MIN(IFERROR(MATCH(AF109,Tables!$E$17:$E$38,1),1),ROWS(Tables!$E$17:$E$38)-1))))/(INDEX(Tables!$E$17:$E$38,MAX(1,MIN(IFERROR(MATCH(AF109,Tables!$E$17:$E$38,1),1),ROWS(Tables!$E$17:$E$38)-1))+1)-INDEX(Tables!$E$17:$E$38,MAX(1,MIN(IFERROR(MATCH(AF109,Tables!$E$17:$E$38,1),1),ROWS(Tables!$E$17:$E$38)-1))))),(INDEX(Tables!$H$17:$H$38,MAX(1,MIN(IFERROR(MATCH(AF109,Tables!$G$17:$G$38,1),1),ROWS(Tables!$G$17:$G$38)-1)))+(AF109-INDEX(Tables!$G$17:$G$38,MAX(1,MIN(IFERROR(MATCH(AF109,Tables!$G$17:$G$38,1),1),ROWS(Tables!$G$17:$G$38)-1))))*(INDEX(Tables!$H$17:$H$38,MAX(1,MIN(IFERROR(MATCH(AF109,Tables!$G$17:$G$38,1),1),ROWS(Tables!$G$17:$G$38)-1))+1)-INDEX(Tables!$H$17:$H$38,MAX(1,MIN(IFERROR(MATCH(AF109,Tables!$G$17:$G$38,1),1),ROWS(Tables!$G$17:$G$38)-1))))/(INDEX(Tables!$G$17:$G$38,MAX(1,MIN(IFERROR(MATCH(AF109,Tables!$G$17:$G$38,1),1),ROWS(Tables!$G$17:$G$38)-1))+1)-INDEX(Tables!$G$17:$G$38,MAX(1,MIN(IFERROR(MATCH(AF109,Tables!$G$17:$G$38,1),1),ROWS(Tables!$G$17:$G$38)-1))))))))</f>
        <v>3235.1960784313724</v>
      </c>
      <c r="AL109" s="181">
        <f>IF(AC109&lt;1000,(INDEX(Tables!$B$43:$B$76,MAX(1,MIN(IFERROR(MATCH(AG109,Tables!$A$43:$A$76,1),1),ROWS(Tables!$A$43:$A$76)-1)))+(AG109-INDEX(Tables!$A$43:$A$76,MAX(1,MIN(IFERROR(MATCH(AG109,Tables!$A$43:$A$76,1),1),ROWS(Tables!$A$43:$A$76)-1))))*(INDEX(Tables!$B$43:$B$76,MAX(1,MIN(IFERROR(MATCH(AG109,Tables!$A$43:$A$76,1),1),ROWS(Tables!$A$43:$A$76)-1))+1)-INDEX(Tables!$B$43:$B$76,MAX(1,MIN(IFERROR(MATCH(AG109,Tables!$A$43:$A$76,1),1),ROWS(Tables!$A$43:$A$76)-1))))/(INDEX(Tables!$A$43:$A$76,MAX(1,MIN(IFERROR(MATCH(AG109,Tables!$A$43:$A$76,1),1),ROWS(Tables!$A$43:$A$76)-1))+1)-INDEX(Tables!$A$43:$A$76,MAX(1,MIN(IFERROR(MATCH(AG109,Tables!$A$43:$A$76,1),1),ROWS(Tables!$A$43:$A$76)-1))))),(INDEX(Tables!$D$43:$D$76,MAX(1,MIN(IFERROR(MATCH(AG109,Tables!$C$43:$C$76,1),1),ROWS(Tables!$C$43:$C$76)-1)))+(AG109-INDEX(Tables!$C$43:$C$76,MAX(1,MIN(IFERROR(MATCH(AG109,Tables!$C$43:$C$76,1),1),ROWS(Tables!$C$43:$C$76)-1))))*(INDEX(Tables!$D$43:$D$76,MAX(1,MIN(IFERROR(MATCH(AG109,Tables!$C$43:$C$76,1),1),ROWS(Tables!$C$43:$C$76)-1))+1)-INDEX(Tables!$D$43:$D$76,MAX(1,MIN(IFERROR(MATCH(AG109,Tables!$C$43:$C$76,1),1),ROWS(Tables!$C$43:$C$76)-1))))/(INDEX(Tables!$C$43:$C$76,MAX(1,MIN(IFERROR(MATCH(AG109,Tables!$C$43:$C$76,1),1),ROWS(Tables!$C$43:$C$76)-1))+1)-INDEX(Tables!$C$43:$C$76,MAX(1,MIN(IFERROR(MATCH(AG109,Tables!$C$43:$C$76,1),1),ROWS(Tables!$C$43:$C$76)-1))))))</f>
        <v>0.95557627118644062</v>
      </c>
      <c r="AM109" s="181">
        <f>(INDEX(Tables!$B$80:$B$87,MAX(1,MIN(IFERROR(MATCH(AH109,Tables!$A$80:$A$87,1),1),ROWS(Tables!$A$80:$A$87)-1)))+(AH109-INDEX(Tables!$A$80:$A$87,MAX(1,MIN(IFERROR(MATCH(AH109,Tables!$A$80:$A$87,1),1),ROWS(Tables!$A$80:$A$87)-1))))*(INDEX(Tables!$B$80:$B$87,MAX(1,MIN(IFERROR(MATCH(AH109,Tables!$A$80:$A$87,1),1),ROWS(Tables!$A$80:$A$87)-1))+1)-INDEX(Tables!$B$80:$B$87,MAX(1,MIN(IFERROR(MATCH(AH109,Tables!$A$80:$A$87,1),1),ROWS(Tables!$A$80:$A$87)-1))))/(INDEX(Tables!$A$80:$A$87,MAX(1,MIN(IFERROR(MATCH(AH109,Tables!$A$80:$A$87,1),1),ROWS(Tables!$A$80:$A$87)-1))+1)-INDEX(Tables!$A$80:$A$87,MAX(1,MIN(IFERROR(MATCH(AH109,Tables!$A$80:$A$87,1),1),ROWS(Tables!$A$80:$A$87)-1)))))</f>
        <v>1.1041078431372553</v>
      </c>
      <c r="AN109" s="181">
        <f t="shared" si="103"/>
        <v>3022.2135746464178</v>
      </c>
      <c r="AO109" s="181">
        <f>(INDEX(Tables!$B$91:$B$94,MAX(1,MIN(IFERROR(MATCH(P109,Tables!$A$91:$A$94,1),1),ROWS(Tables!$A$91:$A$94)-1)))+(P109-INDEX(Tables!$A$91:$A$94,MAX(1,MIN(IFERROR(MATCH(P109,Tables!$A$91:$A$94,1),1),ROWS(Tables!$A$91:$A$94)-1))))*(INDEX(Tables!$B$91:$B$94,MAX(1,MIN(IFERROR(MATCH(P109,Tables!$A$91:$A$94,1),1),ROWS(Tables!$A$91:$A$94)-1))+1)-INDEX(Tables!$B$91:$B$94,MAX(1,MIN(IFERROR(MATCH(P109,Tables!$A$91:$A$94,1),1),ROWS(Tables!$A$91:$A$94)-1))))/(INDEX(Tables!$A$91:$A$94,MAX(1,MIN(IFERROR(MATCH(P109,Tables!$A$91:$A$94,1),1),ROWS(Tables!$A$91:$A$94)-1))+1)-INDEX(Tables!$A$91:$A$94,MAX(1,MIN(IFERROR(MATCH(P109,Tables!$A$91:$A$94,1),1),ROWS(Tables!$A$91:$A$94)-1)))))</f>
        <v>1.476219512195122</v>
      </c>
      <c r="AP109" s="181">
        <f>IF(AD109=5000,(INDEX(Tables!$B$99:$B$118,MAX(1,MIN(IFERROR(MATCH(AF109,Tables!$A$99:$A$118,1),1),ROWS(Tables!$A$99:$A$118)-1)))+(AF109-INDEX(Tables!$A$99:$A$118,MAX(1,MIN(IFERROR(MATCH(AF109,Tables!$A$99:$A$118,1),1),ROWS(Tables!$A$99:$A$118)-1))))*(INDEX(Tables!$B$99:$B$118,MAX(1,MIN(IFERROR(MATCH(AF109,Tables!$A$99:$A$118,1),1),ROWS(Tables!$A$99:$A$118)-1))+1)-INDEX(Tables!$B$99:$B$118,MAX(1,MIN(IFERROR(MATCH(AF109,Tables!$A$99:$A$118,1),1),ROWS(Tables!$A$99:$A$118)-1))))/(INDEX(Tables!$A$99:$A$118,MAX(1,MIN(IFERROR(MATCH(AF109,Tables!$A$99:$A$118,1),1),ROWS(Tables!$A$99:$A$118)-1))+1)-INDEX(Tables!$A$99:$A$118,MAX(1,MIN(IFERROR(MATCH(AF109,Tables!$A$99:$A$118,1),1),ROWS(Tables!$A$99:$A$118)-1))))),IF(AD109=10000,(INDEX(Tables!$D$99:$D$118,MAX(1,MIN(IFERROR(MATCH(AF109,Tables!$C$99:$C$118,1),1),ROWS(Tables!$C$99:$C$118)-1)))+(AF109-INDEX(Tables!$C$99:$C$118,MAX(1,MIN(IFERROR(MATCH(AF109,Tables!$C$99:$C$118,1),1),ROWS(Tables!$C$99:$C$118)-1))))*(INDEX(Tables!$D$99:$D$118,MAX(1,MIN(IFERROR(MATCH(AF109,Tables!$C$99:$C$118,1),1),ROWS(Tables!$C$99:$C$118)-1))+1)-INDEX(Tables!$D$99:$D$118,MAX(1,MIN(IFERROR(MATCH(AF109,Tables!$C$99:$C$118,1),1),ROWS(Tables!$C$99:$C$118)-1))))/(INDEX(Tables!$C$99:$C$118,MAX(1,MIN(IFERROR(MATCH(AF109,Tables!$C$99:$C$118,1),1),ROWS(Tables!$C$99:$C$118)-1))+1)-INDEX(Tables!$C$99:$C$118,MAX(1,MIN(IFERROR(MATCH(AF109,Tables!$C$99:$C$118,1),1),ROWS(Tables!$C$99:$C$118)-1))))),(INDEX(Tables!$F$99:$F$118,MAX(1,MIN(IFERROR(MATCH(AF109,Tables!$E$99:$E$118,1),1),ROWS(Tables!$E$99:$E$118)-1)))+(AF109-INDEX(Tables!$E$99:$E$118,MAX(1,MIN(IFERROR(MATCH(AF109,Tables!$E$99:$E$118,1),1),ROWS(Tables!$E$99:$E$118)-1))))*(INDEX(Tables!$F$99:$F$118,MAX(1,MIN(IFERROR(MATCH(AF109,Tables!$E$99:$E$118,1),1),ROWS(Tables!$E$99:$E$118)-1))+1)-INDEX(Tables!$F$99:$F$118,MAX(1,MIN(IFERROR(MATCH(AF109,Tables!$E$99:$E$118,1),1),ROWS(Tables!$E$99:$E$118)-1))))/(INDEX(Tables!$E$99:$E$118,MAX(1,MIN(IFERROR(MATCH(AF109,Tables!$E$99:$E$118,1),1),ROWS(Tables!$E$99:$E$118)-1))+1)-INDEX(Tables!$E$99:$E$118,MAX(1,MIN(IFERROR(MATCH(AF109,Tables!$E$99:$E$118,1),1),ROWS(Tables!$E$99:$E$118)-1)))))))</f>
        <v>14.719467653728158</v>
      </c>
      <c r="AQ109" s="181">
        <f>IF(P109&lt;6,(INDEX(Tables!$B$123:$B$138,MAX(1,MIN(IFERROR(MATCH(U109,Tables!$A$123:$A$138,1),1),ROWS(Tables!$A$123:$A$138)-1)))+(U109-INDEX(Tables!$A$123:$A$138,MAX(1,MIN(IFERROR(MATCH(U109,Tables!$A$123:$A$138,1),1),ROWS(Tables!$A$123:$A$138)-1))))*(INDEX(Tables!$B$123:$B$138,MAX(1,MIN(IFERROR(MATCH(U109,Tables!$A$123:$A$138,1),1),ROWS(Tables!$A$123:$A$138)-1))+1)-INDEX(Tables!$B$123:$B$138,MAX(1,MIN(IFERROR(MATCH(U109,Tables!$A$123:$A$138,1),1),ROWS(Tables!$A$123:$A$138)-1))))/(INDEX(Tables!$A$123:$A$138,MAX(1,MIN(IFERROR(MATCH(U109,Tables!$A$123:$A$138,1),1),ROWS(Tables!$A$123:$A$138)-1))+1)-INDEX(Tables!$A$123:$A$138,MAX(1,MIN(IFERROR(MATCH(U109,Tables!$A$123:$A$138,1),1),ROWS(Tables!$A$123:$A$138)-1))))),IF(P109&lt;8,(INDEX(Tables!$D$123:$D$138,MAX(1,MIN(IFERROR(MATCH(U109,Tables!$C$123:$C$138,1),1),ROWS(Tables!$C$123:$C$138)-1)))+(U109-INDEX(Tables!$C$123:$C$138,MAX(1,MIN(IFERROR(MATCH(U109,Tables!$C$123:$C$138,1),1),ROWS(Tables!$C$123:$C$138)-1))))*(INDEX(Tables!$D$123:$D$138,MAX(1,MIN(IFERROR(MATCH(U109,Tables!$C$123:$C$138,1),1),ROWS(Tables!$C$123:$C$138)-1))+1)-INDEX(Tables!$D$123:$D$138,MAX(1,MIN(IFERROR(MATCH(U109,Tables!$C$123:$C$138,1),1),ROWS(Tables!$C$123:$C$138)-1))))/(INDEX(Tables!$C$123:$C$138,MAX(1,MIN(IFERROR(MATCH(U109,Tables!$C$123:$C$138,1),1),ROWS(Tables!$C$123:$C$138)-1))+1)-INDEX(Tables!$C$123:$C$138,MAX(1,MIN(IFERROR(MATCH(U109,Tables!$C$123:$C$138,1),1),ROWS(Tables!$C$123:$C$138)-1))))),IF(P109&lt;10,(INDEX(Tables!$F$123:$F$138,MAX(1,MIN(IFERROR(MATCH(U109,Tables!$E$123:$E$138,1),1),ROWS(Tables!$E$123:$E$138)-1)))+(U109-INDEX(Tables!$E$123:$E$138,MAX(1,MIN(IFERROR(MATCH(U109,Tables!$E$123:$E$138,1),1),ROWS(Tables!$E$123:$E$138)-1))))*(INDEX(Tables!$F$123:$F$138,MAX(1,MIN(IFERROR(MATCH(U109,Tables!$E$123:$E$138,1),1),ROWS(Tables!$E$123:$E$138)-1))+1)-INDEX(Tables!$F$123:$F$138,MAX(1,MIN(IFERROR(MATCH(U109,Tables!$E$123:$E$138,1),1),ROWS(Tables!$E$123:$E$138)-1))))/(INDEX(Tables!$E$123:$E$138,MAX(1,MIN(IFERROR(MATCH(U109,Tables!$E$123:$E$138,1),1),ROWS(Tables!$E$123:$E$138)-1))+1)-INDEX(Tables!$E$123:$E$138,MAX(1,MIN(IFERROR(MATCH(U109,Tables!$E$123:$E$138,1),1),ROWS(Tables!$E$123:$E$138)-1))))),(INDEX(Tables!$H$123:$H$138,MAX(1,MIN(IFERROR(MATCH(U109,Tables!$G$123:$G$138,1),1),ROWS(Tables!$G$123:$G$138)-1)))+(U109-INDEX(Tables!$G$123:$G$138,MAX(1,MIN(IFERROR(MATCH(U109,Tables!$G$123:$G$138,1),1),ROWS(Tables!$G$123:$G$138)-1))))*(INDEX(Tables!$H$123:$H$138,MAX(1,MIN(IFERROR(MATCH(U109,Tables!$G$123:$G$138,1),1),ROWS(Tables!$G$123:$G$138)-1))+1)-INDEX(Tables!$H$123:$H$138,MAX(1,MIN(IFERROR(MATCH(U109,Tables!$G$123:$G$138,1),1),ROWS(Tables!$G$123:$G$138)-1))))/(INDEX(Tables!$G$123:$G$138,MAX(1,MIN(IFERROR(MATCH(U109,Tables!$G$123:$G$138,1),1),ROWS(Tables!$G$123:$G$138)-1))+1)-INDEX(Tables!$G$123:$G$138,MAX(1,MIN(IFERROR(MATCH(U109,Tables!$G$123:$G$138,1),1),ROWS(Tables!$G$123:$G$138)-1))))))))</f>
        <v>1.01675</v>
      </c>
      <c r="AR109" s="181">
        <f>IF(OR(P109&gt;=4,U109&gt;12),VLOOKUP(R109&amp;" "&amp;S109,Tables!$D$143:$F$148,2,FALSE),VLOOKUP(R109&amp;" "&amp;S109,Tables!$A$143:$C$148,2,FALSE))</f>
        <v>1</v>
      </c>
      <c r="AS109" s="181">
        <f>IF(OR(P109&gt;=4,U109&gt;12),VLOOKUP(R109&amp;" "&amp;S109,Tables!$D$143:$F$148,3,FALSE),VLOOKUP(R109&amp;" "&amp;S109,Tables!$A$143:$C$148,3,FALSE))</f>
        <v>1</v>
      </c>
      <c r="AT109" s="181">
        <f t="shared" si="104"/>
        <v>1534.245061064657</v>
      </c>
      <c r="AU109" s="181">
        <f>IF(AD109=5000,(INDEX(Tables!$B$244:$B$263,MAX(1,MIN(IFERROR(MATCH(AF109,Tables!$A$244:$A$263,1),1),ROWS(Tables!$A$244:$A$263)-1)))+(AF109-INDEX(Tables!$A$244:$A$263,MAX(1,MIN(IFERROR(MATCH(AF109,Tables!$A$244:$A$263,1),1),ROWS(Tables!$A$244:$A$263)-1))))*(INDEX(Tables!$B$244:$B$263,MAX(1,MIN(IFERROR(MATCH(AF109,Tables!$A$244:$A$263,1),1),ROWS(Tables!$A$244:$A$263)-1))+1)-INDEX(Tables!$B$244:$B$263,MAX(1,MIN(IFERROR(MATCH(AF109,Tables!$A$244:$A$263,1),1),ROWS(Tables!$A$244:$A$263)-1))))/(INDEX(Tables!$A$244:$A$263,MAX(1,MIN(IFERROR(MATCH(AF109,Tables!$A$244:$A$263,1),1),ROWS(Tables!$A$244:$A$263)-1))+1)-INDEX(Tables!$A$244:$A$263,MAX(1,MIN(IFERROR(MATCH(AF109,Tables!$A$244:$A$263,1),1),ROWS(Tables!$A$244:$A$263)-1))))),IF(AD109=10000,(INDEX(Tables!$D$244:$D$263,MAX(1,MIN(IFERROR(MATCH(AF109,Tables!$C$244:$C$263,1),1),ROWS(Tables!$C$244:$C$263)-1)))+(AF109-INDEX(Tables!$C$244:$C$263,MAX(1,MIN(IFERROR(MATCH(AF109,Tables!$C$244:$C$263,1),1),ROWS(Tables!$C$244:$C$263)-1))))*(INDEX(Tables!$D$244:$D$263,MAX(1,MIN(IFERROR(MATCH(AF109,Tables!$C$244:$C$263,1),1),ROWS(Tables!$C$244:$C$263)-1))+1)-INDEX(Tables!$D$244:$D$263,MAX(1,MIN(IFERROR(MATCH(AF109,Tables!$C$244:$C$263,1),1),ROWS(Tables!$C$244:$C$263)-1))))/(INDEX(Tables!$C$244:$C$263,MAX(1,MIN(IFERROR(MATCH(AF109,Tables!$C$244:$C$263,1),1),ROWS(Tables!$C$244:$C$263)-1))+1)-INDEX(Tables!$C$244:$C$263,MAX(1,MIN(IFERROR(MATCH(AF109,Tables!$C$244:$C$263,1),1),ROWS(Tables!$C$244:$C$263)-1))))),(INDEX(Tables!$F$244:$F$263,MAX(1,MIN(IFERROR(MATCH(AF109,Tables!$E$244:$E$263,1),1),ROWS(Tables!$E$244:$E$263)-1)))+(AF109-INDEX(Tables!$E$244:$E$263,MAX(1,MIN(IFERROR(MATCH(AF109,Tables!$E$244:$E$263,1),1),ROWS(Tables!$E$244:$E$263)-1))))*(INDEX(Tables!$F$244:$F$263,MAX(1,MIN(IFERROR(MATCH(AF109,Tables!$E$244:$E$263,1),1),ROWS(Tables!$E$244:$E$263)-1))+1)-INDEX(Tables!$F$244:$F$263,MAX(1,MIN(IFERROR(MATCH(AF109,Tables!$E$244:$E$263,1),1),ROWS(Tables!$E$244:$E$263)-1))))/(INDEX(Tables!$E$244:$E$263,MAX(1,MIN(IFERROR(MATCH(AF109,Tables!$E$244:$E$263,1),1),ROWS(Tables!$E$244:$E$263)-1))+1)-INDEX(Tables!$E$244:$E$263,MAX(1,MIN(IFERROR(MATCH(AF109,Tables!$E$244:$E$263,1),1),ROWS(Tables!$E$244:$E$263)-1)))))))</f>
        <v>9.9936039215686279</v>
      </c>
      <c r="AV109" s="181">
        <f>IF(P109&lt;6,(INDEX(Tables!$B$260:$B$274,MAX(1,MIN(IFERROR(MATCH(U109,Tables!$A$260:$A$274,1),1),ROWS(Tables!$A$260:$A$274)-1)))+(U109-INDEX(Tables!$A$260:$A$274,MAX(1,MIN(IFERROR(MATCH(U109,Tables!$A$260:$A$274,1),1),ROWS(Tables!$A$260:$A$274)-1))))*(INDEX(Tables!$B$260:$B$274,MAX(1,MIN(IFERROR(MATCH(U109,Tables!$A$260:$A$274,1),1),ROWS(Tables!$A$260:$A$274)-1))+1)-INDEX(Tables!$B$260:$B$274,MAX(1,MIN(IFERROR(MATCH(U109,Tables!$A$260:$A$274,1),1),ROWS(Tables!$A$260:$A$274)-1))))/(INDEX(Tables!$A$260:$A$274,MAX(1,MIN(IFERROR(MATCH(U109,Tables!$A$260:$A$274,1),1),ROWS(Tables!$A$260:$A$274)-1))+1)-INDEX(Tables!$A$260:$A$274,MAX(1,MIN(IFERROR(MATCH(U109,Tables!$A$260:$A$274,1),1),ROWS(Tables!$A$260:$A$274)-1))))),IF(P109&lt;8,(INDEX(Tables!$D$260:$D$274,MAX(1,MIN(IFERROR(MATCH(U109,Tables!$C$260:$C$274,1),1),ROWS(Tables!$C$260:$C$274)-1)))+(U109-INDEX(Tables!$C$260:$C$274,MAX(1,MIN(IFERROR(MATCH(U109,Tables!$C$260:$C$274,1),1),ROWS(Tables!$C$260:$C$274)-1))))*(INDEX(Tables!$D$260:$D$274,MAX(1,MIN(IFERROR(MATCH(U109,Tables!$C$260:$C$274,1),1),ROWS(Tables!$C$260:$C$274)-1))+1)-INDEX(Tables!$D$260:$D$274,MAX(1,MIN(IFERROR(MATCH(U109,Tables!$C$260:$C$274,1),1),ROWS(Tables!$C$260:$C$274)-1))))/(INDEX(Tables!$C$260:$C$274,MAX(1,MIN(IFERROR(MATCH(U109,Tables!$C$260:$C$274,1),1),ROWS(Tables!$C$260:$C$274)-1))+1)-INDEX(Tables!$C$260:$C$274,MAX(1,MIN(IFERROR(MATCH(U109,Tables!$C$260:$C$274,1),1),ROWS(Tables!$C$260:$C$274)-1))))),IF(P109&lt;10,(INDEX(Tables!$F$260:$F$274,MAX(1,MIN(IFERROR(MATCH(U109,Tables!$E$260:$E$274,1),1),ROWS(Tables!$E$260:$E$274)-1)))+(U109-INDEX(Tables!$E$260:$E$274,MAX(1,MIN(IFERROR(MATCH(U109,Tables!$E$260:$E$274,1),1),ROWS(Tables!$E$260:$E$274)-1))))*(INDEX(Tables!$F$260:$F$274,MAX(1,MIN(IFERROR(MATCH(U109,Tables!$E$260:$E$274,1),1),ROWS(Tables!$E$260:$E$274)-1))+1)-INDEX(Tables!$F$260:$F$274,MAX(1,MIN(IFERROR(MATCH(U109,Tables!$E$260:$E$274,1),1),ROWS(Tables!$E$260:$E$274)-1))))/(INDEX(Tables!$E$260:$E$274,MAX(1,MIN(IFERROR(MATCH(U109,Tables!$E$260:$E$274,1),1),ROWS(Tables!$E$260:$E$274)-1))+1)-INDEX(Tables!$E$260:$E$274,MAX(1,MIN(IFERROR(MATCH(U109,Tables!$E$260:$E$274,1),1),ROWS(Tables!$E$260:$E$274)-1))))),(INDEX(Tables!$H$260:$H$274,MAX(1,MIN(IFERROR(MATCH(U109,Tables!$G$260:$G$274,1),1),ROWS(Tables!$G$260:$G$274)-1)))+(U109-INDEX(Tables!$G$260:$G$274,MAX(1,MIN(IFERROR(MATCH(U109,Tables!$G$260:$G$274,1),1),ROWS(Tables!$G$260:$G$274)-1))))*(INDEX(Tables!$H$260:$H$274,MAX(1,MIN(IFERROR(MATCH(U109,Tables!$G$260:$G$274,1),1),ROWS(Tables!$G$260:$G$274)-1))+1)-INDEX(Tables!$H$260:$H$274,MAX(1,MIN(IFERROR(MATCH(U109,Tables!$G$260:$G$274,1),1),ROWS(Tables!$G$260:$G$274)-1))))/(INDEX(Tables!$G$260:$G$274,MAX(1,MIN(IFERROR(MATCH(U109,Tables!$G$260:$G$274,1),1),ROWS(Tables!$G$260:$G$274)-1))+1)-INDEX(Tables!$G$260:$G$274,MAX(1,MIN(IFERROR(MATCH(U109,Tables!$G$260:$G$274,1),1),ROWS(Tables!$G$260:$G$274)-1))))))))</f>
        <v>1.0024999999999999</v>
      </c>
      <c r="AW109" s="181">
        <f t="shared" si="105"/>
        <v>1027.0579853426889</v>
      </c>
      <c r="AX109" s="181">
        <f t="shared" si="106"/>
        <v>26024.870466321245</v>
      </c>
      <c r="AY109" s="181">
        <f t="shared" si="107"/>
        <v>30581.329102032319</v>
      </c>
      <c r="AZ109" s="181">
        <f t="shared" si="108"/>
        <v>9741.1831976329886</v>
      </c>
      <c r="BA109" s="181">
        <f t="shared" si="109"/>
        <v>-800</v>
      </c>
      <c r="BB109" s="181">
        <f t="shared" si="110"/>
        <v>27660.586045244712</v>
      </c>
      <c r="BC109" s="181">
        <f t="shared" si="111"/>
        <v>46800</v>
      </c>
      <c r="BD109" s="181">
        <f>VLOOKUP(V109&amp;" "&amp;J109,Tables!$A$152:$E$239,4,FALSE)</f>
        <v>12000</v>
      </c>
      <c r="BE109" s="181">
        <f>VLOOKUP(V109&amp;" "&amp;J109,Tables!$A$152:$E$239,5,FALSE)</f>
        <v>23000</v>
      </c>
      <c r="BF109" s="181">
        <f t="shared" si="112"/>
        <v>8640</v>
      </c>
      <c r="BG109" s="181">
        <f t="shared" si="113"/>
        <v>16560</v>
      </c>
      <c r="BH109" s="181">
        <f t="shared" si="114"/>
        <v>26424.870466321241</v>
      </c>
      <c r="BI109" s="181">
        <f t="shared" si="115"/>
        <v>46800</v>
      </c>
      <c r="BJ109" s="181">
        <f t="shared" si="116"/>
        <v>27660.586045244712</v>
      </c>
      <c r="BK109" s="181">
        <f t="shared" si="117"/>
        <v>46800</v>
      </c>
      <c r="BL109" s="181">
        <f t="shared" si="118"/>
        <v>1027.0579853426889</v>
      </c>
      <c r="BM109" s="181">
        <f t="shared" si="119"/>
        <v>8640</v>
      </c>
      <c r="BN109" s="181">
        <f t="shared" si="120"/>
        <v>1534.245061064657</v>
      </c>
      <c r="BO109" s="181">
        <f t="shared" si="121"/>
        <v>16560</v>
      </c>
      <c r="BP109" t="str">
        <f t="shared" si="122"/>
        <v>Pass</v>
      </c>
      <c r="BQ109" t="str">
        <f t="shared" si="123"/>
        <v>Pass</v>
      </c>
      <c r="BR109" t="str">
        <f t="shared" si="124"/>
        <v>Pass</v>
      </c>
      <c r="BS109" t="str">
        <f t="shared" si="125"/>
        <v>Pass</v>
      </c>
      <c r="BT109" t="str">
        <f t="shared" si="126"/>
        <v>Pass</v>
      </c>
      <c r="BU109" t="str">
        <f t="shared" si="127"/>
        <v>Effective Stress</v>
      </c>
    </row>
    <row r="110" spans="1:73">
      <c r="A110" t="s">
        <v>702</v>
      </c>
      <c r="B110" s="181">
        <v>108</v>
      </c>
      <c r="C110" t="s">
        <v>594</v>
      </c>
      <c r="D110" s="181">
        <v>16</v>
      </c>
      <c r="E110" s="181">
        <v>0.20100000000000001</v>
      </c>
      <c r="F110" t="s">
        <v>117</v>
      </c>
      <c r="G110" t="s">
        <v>119</v>
      </c>
      <c r="H110" t="s">
        <v>122</v>
      </c>
      <c r="I110" s="181">
        <v>1</v>
      </c>
      <c r="J110" t="s">
        <v>126</v>
      </c>
      <c r="K110" t="s">
        <v>129</v>
      </c>
      <c r="L110" s="181">
        <v>70</v>
      </c>
      <c r="M110" s="181">
        <v>1000</v>
      </c>
      <c r="N110" t="s">
        <v>390</v>
      </c>
      <c r="O110" s="181">
        <v>120</v>
      </c>
      <c r="P110" s="181">
        <v>8</v>
      </c>
      <c r="Q110" s="181">
        <v>18</v>
      </c>
      <c r="R110" t="s">
        <v>154</v>
      </c>
      <c r="S110" t="s">
        <v>156</v>
      </c>
      <c r="T110" s="181">
        <v>70</v>
      </c>
      <c r="U110" s="181">
        <f>HLOOKUP(D110,'Highway Loading'!$C$155:$AD$156,2,FALSE)</f>
        <v>16</v>
      </c>
      <c r="V110" s="181">
        <f>IF(ISBLANK(G110),"",INDEX('Highway Loading'!$C$216:$AG$216,1,MATCH(G110,'Highway Loading'!$C$215:$AG$215,0)))</f>
        <v>65000</v>
      </c>
      <c r="W110" s="181">
        <f>INDEX('Highway Loading'!$I$245:$L$253,MATCH(H110,'Highway Loading'!$H$245:$H$253,0),MATCH(I110,'Highway Loading'!$I$244:$L$244,0))</f>
        <v>0.72</v>
      </c>
      <c r="X110" s="181">
        <f t="shared" si="96"/>
        <v>1</v>
      </c>
      <c r="Y110" s="181">
        <f>VLOOKUP(K110,'Highway Loading'!$B$283:$E$292,2,FALSE)</f>
        <v>29000000</v>
      </c>
      <c r="Z110" s="181">
        <f>VLOOKUP(K110,'Highway Loading'!$B$283:$E$292,3,FALSE)</f>
        <v>0.3</v>
      </c>
      <c r="AA110" s="181">
        <f>VLOOKUP(K110,'Highway Loading'!$B$283:$E$292,4,FALSE)</f>
        <v>6.4999999999999996E-6</v>
      </c>
      <c r="AB110" s="181">
        <f t="shared" si="97"/>
        <v>1</v>
      </c>
      <c r="AC110" s="181">
        <f>VLOOKUP(N110,'Highway Loading'!$B$256:$D$261,2,FALSE)</f>
        <v>1000</v>
      </c>
      <c r="AD110" s="181">
        <f>VLOOKUP(N110,'Highway Loading'!$B$256:$D$261,3,FALSE)</f>
        <v>10000</v>
      </c>
      <c r="AE110" s="181">
        <f>VLOOKUP(S110,'Highway Loading'!$B$340:$C$341,2,FALSE)</f>
        <v>10000</v>
      </c>
      <c r="AF110" s="181">
        <f t="shared" si="98"/>
        <v>1.2562500000000001E-2</v>
      </c>
      <c r="AG110" s="181">
        <f t="shared" si="99"/>
        <v>5.333333333333333</v>
      </c>
      <c r="AH110" s="181">
        <f t="shared" si="100"/>
        <v>1.125</v>
      </c>
      <c r="AI110" s="181">
        <f t="shared" si="101"/>
        <v>39800.995024875621</v>
      </c>
      <c r="AJ110" s="181">
        <f t="shared" si="102"/>
        <v>46800</v>
      </c>
      <c r="AK110" s="181">
        <f>IF(AC110=200,(INDEX(Tables!$B$17:$B$38,MAX(1,MIN(IFERROR(MATCH(AF110,Tables!$A$17:$A$38,1),1),ROWS(Tables!$A$17:$A$38)-1)))+(AF110-INDEX(Tables!$A$17:$A$38,MAX(1,MIN(IFERROR(MATCH(AF110,Tables!$A$17:$A$38,1),1),ROWS(Tables!$A$17:$A$38)-1))))*(INDEX(Tables!$B$17:$B$38,MAX(1,MIN(IFERROR(MATCH(AF110,Tables!$A$17:$A$38,1),1),ROWS(Tables!$A$17:$A$38)-1))+1)-INDEX(Tables!$B$17:$B$38,MAX(1,MIN(IFERROR(MATCH(AF110,Tables!$A$17:$A$38,1),1),ROWS(Tables!$A$17:$A$38)-1))))/(INDEX(Tables!$A$17:$A$38,MAX(1,MIN(IFERROR(MATCH(AF110,Tables!$A$17:$A$38,1),1),ROWS(Tables!$A$17:$A$38)-1))+1)-INDEX(Tables!$A$17:$A$38,MAX(1,MIN(IFERROR(MATCH(AF110,Tables!$A$17:$A$38,1),1),ROWS(Tables!$A$17:$A$38)-1))))),IF(AC110=500,(INDEX(Tables!$D$17:$D$38,MAX(1,MIN(IFERROR(MATCH(AF110,Tables!$C$17:$C$38,1),1),ROWS(Tables!$C$17:$C$38)-1)))+(AF110-INDEX(Tables!$C$17:$C$38,MAX(1,MIN(IFERROR(MATCH(AF110,Tables!$C$17:$C$38,1),1),ROWS(Tables!$C$17:$C$38)-1))))*(INDEX(Tables!$D$17:$D$38,MAX(1,MIN(IFERROR(MATCH(AF110,Tables!$C$17:$C$38,1),1),ROWS(Tables!$C$17:$C$38)-1))+1)-INDEX(Tables!$D$17:$D$38,MAX(1,MIN(IFERROR(MATCH(AF110,Tables!$C$17:$C$38,1),1),ROWS(Tables!$C$17:$C$38)-1))))/(INDEX(Tables!$C$17:$C$38,MAX(1,MIN(IFERROR(MATCH(AF110,Tables!$C$17:$C$38,1),1),ROWS(Tables!$C$17:$C$38)-1))+1)-INDEX(Tables!$C$17:$C$38,MAX(1,MIN(IFERROR(MATCH(AF110,Tables!$C$17:$C$38,1),1),ROWS(Tables!$C$17:$C$38)-1))))),IF(AC110=1000,(INDEX(Tables!$F$17:$F$38,MAX(1,MIN(IFERROR(MATCH(AF110,Tables!$E$17:$E$38,1),1),ROWS(Tables!$E$17:$E$38)-1)))+(AF110-INDEX(Tables!$E$17:$E$38,MAX(1,MIN(IFERROR(MATCH(AF110,Tables!$E$17:$E$38,1),1),ROWS(Tables!$E$17:$E$38)-1))))*(INDEX(Tables!$F$17:$F$38,MAX(1,MIN(IFERROR(MATCH(AF110,Tables!$E$17:$E$38,1),1),ROWS(Tables!$E$17:$E$38)-1))+1)-INDEX(Tables!$F$17:$F$38,MAX(1,MIN(IFERROR(MATCH(AF110,Tables!$E$17:$E$38,1),1),ROWS(Tables!$E$17:$E$38)-1))))/(INDEX(Tables!$E$17:$E$38,MAX(1,MIN(IFERROR(MATCH(AF110,Tables!$E$17:$E$38,1),1),ROWS(Tables!$E$17:$E$38)-1))+1)-INDEX(Tables!$E$17:$E$38,MAX(1,MIN(IFERROR(MATCH(AF110,Tables!$E$17:$E$38,1),1),ROWS(Tables!$E$17:$E$38)-1))))),(INDEX(Tables!$H$17:$H$38,MAX(1,MIN(IFERROR(MATCH(AF110,Tables!$G$17:$G$38,1),1),ROWS(Tables!$G$17:$G$38)-1)))+(AF110-INDEX(Tables!$G$17:$G$38,MAX(1,MIN(IFERROR(MATCH(AF110,Tables!$G$17:$G$38,1),1),ROWS(Tables!$G$17:$G$38)-1))))*(INDEX(Tables!$H$17:$H$38,MAX(1,MIN(IFERROR(MATCH(AF110,Tables!$G$17:$G$38,1),1),ROWS(Tables!$G$17:$G$38)-1))+1)-INDEX(Tables!$H$17:$H$38,MAX(1,MIN(IFERROR(MATCH(AF110,Tables!$G$17:$G$38,1),1),ROWS(Tables!$G$17:$G$38)-1))))/(INDEX(Tables!$G$17:$G$38,MAX(1,MIN(IFERROR(MATCH(AF110,Tables!$G$17:$G$38,1),1),ROWS(Tables!$G$17:$G$38)-1))+1)-INDEX(Tables!$G$17:$G$38,MAX(1,MIN(IFERROR(MATCH(AF110,Tables!$G$17:$G$38,1),1),ROWS(Tables!$G$17:$G$38)-1))))))))</f>
        <v>3866.4749999999999</v>
      </c>
      <c r="AL110" s="181">
        <f>IF(AC110&lt;1000,(INDEX(Tables!$B$43:$B$76,MAX(1,MIN(IFERROR(MATCH(AG110,Tables!$A$43:$A$76,1),1),ROWS(Tables!$A$43:$A$76)-1)))+(AG110-INDEX(Tables!$A$43:$A$76,MAX(1,MIN(IFERROR(MATCH(AG110,Tables!$A$43:$A$76,1),1),ROWS(Tables!$A$43:$A$76)-1))))*(INDEX(Tables!$B$43:$B$76,MAX(1,MIN(IFERROR(MATCH(AG110,Tables!$A$43:$A$76,1),1),ROWS(Tables!$A$43:$A$76)-1))+1)-INDEX(Tables!$B$43:$B$76,MAX(1,MIN(IFERROR(MATCH(AG110,Tables!$A$43:$A$76,1),1),ROWS(Tables!$A$43:$A$76)-1))))/(INDEX(Tables!$A$43:$A$76,MAX(1,MIN(IFERROR(MATCH(AG110,Tables!$A$43:$A$76,1),1),ROWS(Tables!$A$43:$A$76)-1))+1)-INDEX(Tables!$A$43:$A$76,MAX(1,MIN(IFERROR(MATCH(AG110,Tables!$A$43:$A$76,1),1),ROWS(Tables!$A$43:$A$76)-1))))),(INDEX(Tables!$D$43:$D$76,MAX(1,MIN(IFERROR(MATCH(AG110,Tables!$C$43:$C$76,1),1),ROWS(Tables!$C$43:$C$76)-1)))+(AG110-INDEX(Tables!$C$43:$C$76,MAX(1,MIN(IFERROR(MATCH(AG110,Tables!$C$43:$C$76,1),1),ROWS(Tables!$C$43:$C$76)-1))))*(INDEX(Tables!$D$43:$D$76,MAX(1,MIN(IFERROR(MATCH(AG110,Tables!$C$43:$C$76,1),1),ROWS(Tables!$C$43:$C$76)-1))+1)-INDEX(Tables!$D$43:$D$76,MAX(1,MIN(IFERROR(MATCH(AG110,Tables!$C$43:$C$76,1),1),ROWS(Tables!$C$43:$C$76)-1))))/(INDEX(Tables!$C$43:$C$76,MAX(1,MIN(IFERROR(MATCH(AG110,Tables!$C$43:$C$76,1),1),ROWS(Tables!$C$43:$C$76)-1))+1)-INDEX(Tables!$C$43:$C$76,MAX(1,MIN(IFERROR(MATCH(AG110,Tables!$C$43:$C$76,1),1),ROWS(Tables!$C$43:$C$76)-1))))))</f>
        <v>0.98666666666666658</v>
      </c>
      <c r="AM110" s="181">
        <f>(INDEX(Tables!$B$80:$B$87,MAX(1,MIN(IFERROR(MATCH(AH110,Tables!$A$80:$A$87,1),1),ROWS(Tables!$A$80:$A$87)-1)))+(AH110-INDEX(Tables!$A$80:$A$87,MAX(1,MIN(IFERROR(MATCH(AH110,Tables!$A$80:$A$87,1),1),ROWS(Tables!$A$80:$A$87)-1))))*(INDEX(Tables!$B$80:$B$87,MAX(1,MIN(IFERROR(MATCH(AH110,Tables!$A$80:$A$87,1),1),ROWS(Tables!$A$80:$A$87)-1))+1)-INDEX(Tables!$B$80:$B$87,MAX(1,MIN(IFERROR(MATCH(AH110,Tables!$A$80:$A$87,1),1),ROWS(Tables!$A$80:$A$87)-1))))/(INDEX(Tables!$A$80:$A$87,MAX(1,MIN(IFERROR(MATCH(AH110,Tables!$A$80:$A$87,1),1),ROWS(Tables!$A$80:$A$87)-1))+1)-INDEX(Tables!$A$80:$A$87,MAX(1,MIN(IFERROR(MATCH(AH110,Tables!$A$80:$A$87,1),1),ROWS(Tables!$A$80:$A$87)-1)))))</f>
        <v>1.04345</v>
      </c>
      <c r="AN110" s="181">
        <f t="shared" si="103"/>
        <v>4422.9781787777774</v>
      </c>
      <c r="AO110" s="181">
        <f>(INDEX(Tables!$B$91:$B$94,MAX(1,MIN(IFERROR(MATCH(P110,Tables!$A$91:$A$94,1),1),ROWS(Tables!$A$91:$A$94)-1)))+(P110-INDEX(Tables!$A$91:$A$94,MAX(1,MIN(IFERROR(MATCH(P110,Tables!$A$91:$A$94,1),1),ROWS(Tables!$A$91:$A$94)-1))))*(INDEX(Tables!$B$91:$B$94,MAX(1,MIN(IFERROR(MATCH(P110,Tables!$A$91:$A$94,1),1),ROWS(Tables!$A$91:$A$94)-1))+1)-INDEX(Tables!$B$91:$B$94,MAX(1,MIN(IFERROR(MATCH(P110,Tables!$A$91:$A$94,1),1),ROWS(Tables!$A$91:$A$94)-1))))/(INDEX(Tables!$A$91:$A$94,MAX(1,MIN(IFERROR(MATCH(P110,Tables!$A$91:$A$94,1),1),ROWS(Tables!$A$91:$A$94)-1))+1)-INDEX(Tables!$A$91:$A$94,MAX(1,MIN(IFERROR(MATCH(P110,Tables!$A$91:$A$94,1),1),ROWS(Tables!$A$91:$A$94)-1)))))</f>
        <v>1.4152439024390244</v>
      </c>
      <c r="AP110" s="181">
        <f>IF(AD110=5000,(INDEX(Tables!$B$99:$B$118,MAX(1,MIN(IFERROR(MATCH(AF110,Tables!$A$99:$A$118,1),1),ROWS(Tables!$A$99:$A$118)-1)))+(AF110-INDEX(Tables!$A$99:$A$118,MAX(1,MIN(IFERROR(MATCH(AF110,Tables!$A$99:$A$118,1),1),ROWS(Tables!$A$99:$A$118)-1))))*(INDEX(Tables!$B$99:$B$118,MAX(1,MIN(IFERROR(MATCH(AF110,Tables!$A$99:$A$118,1),1),ROWS(Tables!$A$99:$A$118)-1))+1)-INDEX(Tables!$B$99:$B$118,MAX(1,MIN(IFERROR(MATCH(AF110,Tables!$A$99:$A$118,1),1),ROWS(Tables!$A$99:$A$118)-1))))/(INDEX(Tables!$A$99:$A$118,MAX(1,MIN(IFERROR(MATCH(AF110,Tables!$A$99:$A$118,1),1),ROWS(Tables!$A$99:$A$118)-1))+1)-INDEX(Tables!$A$99:$A$118,MAX(1,MIN(IFERROR(MATCH(AF110,Tables!$A$99:$A$118,1),1),ROWS(Tables!$A$99:$A$118)-1))))),IF(AD110=10000,(INDEX(Tables!$D$99:$D$118,MAX(1,MIN(IFERROR(MATCH(AF110,Tables!$C$99:$C$118,1),1),ROWS(Tables!$C$99:$C$118)-1)))+(AF110-INDEX(Tables!$C$99:$C$118,MAX(1,MIN(IFERROR(MATCH(AF110,Tables!$C$99:$C$118,1),1),ROWS(Tables!$C$99:$C$118)-1))))*(INDEX(Tables!$D$99:$D$118,MAX(1,MIN(IFERROR(MATCH(AF110,Tables!$C$99:$C$118,1),1),ROWS(Tables!$C$99:$C$118)-1))+1)-INDEX(Tables!$D$99:$D$118,MAX(1,MIN(IFERROR(MATCH(AF110,Tables!$C$99:$C$118,1),1),ROWS(Tables!$C$99:$C$118)-1))))/(INDEX(Tables!$C$99:$C$118,MAX(1,MIN(IFERROR(MATCH(AF110,Tables!$C$99:$C$118,1),1),ROWS(Tables!$C$99:$C$118)-1))+1)-INDEX(Tables!$C$99:$C$118,MAX(1,MIN(IFERROR(MATCH(AF110,Tables!$C$99:$C$118,1),1),ROWS(Tables!$C$99:$C$118)-1))))),(INDEX(Tables!$F$99:$F$118,MAX(1,MIN(IFERROR(MATCH(AF110,Tables!$E$99:$E$118,1),1),ROWS(Tables!$E$99:$E$118)-1)))+(AF110-INDEX(Tables!$E$99:$E$118,MAX(1,MIN(IFERROR(MATCH(AF110,Tables!$E$99:$E$118,1),1),ROWS(Tables!$E$99:$E$118)-1))))*(INDEX(Tables!$F$99:$F$118,MAX(1,MIN(IFERROR(MATCH(AF110,Tables!$E$99:$E$118,1),1),ROWS(Tables!$E$99:$E$118)-1))+1)-INDEX(Tables!$F$99:$F$118,MAX(1,MIN(IFERROR(MATCH(AF110,Tables!$E$99:$E$118,1),1),ROWS(Tables!$E$99:$E$118)-1))))/(INDEX(Tables!$E$99:$E$118,MAX(1,MIN(IFERROR(MATCH(AF110,Tables!$E$99:$E$118,1),1),ROWS(Tables!$E$99:$E$118)-1))+1)-INDEX(Tables!$E$99:$E$118,MAX(1,MIN(IFERROR(MATCH(AF110,Tables!$E$99:$E$118,1),1),ROWS(Tables!$E$99:$E$118)-1)))))))</f>
        <v>14.196524590163936</v>
      </c>
      <c r="AQ110" s="181">
        <f>IF(P110&lt;6,(INDEX(Tables!$B$123:$B$138,MAX(1,MIN(IFERROR(MATCH(U110,Tables!$A$123:$A$138,1),1),ROWS(Tables!$A$123:$A$138)-1)))+(U110-INDEX(Tables!$A$123:$A$138,MAX(1,MIN(IFERROR(MATCH(U110,Tables!$A$123:$A$138,1),1),ROWS(Tables!$A$123:$A$138)-1))))*(INDEX(Tables!$B$123:$B$138,MAX(1,MIN(IFERROR(MATCH(U110,Tables!$A$123:$A$138,1),1),ROWS(Tables!$A$123:$A$138)-1))+1)-INDEX(Tables!$B$123:$B$138,MAX(1,MIN(IFERROR(MATCH(U110,Tables!$A$123:$A$138,1),1),ROWS(Tables!$A$123:$A$138)-1))))/(INDEX(Tables!$A$123:$A$138,MAX(1,MIN(IFERROR(MATCH(U110,Tables!$A$123:$A$138,1),1),ROWS(Tables!$A$123:$A$138)-1))+1)-INDEX(Tables!$A$123:$A$138,MAX(1,MIN(IFERROR(MATCH(U110,Tables!$A$123:$A$138,1),1),ROWS(Tables!$A$123:$A$138)-1))))),IF(P110&lt;8,(INDEX(Tables!$D$123:$D$138,MAX(1,MIN(IFERROR(MATCH(U110,Tables!$C$123:$C$138,1),1),ROWS(Tables!$C$123:$C$138)-1)))+(U110-INDEX(Tables!$C$123:$C$138,MAX(1,MIN(IFERROR(MATCH(U110,Tables!$C$123:$C$138,1),1),ROWS(Tables!$C$123:$C$138)-1))))*(INDEX(Tables!$D$123:$D$138,MAX(1,MIN(IFERROR(MATCH(U110,Tables!$C$123:$C$138,1),1),ROWS(Tables!$C$123:$C$138)-1))+1)-INDEX(Tables!$D$123:$D$138,MAX(1,MIN(IFERROR(MATCH(U110,Tables!$C$123:$C$138,1),1),ROWS(Tables!$C$123:$C$138)-1))))/(INDEX(Tables!$C$123:$C$138,MAX(1,MIN(IFERROR(MATCH(U110,Tables!$C$123:$C$138,1),1),ROWS(Tables!$C$123:$C$138)-1))+1)-INDEX(Tables!$C$123:$C$138,MAX(1,MIN(IFERROR(MATCH(U110,Tables!$C$123:$C$138,1),1),ROWS(Tables!$C$123:$C$138)-1))))),IF(P110&lt;10,(INDEX(Tables!$F$123:$F$138,MAX(1,MIN(IFERROR(MATCH(U110,Tables!$E$123:$E$138,1),1),ROWS(Tables!$E$123:$E$138)-1)))+(U110-INDEX(Tables!$E$123:$E$138,MAX(1,MIN(IFERROR(MATCH(U110,Tables!$E$123:$E$138,1),1),ROWS(Tables!$E$123:$E$138)-1))))*(INDEX(Tables!$F$123:$F$138,MAX(1,MIN(IFERROR(MATCH(U110,Tables!$E$123:$E$138,1),1),ROWS(Tables!$E$123:$E$138)-1))+1)-INDEX(Tables!$F$123:$F$138,MAX(1,MIN(IFERROR(MATCH(U110,Tables!$E$123:$E$138,1),1),ROWS(Tables!$E$123:$E$138)-1))))/(INDEX(Tables!$E$123:$E$138,MAX(1,MIN(IFERROR(MATCH(U110,Tables!$E$123:$E$138,1),1),ROWS(Tables!$E$123:$E$138)-1))+1)-INDEX(Tables!$E$123:$E$138,MAX(1,MIN(IFERROR(MATCH(U110,Tables!$E$123:$E$138,1),1),ROWS(Tables!$E$123:$E$138)-1))))),(INDEX(Tables!$H$123:$H$138,MAX(1,MIN(IFERROR(MATCH(U110,Tables!$G$123:$G$138,1),1),ROWS(Tables!$G$123:$G$138)-1)))+(U110-INDEX(Tables!$G$123:$G$138,MAX(1,MIN(IFERROR(MATCH(U110,Tables!$G$123:$G$138,1),1),ROWS(Tables!$G$123:$G$138)-1))))*(INDEX(Tables!$H$123:$H$138,MAX(1,MIN(IFERROR(MATCH(U110,Tables!$G$123:$G$138,1),1),ROWS(Tables!$G$123:$G$138)-1))+1)-INDEX(Tables!$H$123:$H$138,MAX(1,MIN(IFERROR(MATCH(U110,Tables!$G$123:$G$138,1),1),ROWS(Tables!$G$123:$G$138)-1))))/(INDEX(Tables!$G$123:$G$138,MAX(1,MIN(IFERROR(MATCH(U110,Tables!$G$123:$G$138,1),1),ROWS(Tables!$G$123:$G$138)-1))+1)-INDEX(Tables!$G$123:$G$138,MAX(1,MIN(IFERROR(MATCH(U110,Tables!$G$123:$G$138,1),1),ROWS(Tables!$G$123:$G$138)-1))))))))</f>
        <v>0.79200000000000004</v>
      </c>
      <c r="AR110" s="181">
        <f>IF(OR(P110&gt;=4,U110&gt;12),VLOOKUP(R110&amp;" "&amp;S110,Tables!$D$143:$F$148,2,FALSE),VLOOKUP(R110&amp;" "&amp;S110,Tables!$A$143:$C$148,2,FALSE))</f>
        <v>1</v>
      </c>
      <c r="AS110" s="181">
        <f>IF(OR(P110&gt;=4,U110&gt;12),VLOOKUP(R110&amp;" "&amp;S110,Tables!$D$143:$F$148,3,FALSE),VLOOKUP(R110&amp;" "&amp;S110,Tables!$A$143:$C$148,3,FALSE))</f>
        <v>1</v>
      </c>
      <c r="AT110" s="181">
        <f t="shared" si="104"/>
        <v>1105.0349674130348</v>
      </c>
      <c r="AU110" s="181">
        <f>IF(AD110=5000,(INDEX(Tables!$B$244:$B$263,MAX(1,MIN(IFERROR(MATCH(AF110,Tables!$A$244:$A$263,1),1),ROWS(Tables!$A$244:$A$263)-1)))+(AF110-INDEX(Tables!$A$244:$A$263,MAX(1,MIN(IFERROR(MATCH(AF110,Tables!$A$244:$A$263,1),1),ROWS(Tables!$A$244:$A$263)-1))))*(INDEX(Tables!$B$244:$B$263,MAX(1,MIN(IFERROR(MATCH(AF110,Tables!$A$244:$A$263,1),1),ROWS(Tables!$A$244:$A$263)-1))+1)-INDEX(Tables!$B$244:$B$263,MAX(1,MIN(IFERROR(MATCH(AF110,Tables!$A$244:$A$263,1),1),ROWS(Tables!$A$244:$A$263)-1))))/(INDEX(Tables!$A$244:$A$263,MAX(1,MIN(IFERROR(MATCH(AF110,Tables!$A$244:$A$263,1),1),ROWS(Tables!$A$244:$A$263)-1))+1)-INDEX(Tables!$A$244:$A$263,MAX(1,MIN(IFERROR(MATCH(AF110,Tables!$A$244:$A$263,1),1),ROWS(Tables!$A$244:$A$263)-1))))),IF(AD110=10000,(INDEX(Tables!$D$244:$D$263,MAX(1,MIN(IFERROR(MATCH(AF110,Tables!$C$244:$C$263,1),1),ROWS(Tables!$C$244:$C$263)-1)))+(AF110-INDEX(Tables!$C$244:$C$263,MAX(1,MIN(IFERROR(MATCH(AF110,Tables!$C$244:$C$263,1),1),ROWS(Tables!$C$244:$C$263)-1))))*(INDEX(Tables!$D$244:$D$263,MAX(1,MIN(IFERROR(MATCH(AF110,Tables!$C$244:$C$263,1),1),ROWS(Tables!$C$244:$C$263)-1))+1)-INDEX(Tables!$D$244:$D$263,MAX(1,MIN(IFERROR(MATCH(AF110,Tables!$C$244:$C$263,1),1),ROWS(Tables!$C$244:$C$263)-1))))/(INDEX(Tables!$C$244:$C$263,MAX(1,MIN(IFERROR(MATCH(AF110,Tables!$C$244:$C$263,1),1),ROWS(Tables!$C$244:$C$263)-1))+1)-INDEX(Tables!$C$244:$C$263,MAX(1,MIN(IFERROR(MATCH(AF110,Tables!$C$244:$C$263,1),1),ROWS(Tables!$C$244:$C$263)-1))))),(INDEX(Tables!$F$244:$F$263,MAX(1,MIN(IFERROR(MATCH(AF110,Tables!$E$244:$E$263,1),1),ROWS(Tables!$E$244:$E$263)-1)))+(AF110-INDEX(Tables!$E$244:$E$263,MAX(1,MIN(IFERROR(MATCH(AF110,Tables!$E$244:$E$263,1),1),ROWS(Tables!$E$244:$E$263)-1))))*(INDEX(Tables!$F$244:$F$263,MAX(1,MIN(IFERROR(MATCH(AF110,Tables!$E$244:$E$263,1),1),ROWS(Tables!$E$244:$E$263)-1))+1)-INDEX(Tables!$F$244:$F$263,MAX(1,MIN(IFERROR(MATCH(AF110,Tables!$E$244:$E$263,1),1),ROWS(Tables!$E$244:$E$263)-1))))/(INDEX(Tables!$E$244:$E$263,MAX(1,MIN(IFERROR(MATCH(AF110,Tables!$E$244:$E$263,1),1),ROWS(Tables!$E$244:$E$263)-1))+1)-INDEX(Tables!$E$244:$E$263,MAX(1,MIN(IFERROR(MATCH(AF110,Tables!$E$244:$E$263,1),1),ROWS(Tables!$E$244:$E$263)-1)))))))</f>
        <v>9.8737916666666656</v>
      </c>
      <c r="AV110" s="181">
        <f>IF(P110&lt;6,(INDEX(Tables!$B$260:$B$274,MAX(1,MIN(IFERROR(MATCH(U110,Tables!$A$260:$A$274,1),1),ROWS(Tables!$A$260:$A$274)-1)))+(U110-INDEX(Tables!$A$260:$A$274,MAX(1,MIN(IFERROR(MATCH(U110,Tables!$A$260:$A$274,1),1),ROWS(Tables!$A$260:$A$274)-1))))*(INDEX(Tables!$B$260:$B$274,MAX(1,MIN(IFERROR(MATCH(U110,Tables!$A$260:$A$274,1),1),ROWS(Tables!$A$260:$A$274)-1))+1)-INDEX(Tables!$B$260:$B$274,MAX(1,MIN(IFERROR(MATCH(U110,Tables!$A$260:$A$274,1),1),ROWS(Tables!$A$260:$A$274)-1))))/(INDEX(Tables!$A$260:$A$274,MAX(1,MIN(IFERROR(MATCH(U110,Tables!$A$260:$A$274,1),1),ROWS(Tables!$A$260:$A$274)-1))+1)-INDEX(Tables!$A$260:$A$274,MAX(1,MIN(IFERROR(MATCH(U110,Tables!$A$260:$A$274,1),1),ROWS(Tables!$A$260:$A$274)-1))))),IF(P110&lt;8,(INDEX(Tables!$D$260:$D$274,MAX(1,MIN(IFERROR(MATCH(U110,Tables!$C$260:$C$274,1),1),ROWS(Tables!$C$260:$C$274)-1)))+(U110-INDEX(Tables!$C$260:$C$274,MAX(1,MIN(IFERROR(MATCH(U110,Tables!$C$260:$C$274,1),1),ROWS(Tables!$C$260:$C$274)-1))))*(INDEX(Tables!$D$260:$D$274,MAX(1,MIN(IFERROR(MATCH(U110,Tables!$C$260:$C$274,1),1),ROWS(Tables!$C$260:$C$274)-1))+1)-INDEX(Tables!$D$260:$D$274,MAX(1,MIN(IFERROR(MATCH(U110,Tables!$C$260:$C$274,1),1),ROWS(Tables!$C$260:$C$274)-1))))/(INDEX(Tables!$C$260:$C$274,MAX(1,MIN(IFERROR(MATCH(U110,Tables!$C$260:$C$274,1),1),ROWS(Tables!$C$260:$C$274)-1))+1)-INDEX(Tables!$C$260:$C$274,MAX(1,MIN(IFERROR(MATCH(U110,Tables!$C$260:$C$274,1),1),ROWS(Tables!$C$260:$C$274)-1))))),IF(P110&lt;10,(INDEX(Tables!$F$260:$F$274,MAX(1,MIN(IFERROR(MATCH(U110,Tables!$E$260:$E$274,1),1),ROWS(Tables!$E$260:$E$274)-1)))+(U110-INDEX(Tables!$E$260:$E$274,MAX(1,MIN(IFERROR(MATCH(U110,Tables!$E$260:$E$274,1),1),ROWS(Tables!$E$260:$E$274)-1))))*(INDEX(Tables!$F$260:$F$274,MAX(1,MIN(IFERROR(MATCH(U110,Tables!$E$260:$E$274,1),1),ROWS(Tables!$E$260:$E$274)-1))+1)-INDEX(Tables!$F$260:$F$274,MAX(1,MIN(IFERROR(MATCH(U110,Tables!$E$260:$E$274,1),1),ROWS(Tables!$E$260:$E$274)-1))))/(INDEX(Tables!$E$260:$E$274,MAX(1,MIN(IFERROR(MATCH(U110,Tables!$E$260:$E$274,1),1),ROWS(Tables!$E$260:$E$274)-1))+1)-INDEX(Tables!$E$260:$E$274,MAX(1,MIN(IFERROR(MATCH(U110,Tables!$E$260:$E$274,1),1),ROWS(Tables!$E$260:$E$274)-1))))),(INDEX(Tables!$H$260:$H$274,MAX(1,MIN(IFERROR(MATCH(U110,Tables!$G$260:$G$274,1),1),ROWS(Tables!$G$260:$G$274)-1)))+(U110-INDEX(Tables!$G$260:$G$274,MAX(1,MIN(IFERROR(MATCH(U110,Tables!$G$260:$G$274,1),1),ROWS(Tables!$G$260:$G$274)-1))))*(INDEX(Tables!$H$260:$H$274,MAX(1,MIN(IFERROR(MATCH(U110,Tables!$G$260:$G$274,1),1),ROWS(Tables!$G$260:$G$274)-1))+1)-INDEX(Tables!$H$260:$H$274,MAX(1,MIN(IFERROR(MATCH(U110,Tables!$G$260:$G$274,1),1),ROWS(Tables!$G$260:$G$274)-1))))/(INDEX(Tables!$G$260:$G$274,MAX(1,MIN(IFERROR(MATCH(U110,Tables!$G$260:$G$274,1),1),ROWS(Tables!$G$260:$G$274)-1))+1)-INDEX(Tables!$G$260:$G$274,MAX(1,MIN(IFERROR(MATCH(U110,Tables!$G$260:$G$274,1),1),ROWS(Tables!$G$260:$G$274)-1))))))))</f>
        <v>0.84099999999999997</v>
      </c>
      <c r="AW110" s="181">
        <f t="shared" si="105"/>
        <v>816.11010566812035</v>
      </c>
      <c r="AX110" s="181">
        <f t="shared" si="106"/>
        <v>39300.995024875621</v>
      </c>
      <c r="AY110" s="181">
        <f t="shared" si="107"/>
        <v>44829.008171066431</v>
      </c>
      <c r="AZ110" s="181">
        <f t="shared" si="108"/>
        <v>13933.302066764139</v>
      </c>
      <c r="BA110" s="181">
        <f t="shared" si="109"/>
        <v>-1000</v>
      </c>
      <c r="BB110" s="181">
        <f t="shared" si="110"/>
        <v>40483.614933972472</v>
      </c>
      <c r="BC110" s="181">
        <f t="shared" si="111"/>
        <v>46800</v>
      </c>
      <c r="BD110" s="181">
        <f>VLOOKUP(V110&amp;" "&amp;J110,Tables!$A$152:$E$239,4,FALSE)</f>
        <v>12000</v>
      </c>
      <c r="BE110" s="181">
        <f>VLOOKUP(V110&amp;" "&amp;J110,Tables!$A$152:$E$239,5,FALSE)</f>
        <v>23000</v>
      </c>
      <c r="BF110" s="181">
        <f t="shared" si="112"/>
        <v>8640</v>
      </c>
      <c r="BG110" s="181">
        <f t="shared" si="113"/>
        <v>16560</v>
      </c>
      <c r="BH110" s="181">
        <f t="shared" si="114"/>
        <v>39800.995024875621</v>
      </c>
      <c r="BI110" s="181">
        <f t="shared" si="115"/>
        <v>46800</v>
      </c>
      <c r="BJ110" s="181">
        <f t="shared" si="116"/>
        <v>40483.614933972472</v>
      </c>
      <c r="BK110" s="181">
        <f t="shared" si="117"/>
        <v>46800</v>
      </c>
      <c r="BL110" s="181">
        <f t="shared" si="118"/>
        <v>816.11010566812035</v>
      </c>
      <c r="BM110" s="181">
        <f t="shared" si="119"/>
        <v>8640</v>
      </c>
      <c r="BN110" s="181">
        <f t="shared" si="120"/>
        <v>1105.0349674130348</v>
      </c>
      <c r="BO110" s="181">
        <f t="shared" si="121"/>
        <v>16560</v>
      </c>
      <c r="BP110" t="str">
        <f t="shared" si="122"/>
        <v>Pass</v>
      </c>
      <c r="BQ110" t="str">
        <f t="shared" si="123"/>
        <v>Pass</v>
      </c>
      <c r="BR110" t="str">
        <f t="shared" si="124"/>
        <v>Pass</v>
      </c>
      <c r="BS110" t="str">
        <f t="shared" si="125"/>
        <v>Pass</v>
      </c>
      <c r="BT110" t="str">
        <f t="shared" si="126"/>
        <v>Pass</v>
      </c>
      <c r="BU110" t="str">
        <f t="shared" si="127"/>
        <v>Effective Stress</v>
      </c>
    </row>
    <row r="111" spans="1:73">
      <c r="A111" t="s">
        <v>703</v>
      </c>
      <c r="B111" s="181">
        <v>109</v>
      </c>
      <c r="C111" t="s">
        <v>594</v>
      </c>
      <c r="D111" s="181">
        <v>24</v>
      </c>
      <c r="E111" s="181">
        <v>0.26300000000000001</v>
      </c>
      <c r="F111" t="s">
        <v>117</v>
      </c>
      <c r="G111" t="s">
        <v>119</v>
      </c>
      <c r="H111" t="s">
        <v>122</v>
      </c>
      <c r="I111" s="181">
        <v>1</v>
      </c>
      <c r="J111" t="s">
        <v>126</v>
      </c>
      <c r="K111" t="s">
        <v>129</v>
      </c>
      <c r="L111" s="181">
        <v>70</v>
      </c>
      <c r="M111" s="181">
        <v>1000</v>
      </c>
      <c r="N111" t="s">
        <v>390</v>
      </c>
      <c r="O111" s="181">
        <v>120</v>
      </c>
      <c r="P111" s="181">
        <v>10</v>
      </c>
      <c r="Q111" s="181">
        <v>26</v>
      </c>
      <c r="R111" t="s">
        <v>154</v>
      </c>
      <c r="S111" t="s">
        <v>156</v>
      </c>
      <c r="T111" s="181">
        <v>70</v>
      </c>
      <c r="U111" s="181">
        <f>HLOOKUP(D111,'Highway Loading'!$C$155:$AD$156,2,FALSE)</f>
        <v>24</v>
      </c>
      <c r="V111" s="181">
        <f>IF(ISBLANK(G111),"",INDEX('Highway Loading'!$C$216:$AG$216,1,MATCH(G111,'Highway Loading'!$C$215:$AG$215,0)))</f>
        <v>65000</v>
      </c>
      <c r="W111" s="181">
        <f>INDEX('Highway Loading'!$I$245:$L$253,MATCH(H111,'Highway Loading'!$H$245:$H$253,0),MATCH(I111,'Highway Loading'!$I$244:$L$244,0))</f>
        <v>0.72</v>
      </c>
      <c r="X111" s="181">
        <f t="shared" si="96"/>
        <v>1</v>
      </c>
      <c r="Y111" s="181">
        <f>VLOOKUP(K111,'Highway Loading'!$B$283:$E$292,2,FALSE)</f>
        <v>29000000</v>
      </c>
      <c r="Z111" s="181">
        <f>VLOOKUP(K111,'Highway Loading'!$B$283:$E$292,3,FALSE)</f>
        <v>0.3</v>
      </c>
      <c r="AA111" s="181">
        <f>VLOOKUP(K111,'Highway Loading'!$B$283:$E$292,4,FALSE)</f>
        <v>6.4999999999999996E-6</v>
      </c>
      <c r="AB111" s="181">
        <f t="shared" si="97"/>
        <v>1</v>
      </c>
      <c r="AC111" s="181">
        <f>VLOOKUP(N111,'Highway Loading'!$B$256:$D$261,2,FALSE)</f>
        <v>1000</v>
      </c>
      <c r="AD111" s="181">
        <f>VLOOKUP(N111,'Highway Loading'!$B$256:$D$261,3,FALSE)</f>
        <v>10000</v>
      </c>
      <c r="AE111" s="181">
        <f>VLOOKUP(S111,'Highway Loading'!$B$340:$C$341,2,FALSE)</f>
        <v>10000</v>
      </c>
      <c r="AF111" s="181">
        <f t="shared" si="98"/>
        <v>1.0958333333333334E-2</v>
      </c>
      <c r="AG111" s="181">
        <f t="shared" si="99"/>
        <v>4.615384615384615</v>
      </c>
      <c r="AH111" s="181">
        <f t="shared" si="100"/>
        <v>1.0833333333333333</v>
      </c>
      <c r="AI111" s="181">
        <f t="shared" si="101"/>
        <v>45627.376425855509</v>
      </c>
      <c r="AJ111" s="181">
        <f t="shared" si="102"/>
        <v>46800</v>
      </c>
      <c r="AK111" s="181">
        <f>IF(AC111=200,(INDEX(Tables!$B$17:$B$38,MAX(1,MIN(IFERROR(MATCH(AF111,Tables!$A$17:$A$38,1),1),ROWS(Tables!$A$17:$A$38)-1)))+(AF111-INDEX(Tables!$A$17:$A$38,MAX(1,MIN(IFERROR(MATCH(AF111,Tables!$A$17:$A$38,1),1),ROWS(Tables!$A$17:$A$38)-1))))*(INDEX(Tables!$B$17:$B$38,MAX(1,MIN(IFERROR(MATCH(AF111,Tables!$A$17:$A$38,1),1),ROWS(Tables!$A$17:$A$38)-1))+1)-INDEX(Tables!$B$17:$B$38,MAX(1,MIN(IFERROR(MATCH(AF111,Tables!$A$17:$A$38,1),1),ROWS(Tables!$A$17:$A$38)-1))))/(INDEX(Tables!$A$17:$A$38,MAX(1,MIN(IFERROR(MATCH(AF111,Tables!$A$17:$A$38,1),1),ROWS(Tables!$A$17:$A$38)-1))+1)-INDEX(Tables!$A$17:$A$38,MAX(1,MIN(IFERROR(MATCH(AF111,Tables!$A$17:$A$38,1),1),ROWS(Tables!$A$17:$A$38)-1))))),IF(AC111=500,(INDEX(Tables!$D$17:$D$38,MAX(1,MIN(IFERROR(MATCH(AF111,Tables!$C$17:$C$38,1),1),ROWS(Tables!$C$17:$C$38)-1)))+(AF111-INDEX(Tables!$C$17:$C$38,MAX(1,MIN(IFERROR(MATCH(AF111,Tables!$C$17:$C$38,1),1),ROWS(Tables!$C$17:$C$38)-1))))*(INDEX(Tables!$D$17:$D$38,MAX(1,MIN(IFERROR(MATCH(AF111,Tables!$C$17:$C$38,1),1),ROWS(Tables!$C$17:$C$38)-1))+1)-INDEX(Tables!$D$17:$D$38,MAX(1,MIN(IFERROR(MATCH(AF111,Tables!$C$17:$C$38,1),1),ROWS(Tables!$C$17:$C$38)-1))))/(INDEX(Tables!$C$17:$C$38,MAX(1,MIN(IFERROR(MATCH(AF111,Tables!$C$17:$C$38,1),1),ROWS(Tables!$C$17:$C$38)-1))+1)-INDEX(Tables!$C$17:$C$38,MAX(1,MIN(IFERROR(MATCH(AF111,Tables!$C$17:$C$38,1),1),ROWS(Tables!$C$17:$C$38)-1))))),IF(AC111=1000,(INDEX(Tables!$F$17:$F$38,MAX(1,MIN(IFERROR(MATCH(AF111,Tables!$E$17:$E$38,1),1),ROWS(Tables!$E$17:$E$38)-1)))+(AF111-INDEX(Tables!$E$17:$E$38,MAX(1,MIN(IFERROR(MATCH(AF111,Tables!$E$17:$E$38,1),1),ROWS(Tables!$E$17:$E$38)-1))))*(INDEX(Tables!$F$17:$F$38,MAX(1,MIN(IFERROR(MATCH(AF111,Tables!$E$17:$E$38,1),1),ROWS(Tables!$E$17:$E$38)-1))+1)-INDEX(Tables!$F$17:$F$38,MAX(1,MIN(IFERROR(MATCH(AF111,Tables!$E$17:$E$38,1),1),ROWS(Tables!$E$17:$E$38)-1))))/(INDEX(Tables!$E$17:$E$38,MAX(1,MIN(IFERROR(MATCH(AF111,Tables!$E$17:$E$38,1),1),ROWS(Tables!$E$17:$E$38)-1))+1)-INDEX(Tables!$E$17:$E$38,MAX(1,MIN(IFERROR(MATCH(AF111,Tables!$E$17:$E$38,1),1),ROWS(Tables!$E$17:$E$38)-1))))),(INDEX(Tables!$H$17:$H$38,MAX(1,MIN(IFERROR(MATCH(AF111,Tables!$G$17:$G$38,1),1),ROWS(Tables!$G$17:$G$38)-1)))+(AF111-INDEX(Tables!$G$17:$G$38,MAX(1,MIN(IFERROR(MATCH(AF111,Tables!$G$17:$G$38,1),1),ROWS(Tables!$G$17:$G$38)-1))))*(INDEX(Tables!$H$17:$H$38,MAX(1,MIN(IFERROR(MATCH(AF111,Tables!$G$17:$G$38,1),1),ROWS(Tables!$G$17:$G$38)-1))+1)-INDEX(Tables!$H$17:$H$38,MAX(1,MIN(IFERROR(MATCH(AF111,Tables!$G$17:$G$38,1),1),ROWS(Tables!$G$17:$G$38)-1))))/(INDEX(Tables!$G$17:$G$38,MAX(1,MIN(IFERROR(MATCH(AF111,Tables!$G$17:$G$38,1),1),ROWS(Tables!$G$17:$G$38)-1))+1)-INDEX(Tables!$G$17:$G$38,MAX(1,MIN(IFERROR(MATCH(AF111,Tables!$G$17:$G$38,1),1),ROWS(Tables!$G$17:$G$38)-1))))))))</f>
        <v>4262.4833333333336</v>
      </c>
      <c r="AL111" s="181">
        <f>IF(AC111&lt;1000,(INDEX(Tables!$B$43:$B$76,MAX(1,MIN(IFERROR(MATCH(AG111,Tables!$A$43:$A$76,1),1),ROWS(Tables!$A$43:$A$76)-1)))+(AG111-INDEX(Tables!$A$43:$A$76,MAX(1,MIN(IFERROR(MATCH(AG111,Tables!$A$43:$A$76,1),1),ROWS(Tables!$A$43:$A$76)-1))))*(INDEX(Tables!$B$43:$B$76,MAX(1,MIN(IFERROR(MATCH(AG111,Tables!$A$43:$A$76,1),1),ROWS(Tables!$A$43:$A$76)-1))+1)-INDEX(Tables!$B$43:$B$76,MAX(1,MIN(IFERROR(MATCH(AG111,Tables!$A$43:$A$76,1),1),ROWS(Tables!$A$43:$A$76)-1))))/(INDEX(Tables!$A$43:$A$76,MAX(1,MIN(IFERROR(MATCH(AG111,Tables!$A$43:$A$76,1),1),ROWS(Tables!$A$43:$A$76)-1))+1)-INDEX(Tables!$A$43:$A$76,MAX(1,MIN(IFERROR(MATCH(AG111,Tables!$A$43:$A$76,1),1),ROWS(Tables!$A$43:$A$76)-1))))),(INDEX(Tables!$D$43:$D$76,MAX(1,MIN(IFERROR(MATCH(AG111,Tables!$C$43:$C$76,1),1),ROWS(Tables!$C$43:$C$76)-1)))+(AG111-INDEX(Tables!$C$43:$C$76,MAX(1,MIN(IFERROR(MATCH(AG111,Tables!$C$43:$C$76,1),1),ROWS(Tables!$C$43:$C$76)-1))))*(INDEX(Tables!$D$43:$D$76,MAX(1,MIN(IFERROR(MATCH(AG111,Tables!$C$43:$C$76,1),1),ROWS(Tables!$C$43:$C$76)-1))+1)-INDEX(Tables!$D$43:$D$76,MAX(1,MIN(IFERROR(MATCH(AG111,Tables!$C$43:$C$76,1),1),ROWS(Tables!$C$43:$C$76)-1))))/(INDEX(Tables!$C$43:$C$76,MAX(1,MIN(IFERROR(MATCH(AG111,Tables!$C$43:$C$76,1),1),ROWS(Tables!$C$43:$C$76)-1))+1)-INDEX(Tables!$C$43:$C$76,MAX(1,MIN(IFERROR(MATCH(AG111,Tables!$C$43:$C$76,1),1),ROWS(Tables!$C$43:$C$76)-1))))))</f>
        <v>0.9366923076923076</v>
      </c>
      <c r="AM111" s="181">
        <f>(INDEX(Tables!$B$80:$B$87,MAX(1,MIN(IFERROR(MATCH(AH111,Tables!$A$80:$A$87,1),1),ROWS(Tables!$A$80:$A$87)-1)))+(AH111-INDEX(Tables!$A$80:$A$87,MAX(1,MIN(IFERROR(MATCH(AH111,Tables!$A$80:$A$87,1),1),ROWS(Tables!$A$80:$A$87)-1))))*(INDEX(Tables!$B$80:$B$87,MAX(1,MIN(IFERROR(MATCH(AH111,Tables!$A$80:$A$87,1),1),ROWS(Tables!$A$80:$A$87)-1))+1)-INDEX(Tables!$B$80:$B$87,MAX(1,MIN(IFERROR(MATCH(AH111,Tables!$A$80:$A$87,1),1),ROWS(Tables!$A$80:$A$87)-1))))/(INDEX(Tables!$A$80:$A$87,MAX(1,MIN(IFERROR(MATCH(AH111,Tables!$A$80:$A$87,1),1),ROWS(Tables!$A$80:$A$87)-1))+1)-INDEX(Tables!$A$80:$A$87,MAX(1,MIN(IFERROR(MATCH(AH111,Tables!$A$80:$A$87,1),1),ROWS(Tables!$A$80:$A$87)-1)))))</f>
        <v>0.96739999999999982</v>
      </c>
      <c r="AN111" s="181">
        <f t="shared" si="103"/>
        <v>6437.4590626499994</v>
      </c>
      <c r="AO111" s="181">
        <f>(INDEX(Tables!$B$91:$B$94,MAX(1,MIN(IFERROR(MATCH(P111,Tables!$A$91:$A$94,1),1),ROWS(Tables!$A$91:$A$94)-1)))+(P111-INDEX(Tables!$A$91:$A$94,MAX(1,MIN(IFERROR(MATCH(P111,Tables!$A$91:$A$94,1),1),ROWS(Tables!$A$91:$A$94)-1))))*(INDEX(Tables!$B$91:$B$94,MAX(1,MIN(IFERROR(MATCH(P111,Tables!$A$91:$A$94,1),1),ROWS(Tables!$A$91:$A$94)-1))+1)-INDEX(Tables!$B$91:$B$94,MAX(1,MIN(IFERROR(MATCH(P111,Tables!$A$91:$A$94,1),1),ROWS(Tables!$A$91:$A$94)-1))))/(INDEX(Tables!$A$91:$A$94,MAX(1,MIN(IFERROR(MATCH(P111,Tables!$A$91:$A$94,1),1),ROWS(Tables!$A$91:$A$94)-1))+1)-INDEX(Tables!$A$91:$A$94,MAX(1,MIN(IFERROR(MATCH(P111,Tables!$A$91:$A$94,1),1),ROWS(Tables!$A$91:$A$94)-1)))))</f>
        <v>1.3542682926829268</v>
      </c>
      <c r="AP111" s="181">
        <f>IF(AD111=5000,(INDEX(Tables!$B$99:$B$118,MAX(1,MIN(IFERROR(MATCH(AF111,Tables!$A$99:$A$118,1),1),ROWS(Tables!$A$99:$A$118)-1)))+(AF111-INDEX(Tables!$A$99:$A$118,MAX(1,MIN(IFERROR(MATCH(AF111,Tables!$A$99:$A$118,1),1),ROWS(Tables!$A$99:$A$118)-1))))*(INDEX(Tables!$B$99:$B$118,MAX(1,MIN(IFERROR(MATCH(AF111,Tables!$A$99:$A$118,1),1),ROWS(Tables!$A$99:$A$118)-1))+1)-INDEX(Tables!$B$99:$B$118,MAX(1,MIN(IFERROR(MATCH(AF111,Tables!$A$99:$A$118,1),1),ROWS(Tables!$A$99:$A$118)-1))))/(INDEX(Tables!$A$99:$A$118,MAX(1,MIN(IFERROR(MATCH(AF111,Tables!$A$99:$A$118,1),1),ROWS(Tables!$A$99:$A$118)-1))+1)-INDEX(Tables!$A$99:$A$118,MAX(1,MIN(IFERROR(MATCH(AF111,Tables!$A$99:$A$118,1),1),ROWS(Tables!$A$99:$A$118)-1))))),IF(AD111=10000,(INDEX(Tables!$D$99:$D$118,MAX(1,MIN(IFERROR(MATCH(AF111,Tables!$C$99:$C$118,1),1),ROWS(Tables!$C$99:$C$118)-1)))+(AF111-INDEX(Tables!$C$99:$C$118,MAX(1,MIN(IFERROR(MATCH(AF111,Tables!$C$99:$C$118,1),1),ROWS(Tables!$C$99:$C$118)-1))))*(INDEX(Tables!$D$99:$D$118,MAX(1,MIN(IFERROR(MATCH(AF111,Tables!$C$99:$C$118,1),1),ROWS(Tables!$C$99:$C$118)-1))+1)-INDEX(Tables!$D$99:$D$118,MAX(1,MIN(IFERROR(MATCH(AF111,Tables!$C$99:$C$118,1),1),ROWS(Tables!$C$99:$C$118)-1))))/(INDEX(Tables!$C$99:$C$118,MAX(1,MIN(IFERROR(MATCH(AF111,Tables!$C$99:$C$118,1),1),ROWS(Tables!$C$99:$C$118)-1))+1)-INDEX(Tables!$C$99:$C$118,MAX(1,MIN(IFERROR(MATCH(AF111,Tables!$C$99:$C$118,1),1),ROWS(Tables!$C$99:$C$118)-1))))),(INDEX(Tables!$F$99:$F$118,MAX(1,MIN(IFERROR(MATCH(AF111,Tables!$E$99:$E$118,1),1),ROWS(Tables!$E$99:$E$118)-1)))+(AF111-INDEX(Tables!$E$99:$E$118,MAX(1,MIN(IFERROR(MATCH(AF111,Tables!$E$99:$E$118,1),1),ROWS(Tables!$E$99:$E$118)-1))))*(INDEX(Tables!$F$99:$F$118,MAX(1,MIN(IFERROR(MATCH(AF111,Tables!$E$99:$E$118,1),1),ROWS(Tables!$E$99:$E$118)-1))+1)-INDEX(Tables!$F$99:$F$118,MAX(1,MIN(IFERROR(MATCH(AF111,Tables!$E$99:$E$118,1),1),ROWS(Tables!$E$99:$E$118)-1))))/(INDEX(Tables!$E$99:$E$118,MAX(1,MIN(IFERROR(MATCH(AF111,Tables!$E$99:$E$118,1),1),ROWS(Tables!$E$99:$E$118)-1))+1)-INDEX(Tables!$E$99:$E$118,MAX(1,MIN(IFERROR(MATCH(AF111,Tables!$E$99:$E$118,1),1),ROWS(Tables!$E$99:$E$118)-1)))))))</f>
        <v>13.297525555555557</v>
      </c>
      <c r="AQ111" s="181">
        <f>IF(P111&lt;6,(INDEX(Tables!$B$123:$B$138,MAX(1,MIN(IFERROR(MATCH(U111,Tables!$A$123:$A$138,1),1),ROWS(Tables!$A$123:$A$138)-1)))+(U111-INDEX(Tables!$A$123:$A$138,MAX(1,MIN(IFERROR(MATCH(U111,Tables!$A$123:$A$138,1),1),ROWS(Tables!$A$123:$A$138)-1))))*(INDEX(Tables!$B$123:$B$138,MAX(1,MIN(IFERROR(MATCH(U111,Tables!$A$123:$A$138,1),1),ROWS(Tables!$A$123:$A$138)-1))+1)-INDEX(Tables!$B$123:$B$138,MAX(1,MIN(IFERROR(MATCH(U111,Tables!$A$123:$A$138,1),1),ROWS(Tables!$A$123:$A$138)-1))))/(INDEX(Tables!$A$123:$A$138,MAX(1,MIN(IFERROR(MATCH(U111,Tables!$A$123:$A$138,1),1),ROWS(Tables!$A$123:$A$138)-1))+1)-INDEX(Tables!$A$123:$A$138,MAX(1,MIN(IFERROR(MATCH(U111,Tables!$A$123:$A$138,1),1),ROWS(Tables!$A$123:$A$138)-1))))),IF(P111&lt;8,(INDEX(Tables!$D$123:$D$138,MAX(1,MIN(IFERROR(MATCH(U111,Tables!$C$123:$C$138,1),1),ROWS(Tables!$C$123:$C$138)-1)))+(U111-INDEX(Tables!$C$123:$C$138,MAX(1,MIN(IFERROR(MATCH(U111,Tables!$C$123:$C$138,1),1),ROWS(Tables!$C$123:$C$138)-1))))*(INDEX(Tables!$D$123:$D$138,MAX(1,MIN(IFERROR(MATCH(U111,Tables!$C$123:$C$138,1),1),ROWS(Tables!$C$123:$C$138)-1))+1)-INDEX(Tables!$D$123:$D$138,MAX(1,MIN(IFERROR(MATCH(U111,Tables!$C$123:$C$138,1),1),ROWS(Tables!$C$123:$C$138)-1))))/(INDEX(Tables!$C$123:$C$138,MAX(1,MIN(IFERROR(MATCH(U111,Tables!$C$123:$C$138,1),1),ROWS(Tables!$C$123:$C$138)-1))+1)-INDEX(Tables!$C$123:$C$138,MAX(1,MIN(IFERROR(MATCH(U111,Tables!$C$123:$C$138,1),1),ROWS(Tables!$C$123:$C$138)-1))))),IF(P111&lt;10,(INDEX(Tables!$F$123:$F$138,MAX(1,MIN(IFERROR(MATCH(U111,Tables!$E$123:$E$138,1),1),ROWS(Tables!$E$123:$E$138)-1)))+(U111-INDEX(Tables!$E$123:$E$138,MAX(1,MIN(IFERROR(MATCH(U111,Tables!$E$123:$E$138,1),1),ROWS(Tables!$E$123:$E$138)-1))))*(INDEX(Tables!$F$123:$F$138,MAX(1,MIN(IFERROR(MATCH(U111,Tables!$E$123:$E$138,1),1),ROWS(Tables!$E$123:$E$138)-1))+1)-INDEX(Tables!$F$123:$F$138,MAX(1,MIN(IFERROR(MATCH(U111,Tables!$E$123:$E$138,1),1),ROWS(Tables!$E$123:$E$138)-1))))/(INDEX(Tables!$E$123:$E$138,MAX(1,MIN(IFERROR(MATCH(U111,Tables!$E$123:$E$138,1),1),ROWS(Tables!$E$123:$E$138)-1))+1)-INDEX(Tables!$E$123:$E$138,MAX(1,MIN(IFERROR(MATCH(U111,Tables!$E$123:$E$138,1),1),ROWS(Tables!$E$123:$E$138)-1))))),(INDEX(Tables!$H$123:$H$138,MAX(1,MIN(IFERROR(MATCH(U111,Tables!$G$123:$G$138,1),1),ROWS(Tables!$G$123:$G$138)-1)))+(U111-INDEX(Tables!$G$123:$G$138,MAX(1,MIN(IFERROR(MATCH(U111,Tables!$G$123:$G$138,1),1),ROWS(Tables!$G$123:$G$138)-1))))*(INDEX(Tables!$H$123:$H$138,MAX(1,MIN(IFERROR(MATCH(U111,Tables!$G$123:$G$138,1),1),ROWS(Tables!$G$123:$G$138)-1))+1)-INDEX(Tables!$H$123:$H$138,MAX(1,MIN(IFERROR(MATCH(U111,Tables!$G$123:$G$138,1),1),ROWS(Tables!$G$123:$G$138)-1))))/(INDEX(Tables!$G$123:$G$138,MAX(1,MIN(IFERROR(MATCH(U111,Tables!$G$123:$G$138,1),1),ROWS(Tables!$G$123:$G$138)-1))+1)-INDEX(Tables!$G$123:$G$138,MAX(1,MIN(IFERROR(MATCH(U111,Tables!$G$123:$G$138,1),1),ROWS(Tables!$G$123:$G$138)-1))))))))</f>
        <v>0.57750000000000001</v>
      </c>
      <c r="AR111" s="181">
        <f>IF(OR(P111&gt;=4,U111&gt;12),VLOOKUP(R111&amp;" "&amp;S111,Tables!$D$143:$F$148,2,FALSE),VLOOKUP(R111&amp;" "&amp;S111,Tables!$A$143:$C$148,2,FALSE))</f>
        <v>1</v>
      </c>
      <c r="AS111" s="181">
        <f>IF(OR(P111&gt;=4,U111&gt;12),VLOOKUP(R111&amp;" "&amp;S111,Tables!$D$143:$F$148,3,FALSE),VLOOKUP(R111&amp;" "&amp;S111,Tables!$A$143:$C$148,3,FALSE))</f>
        <v>1</v>
      </c>
      <c r="AT111" s="181">
        <f t="shared" si="104"/>
        <v>722.2125660360914</v>
      </c>
      <c r="AU111" s="181">
        <f>IF(AD111=5000,(INDEX(Tables!$B$244:$B$263,MAX(1,MIN(IFERROR(MATCH(AF111,Tables!$A$244:$A$263,1),1),ROWS(Tables!$A$244:$A$263)-1)))+(AF111-INDEX(Tables!$A$244:$A$263,MAX(1,MIN(IFERROR(MATCH(AF111,Tables!$A$244:$A$263,1),1),ROWS(Tables!$A$244:$A$263)-1))))*(INDEX(Tables!$B$244:$B$263,MAX(1,MIN(IFERROR(MATCH(AF111,Tables!$A$244:$A$263,1),1),ROWS(Tables!$A$244:$A$263)-1))+1)-INDEX(Tables!$B$244:$B$263,MAX(1,MIN(IFERROR(MATCH(AF111,Tables!$A$244:$A$263,1),1),ROWS(Tables!$A$244:$A$263)-1))))/(INDEX(Tables!$A$244:$A$263,MAX(1,MIN(IFERROR(MATCH(AF111,Tables!$A$244:$A$263,1),1),ROWS(Tables!$A$244:$A$263)-1))+1)-INDEX(Tables!$A$244:$A$263,MAX(1,MIN(IFERROR(MATCH(AF111,Tables!$A$244:$A$263,1),1),ROWS(Tables!$A$244:$A$263)-1))))),IF(AD111=10000,(INDEX(Tables!$D$244:$D$263,MAX(1,MIN(IFERROR(MATCH(AF111,Tables!$C$244:$C$263,1),1),ROWS(Tables!$C$244:$C$263)-1)))+(AF111-INDEX(Tables!$C$244:$C$263,MAX(1,MIN(IFERROR(MATCH(AF111,Tables!$C$244:$C$263,1),1),ROWS(Tables!$C$244:$C$263)-1))))*(INDEX(Tables!$D$244:$D$263,MAX(1,MIN(IFERROR(MATCH(AF111,Tables!$C$244:$C$263,1),1),ROWS(Tables!$C$244:$C$263)-1))+1)-INDEX(Tables!$D$244:$D$263,MAX(1,MIN(IFERROR(MATCH(AF111,Tables!$C$244:$C$263,1),1),ROWS(Tables!$C$244:$C$263)-1))))/(INDEX(Tables!$C$244:$C$263,MAX(1,MIN(IFERROR(MATCH(AF111,Tables!$C$244:$C$263,1),1),ROWS(Tables!$C$244:$C$263)-1))+1)-INDEX(Tables!$C$244:$C$263,MAX(1,MIN(IFERROR(MATCH(AF111,Tables!$C$244:$C$263,1),1),ROWS(Tables!$C$244:$C$263)-1))))),(INDEX(Tables!$F$244:$F$263,MAX(1,MIN(IFERROR(MATCH(AF111,Tables!$E$244:$E$263,1),1),ROWS(Tables!$E$244:$E$263)-1)))+(AF111-INDEX(Tables!$E$244:$E$263,MAX(1,MIN(IFERROR(MATCH(AF111,Tables!$E$244:$E$263,1),1),ROWS(Tables!$E$244:$E$263)-1))))*(INDEX(Tables!$F$244:$F$263,MAX(1,MIN(IFERROR(MATCH(AF111,Tables!$E$244:$E$263,1),1),ROWS(Tables!$E$244:$E$263)-1))+1)-INDEX(Tables!$F$244:$F$263,MAX(1,MIN(IFERROR(MATCH(AF111,Tables!$E$244:$E$263,1),1),ROWS(Tables!$E$244:$E$263)-1))))/(INDEX(Tables!$E$244:$E$263,MAX(1,MIN(IFERROR(MATCH(AF111,Tables!$E$244:$E$263,1),1),ROWS(Tables!$E$244:$E$263)-1))+1)-INDEX(Tables!$E$244:$E$263,MAX(1,MIN(IFERROR(MATCH(AF111,Tables!$E$244:$E$263,1),1),ROWS(Tables!$E$244:$E$263)-1)))))))</f>
        <v>9.7907314814814814</v>
      </c>
      <c r="AV111" s="181">
        <f>IF(P111&lt;6,(INDEX(Tables!$B$260:$B$274,MAX(1,MIN(IFERROR(MATCH(U111,Tables!$A$260:$A$274,1),1),ROWS(Tables!$A$260:$A$274)-1)))+(U111-INDEX(Tables!$A$260:$A$274,MAX(1,MIN(IFERROR(MATCH(U111,Tables!$A$260:$A$274,1),1),ROWS(Tables!$A$260:$A$274)-1))))*(INDEX(Tables!$B$260:$B$274,MAX(1,MIN(IFERROR(MATCH(U111,Tables!$A$260:$A$274,1),1),ROWS(Tables!$A$260:$A$274)-1))+1)-INDEX(Tables!$B$260:$B$274,MAX(1,MIN(IFERROR(MATCH(U111,Tables!$A$260:$A$274,1),1),ROWS(Tables!$A$260:$A$274)-1))))/(INDEX(Tables!$A$260:$A$274,MAX(1,MIN(IFERROR(MATCH(U111,Tables!$A$260:$A$274,1),1),ROWS(Tables!$A$260:$A$274)-1))+1)-INDEX(Tables!$A$260:$A$274,MAX(1,MIN(IFERROR(MATCH(U111,Tables!$A$260:$A$274,1),1),ROWS(Tables!$A$260:$A$274)-1))))),IF(P111&lt;8,(INDEX(Tables!$D$260:$D$274,MAX(1,MIN(IFERROR(MATCH(U111,Tables!$C$260:$C$274,1),1),ROWS(Tables!$C$260:$C$274)-1)))+(U111-INDEX(Tables!$C$260:$C$274,MAX(1,MIN(IFERROR(MATCH(U111,Tables!$C$260:$C$274,1),1),ROWS(Tables!$C$260:$C$274)-1))))*(INDEX(Tables!$D$260:$D$274,MAX(1,MIN(IFERROR(MATCH(U111,Tables!$C$260:$C$274,1),1),ROWS(Tables!$C$260:$C$274)-1))+1)-INDEX(Tables!$D$260:$D$274,MAX(1,MIN(IFERROR(MATCH(U111,Tables!$C$260:$C$274,1),1),ROWS(Tables!$C$260:$C$274)-1))))/(INDEX(Tables!$C$260:$C$274,MAX(1,MIN(IFERROR(MATCH(U111,Tables!$C$260:$C$274,1),1),ROWS(Tables!$C$260:$C$274)-1))+1)-INDEX(Tables!$C$260:$C$274,MAX(1,MIN(IFERROR(MATCH(U111,Tables!$C$260:$C$274,1),1),ROWS(Tables!$C$260:$C$274)-1))))),IF(P111&lt;10,(INDEX(Tables!$F$260:$F$274,MAX(1,MIN(IFERROR(MATCH(U111,Tables!$E$260:$E$274,1),1),ROWS(Tables!$E$260:$E$274)-1)))+(U111-INDEX(Tables!$E$260:$E$274,MAX(1,MIN(IFERROR(MATCH(U111,Tables!$E$260:$E$274,1),1),ROWS(Tables!$E$260:$E$274)-1))))*(INDEX(Tables!$F$260:$F$274,MAX(1,MIN(IFERROR(MATCH(U111,Tables!$E$260:$E$274,1),1),ROWS(Tables!$E$260:$E$274)-1))+1)-INDEX(Tables!$F$260:$F$274,MAX(1,MIN(IFERROR(MATCH(U111,Tables!$E$260:$E$274,1),1),ROWS(Tables!$E$260:$E$274)-1))))/(INDEX(Tables!$E$260:$E$274,MAX(1,MIN(IFERROR(MATCH(U111,Tables!$E$260:$E$274,1),1),ROWS(Tables!$E$260:$E$274)-1))+1)-INDEX(Tables!$E$260:$E$274,MAX(1,MIN(IFERROR(MATCH(U111,Tables!$E$260:$E$274,1),1),ROWS(Tables!$E$260:$E$274)-1))))),(INDEX(Tables!$H$260:$H$274,MAX(1,MIN(IFERROR(MATCH(U111,Tables!$G$260:$G$274,1),1),ROWS(Tables!$G$260:$G$274)-1)))+(U111-INDEX(Tables!$G$260:$G$274,MAX(1,MIN(IFERROR(MATCH(U111,Tables!$G$260:$G$274,1),1),ROWS(Tables!$G$260:$G$274)-1))))*(INDEX(Tables!$H$260:$H$274,MAX(1,MIN(IFERROR(MATCH(U111,Tables!$G$260:$G$274,1),1),ROWS(Tables!$G$260:$G$274)-1))+1)-INDEX(Tables!$H$260:$H$274,MAX(1,MIN(IFERROR(MATCH(U111,Tables!$G$260:$G$274,1),1),ROWS(Tables!$G$260:$G$274)-1))))/(INDEX(Tables!$G$260:$G$274,MAX(1,MIN(IFERROR(MATCH(U111,Tables!$G$260:$G$274,1),1),ROWS(Tables!$G$260:$G$274)-1))+1)-INDEX(Tables!$G$260:$G$274,MAX(1,MIN(IFERROR(MATCH(U111,Tables!$G$260:$G$274,1),1),ROWS(Tables!$G$260:$G$274)-1))))))))</f>
        <v>0.64533333333333331</v>
      </c>
      <c r="AW111" s="181">
        <f t="shared" si="105"/>
        <v>594.21205263433035</v>
      </c>
      <c r="AX111" s="181">
        <f t="shared" si="106"/>
        <v>45127.376425855509</v>
      </c>
      <c r="AY111" s="181">
        <f t="shared" si="107"/>
        <v>52287.048054541599</v>
      </c>
      <c r="AZ111" s="181">
        <f t="shared" si="108"/>
        <v>16063.662699185981</v>
      </c>
      <c r="BA111" s="181">
        <f t="shared" si="109"/>
        <v>-1000</v>
      </c>
      <c r="BB111" s="181">
        <f t="shared" si="110"/>
        <v>47131.792463692749</v>
      </c>
      <c r="BC111" s="181">
        <f t="shared" si="111"/>
        <v>46800</v>
      </c>
      <c r="BD111" s="181">
        <f>VLOOKUP(V111&amp;" "&amp;J111,Tables!$A$152:$E$239,4,FALSE)</f>
        <v>12000</v>
      </c>
      <c r="BE111" s="181">
        <f>VLOOKUP(V111&amp;" "&amp;J111,Tables!$A$152:$E$239,5,FALSE)</f>
        <v>23000</v>
      </c>
      <c r="BF111" s="181">
        <f t="shared" si="112"/>
        <v>8640</v>
      </c>
      <c r="BG111" s="181">
        <f t="shared" si="113"/>
        <v>16560</v>
      </c>
      <c r="BH111" s="181">
        <f t="shared" si="114"/>
        <v>45627.376425855509</v>
      </c>
      <c r="BI111" s="181">
        <f t="shared" si="115"/>
        <v>46800</v>
      </c>
      <c r="BJ111" s="181">
        <f t="shared" si="116"/>
        <v>47131.792463692749</v>
      </c>
      <c r="BK111" s="181">
        <f t="shared" si="117"/>
        <v>46800</v>
      </c>
      <c r="BL111" s="181">
        <f t="shared" si="118"/>
        <v>594.21205263433035</v>
      </c>
      <c r="BM111" s="181">
        <f t="shared" si="119"/>
        <v>8640</v>
      </c>
      <c r="BN111" s="181">
        <f t="shared" si="120"/>
        <v>722.2125660360914</v>
      </c>
      <c r="BO111" s="181">
        <f t="shared" si="121"/>
        <v>16560</v>
      </c>
      <c r="BP111" t="str">
        <f t="shared" si="122"/>
        <v>Pass</v>
      </c>
      <c r="BQ111" t="str">
        <f t="shared" si="123"/>
        <v>Fail</v>
      </c>
      <c r="BR111" t="str">
        <f t="shared" si="124"/>
        <v>Pass</v>
      </c>
      <c r="BS111" t="str">
        <f t="shared" si="125"/>
        <v>Pass</v>
      </c>
      <c r="BT111" t="str">
        <f t="shared" si="126"/>
        <v>Fail</v>
      </c>
      <c r="BU111" t="str">
        <f t="shared" si="127"/>
        <v>Effective Stress</v>
      </c>
    </row>
    <row r="112" spans="1:73">
      <c r="A112" t="s">
        <v>704</v>
      </c>
      <c r="B112" s="181">
        <v>110</v>
      </c>
      <c r="C112" t="s">
        <v>594</v>
      </c>
      <c r="D112" s="181">
        <v>36</v>
      </c>
      <c r="E112" s="181">
        <v>0.32500000000000001</v>
      </c>
      <c r="F112" t="s">
        <v>117</v>
      </c>
      <c r="G112" t="s">
        <v>119</v>
      </c>
      <c r="H112" t="s">
        <v>122</v>
      </c>
      <c r="I112" s="181">
        <v>1</v>
      </c>
      <c r="J112" t="s">
        <v>126</v>
      </c>
      <c r="K112" t="s">
        <v>129</v>
      </c>
      <c r="L112" s="181">
        <v>70</v>
      </c>
      <c r="M112" s="181">
        <v>1000</v>
      </c>
      <c r="N112" t="s">
        <v>391</v>
      </c>
      <c r="O112" s="181">
        <v>120</v>
      </c>
      <c r="P112" s="181">
        <v>14</v>
      </c>
      <c r="Q112" s="181">
        <v>38</v>
      </c>
      <c r="R112" t="s">
        <v>154</v>
      </c>
      <c r="S112" t="s">
        <v>420</v>
      </c>
      <c r="T112" s="181">
        <v>70</v>
      </c>
      <c r="U112" s="181">
        <f>HLOOKUP(D112,'Highway Loading'!$C$155:$AD$156,2,FALSE)</f>
        <v>36</v>
      </c>
      <c r="V112" s="181">
        <f>IF(ISBLANK(G112),"",INDEX('Highway Loading'!$C$216:$AG$216,1,MATCH(G112,'Highway Loading'!$C$215:$AG$215,0)))</f>
        <v>65000</v>
      </c>
      <c r="W112" s="181">
        <f>INDEX('Highway Loading'!$I$245:$L$253,MATCH(H112,'Highway Loading'!$H$245:$H$253,0),MATCH(I112,'Highway Loading'!$I$244:$L$244,0))</f>
        <v>0.72</v>
      </c>
      <c r="X112" s="181">
        <f t="shared" si="96"/>
        <v>1</v>
      </c>
      <c r="Y112" s="181">
        <f>VLOOKUP(K112,'Highway Loading'!$B$283:$E$292,2,FALSE)</f>
        <v>29000000</v>
      </c>
      <c r="Z112" s="181">
        <f>VLOOKUP(K112,'Highway Loading'!$B$283:$E$292,3,FALSE)</f>
        <v>0.3</v>
      </c>
      <c r="AA112" s="181">
        <f>VLOOKUP(K112,'Highway Loading'!$B$283:$E$292,4,FALSE)</f>
        <v>6.4999999999999996E-6</v>
      </c>
      <c r="AB112" s="181">
        <f t="shared" si="97"/>
        <v>1</v>
      </c>
      <c r="AC112" s="181">
        <f>VLOOKUP(N112,'Highway Loading'!$B$256:$D$261,2,FALSE)</f>
        <v>1000</v>
      </c>
      <c r="AD112" s="181">
        <f>VLOOKUP(N112,'Highway Loading'!$B$256:$D$261,3,FALSE)</f>
        <v>10000</v>
      </c>
      <c r="AE112" s="181">
        <f>VLOOKUP(S112,'Highway Loading'!$B$340:$C$341,2,FALSE)</f>
        <v>12000</v>
      </c>
      <c r="AF112" s="181">
        <f t="shared" si="98"/>
        <v>9.0277777777777787E-3</v>
      </c>
      <c r="AG112" s="181">
        <f t="shared" si="99"/>
        <v>4.4210526315789478</v>
      </c>
      <c r="AH112" s="181">
        <f t="shared" si="100"/>
        <v>1.0555555555555556</v>
      </c>
      <c r="AI112" s="181">
        <f t="shared" si="101"/>
        <v>55384.615384615383</v>
      </c>
      <c r="AJ112" s="181">
        <f t="shared" si="102"/>
        <v>46800</v>
      </c>
      <c r="AK112" s="181">
        <f>IF(AC112=200,(INDEX(Tables!$B$17:$B$38,MAX(1,MIN(IFERROR(MATCH(AF112,Tables!$A$17:$A$38,1),1),ROWS(Tables!$A$17:$A$38)-1)))+(AF112-INDEX(Tables!$A$17:$A$38,MAX(1,MIN(IFERROR(MATCH(AF112,Tables!$A$17:$A$38,1),1),ROWS(Tables!$A$17:$A$38)-1))))*(INDEX(Tables!$B$17:$B$38,MAX(1,MIN(IFERROR(MATCH(AF112,Tables!$A$17:$A$38,1),1),ROWS(Tables!$A$17:$A$38)-1))+1)-INDEX(Tables!$B$17:$B$38,MAX(1,MIN(IFERROR(MATCH(AF112,Tables!$A$17:$A$38,1),1),ROWS(Tables!$A$17:$A$38)-1))))/(INDEX(Tables!$A$17:$A$38,MAX(1,MIN(IFERROR(MATCH(AF112,Tables!$A$17:$A$38,1),1),ROWS(Tables!$A$17:$A$38)-1))+1)-INDEX(Tables!$A$17:$A$38,MAX(1,MIN(IFERROR(MATCH(AF112,Tables!$A$17:$A$38,1),1),ROWS(Tables!$A$17:$A$38)-1))))),IF(AC112=500,(INDEX(Tables!$D$17:$D$38,MAX(1,MIN(IFERROR(MATCH(AF112,Tables!$C$17:$C$38,1),1),ROWS(Tables!$C$17:$C$38)-1)))+(AF112-INDEX(Tables!$C$17:$C$38,MAX(1,MIN(IFERROR(MATCH(AF112,Tables!$C$17:$C$38,1),1),ROWS(Tables!$C$17:$C$38)-1))))*(INDEX(Tables!$D$17:$D$38,MAX(1,MIN(IFERROR(MATCH(AF112,Tables!$C$17:$C$38,1),1),ROWS(Tables!$C$17:$C$38)-1))+1)-INDEX(Tables!$D$17:$D$38,MAX(1,MIN(IFERROR(MATCH(AF112,Tables!$C$17:$C$38,1),1),ROWS(Tables!$C$17:$C$38)-1))))/(INDEX(Tables!$C$17:$C$38,MAX(1,MIN(IFERROR(MATCH(AF112,Tables!$C$17:$C$38,1),1),ROWS(Tables!$C$17:$C$38)-1))+1)-INDEX(Tables!$C$17:$C$38,MAX(1,MIN(IFERROR(MATCH(AF112,Tables!$C$17:$C$38,1),1),ROWS(Tables!$C$17:$C$38)-1))))),IF(AC112=1000,(INDEX(Tables!$F$17:$F$38,MAX(1,MIN(IFERROR(MATCH(AF112,Tables!$E$17:$E$38,1),1),ROWS(Tables!$E$17:$E$38)-1)))+(AF112-INDEX(Tables!$E$17:$E$38,MAX(1,MIN(IFERROR(MATCH(AF112,Tables!$E$17:$E$38,1),1),ROWS(Tables!$E$17:$E$38)-1))))*(INDEX(Tables!$F$17:$F$38,MAX(1,MIN(IFERROR(MATCH(AF112,Tables!$E$17:$E$38,1),1),ROWS(Tables!$E$17:$E$38)-1))+1)-INDEX(Tables!$F$17:$F$38,MAX(1,MIN(IFERROR(MATCH(AF112,Tables!$E$17:$E$38,1),1),ROWS(Tables!$E$17:$E$38)-1))))/(INDEX(Tables!$E$17:$E$38,MAX(1,MIN(IFERROR(MATCH(AF112,Tables!$E$17:$E$38,1),1),ROWS(Tables!$E$17:$E$38)-1))+1)-INDEX(Tables!$E$17:$E$38,MAX(1,MIN(IFERROR(MATCH(AF112,Tables!$E$17:$E$38,1),1),ROWS(Tables!$E$17:$E$38)-1))))),(INDEX(Tables!$H$17:$H$38,MAX(1,MIN(IFERROR(MATCH(AF112,Tables!$G$17:$G$38,1),1),ROWS(Tables!$G$17:$G$38)-1)))+(AF112-INDEX(Tables!$G$17:$G$38,MAX(1,MIN(IFERROR(MATCH(AF112,Tables!$G$17:$G$38,1),1),ROWS(Tables!$G$17:$G$38)-1))))*(INDEX(Tables!$H$17:$H$38,MAX(1,MIN(IFERROR(MATCH(AF112,Tables!$G$17:$G$38,1),1),ROWS(Tables!$G$17:$G$38)-1))+1)-INDEX(Tables!$H$17:$H$38,MAX(1,MIN(IFERROR(MATCH(AF112,Tables!$G$17:$G$38,1),1),ROWS(Tables!$G$17:$G$38)-1))))/(INDEX(Tables!$G$17:$G$38,MAX(1,MIN(IFERROR(MATCH(AF112,Tables!$G$17:$G$38,1),1),ROWS(Tables!$G$17:$G$38)-1))+1)-INDEX(Tables!$G$17:$G$38,MAX(1,MIN(IFERROR(MATCH(AF112,Tables!$G$17:$G$38,1),1),ROWS(Tables!$G$17:$G$38)-1))))))))</f>
        <v>4874.5555555555557</v>
      </c>
      <c r="AL112" s="181">
        <f>IF(AC112&lt;1000,(INDEX(Tables!$B$43:$B$76,MAX(1,MIN(IFERROR(MATCH(AG112,Tables!$A$43:$A$76,1),1),ROWS(Tables!$A$43:$A$76)-1)))+(AG112-INDEX(Tables!$A$43:$A$76,MAX(1,MIN(IFERROR(MATCH(AG112,Tables!$A$43:$A$76,1),1),ROWS(Tables!$A$43:$A$76)-1))))*(INDEX(Tables!$B$43:$B$76,MAX(1,MIN(IFERROR(MATCH(AG112,Tables!$A$43:$A$76,1),1),ROWS(Tables!$A$43:$A$76)-1))+1)-INDEX(Tables!$B$43:$B$76,MAX(1,MIN(IFERROR(MATCH(AG112,Tables!$A$43:$A$76,1),1),ROWS(Tables!$A$43:$A$76)-1))))/(INDEX(Tables!$A$43:$A$76,MAX(1,MIN(IFERROR(MATCH(AG112,Tables!$A$43:$A$76,1),1),ROWS(Tables!$A$43:$A$76)-1))+1)-INDEX(Tables!$A$43:$A$76,MAX(1,MIN(IFERROR(MATCH(AG112,Tables!$A$43:$A$76,1),1),ROWS(Tables!$A$43:$A$76)-1))))),(INDEX(Tables!$D$43:$D$76,MAX(1,MIN(IFERROR(MATCH(AG112,Tables!$C$43:$C$76,1),1),ROWS(Tables!$C$43:$C$76)-1)))+(AG112-INDEX(Tables!$C$43:$C$76,MAX(1,MIN(IFERROR(MATCH(AG112,Tables!$C$43:$C$76,1),1),ROWS(Tables!$C$43:$C$76)-1))))*(INDEX(Tables!$D$43:$D$76,MAX(1,MIN(IFERROR(MATCH(AG112,Tables!$C$43:$C$76,1),1),ROWS(Tables!$C$43:$C$76)-1))+1)-INDEX(Tables!$D$43:$D$76,MAX(1,MIN(IFERROR(MATCH(AG112,Tables!$C$43:$C$76,1),1),ROWS(Tables!$C$43:$C$76)-1))))/(INDEX(Tables!$C$43:$C$76,MAX(1,MIN(IFERROR(MATCH(AG112,Tables!$C$43:$C$76,1),1),ROWS(Tables!$C$43:$C$76)-1))+1)-INDEX(Tables!$C$43:$C$76,MAX(1,MIN(IFERROR(MATCH(AG112,Tables!$C$43:$C$76,1),1),ROWS(Tables!$C$43:$C$76)-1))))))</f>
        <v>0.92289473684210532</v>
      </c>
      <c r="AM112" s="181">
        <f>(INDEX(Tables!$B$80:$B$87,MAX(1,MIN(IFERROR(MATCH(AH112,Tables!$A$80:$A$87,1),1),ROWS(Tables!$A$80:$A$87)-1)))+(AH112-INDEX(Tables!$A$80:$A$87,MAX(1,MIN(IFERROR(MATCH(AH112,Tables!$A$80:$A$87,1),1),ROWS(Tables!$A$80:$A$87)-1))))*(INDEX(Tables!$B$80:$B$87,MAX(1,MIN(IFERROR(MATCH(AH112,Tables!$A$80:$A$87,1),1),ROWS(Tables!$A$80:$A$87)-1))+1)-INDEX(Tables!$B$80:$B$87,MAX(1,MIN(IFERROR(MATCH(AH112,Tables!$A$80:$A$87,1),1),ROWS(Tables!$A$80:$A$87)-1))))/(INDEX(Tables!$A$80:$A$87,MAX(1,MIN(IFERROR(MATCH(AH112,Tables!$A$80:$A$87,1),1),ROWS(Tables!$A$80:$A$87)-1))+1)-INDEX(Tables!$A$80:$A$87,MAX(1,MIN(IFERROR(MATCH(AH112,Tables!$A$80:$A$87,1),1),ROWS(Tables!$A$80:$A$87)-1)))))</f>
        <v>0.91873333333333329</v>
      </c>
      <c r="AN112" s="181">
        <f t="shared" si="103"/>
        <v>10332.767944722224</v>
      </c>
      <c r="AO112" s="181">
        <f>(INDEX(Tables!$B$91:$B$94,MAX(1,MIN(IFERROR(MATCH(P112,Tables!$A$91:$A$94,1),1),ROWS(Tables!$A$91:$A$94)-1)))+(P112-INDEX(Tables!$A$91:$A$94,MAX(1,MIN(IFERROR(MATCH(P112,Tables!$A$91:$A$94,1),1),ROWS(Tables!$A$91:$A$94)-1))))*(INDEX(Tables!$B$91:$B$94,MAX(1,MIN(IFERROR(MATCH(P112,Tables!$A$91:$A$94,1),1),ROWS(Tables!$A$91:$A$94)-1))+1)-INDEX(Tables!$B$91:$B$94,MAX(1,MIN(IFERROR(MATCH(P112,Tables!$A$91:$A$94,1),1),ROWS(Tables!$A$91:$A$94)-1))))/(INDEX(Tables!$A$91:$A$94,MAX(1,MIN(IFERROR(MATCH(P112,Tables!$A$91:$A$94,1),1),ROWS(Tables!$A$91:$A$94)-1))+1)-INDEX(Tables!$A$91:$A$94,MAX(1,MIN(IFERROR(MATCH(P112,Tables!$A$91:$A$94,1),1),ROWS(Tables!$A$91:$A$94)-1)))))</f>
        <v>1.2323170731707318</v>
      </c>
      <c r="AP112" s="181">
        <f>IF(AD112=5000,(INDEX(Tables!$B$99:$B$118,MAX(1,MIN(IFERROR(MATCH(AF112,Tables!$A$99:$A$118,1),1),ROWS(Tables!$A$99:$A$118)-1)))+(AF112-INDEX(Tables!$A$99:$A$118,MAX(1,MIN(IFERROR(MATCH(AF112,Tables!$A$99:$A$118,1),1),ROWS(Tables!$A$99:$A$118)-1))))*(INDEX(Tables!$B$99:$B$118,MAX(1,MIN(IFERROR(MATCH(AF112,Tables!$A$99:$A$118,1),1),ROWS(Tables!$A$99:$A$118)-1))+1)-INDEX(Tables!$B$99:$B$118,MAX(1,MIN(IFERROR(MATCH(AF112,Tables!$A$99:$A$118,1),1),ROWS(Tables!$A$99:$A$118)-1))))/(INDEX(Tables!$A$99:$A$118,MAX(1,MIN(IFERROR(MATCH(AF112,Tables!$A$99:$A$118,1),1),ROWS(Tables!$A$99:$A$118)-1))+1)-INDEX(Tables!$A$99:$A$118,MAX(1,MIN(IFERROR(MATCH(AF112,Tables!$A$99:$A$118,1),1),ROWS(Tables!$A$99:$A$118)-1))))),IF(AD112=10000,(INDEX(Tables!$D$99:$D$118,MAX(1,MIN(IFERROR(MATCH(AF112,Tables!$C$99:$C$118,1),1),ROWS(Tables!$C$99:$C$118)-1)))+(AF112-INDEX(Tables!$C$99:$C$118,MAX(1,MIN(IFERROR(MATCH(AF112,Tables!$C$99:$C$118,1),1),ROWS(Tables!$C$99:$C$118)-1))))*(INDEX(Tables!$D$99:$D$118,MAX(1,MIN(IFERROR(MATCH(AF112,Tables!$C$99:$C$118,1),1),ROWS(Tables!$C$99:$C$118)-1))+1)-INDEX(Tables!$D$99:$D$118,MAX(1,MIN(IFERROR(MATCH(AF112,Tables!$C$99:$C$118,1),1),ROWS(Tables!$C$99:$C$118)-1))))/(INDEX(Tables!$C$99:$C$118,MAX(1,MIN(IFERROR(MATCH(AF112,Tables!$C$99:$C$118,1),1),ROWS(Tables!$C$99:$C$118)-1))+1)-INDEX(Tables!$C$99:$C$118,MAX(1,MIN(IFERROR(MATCH(AF112,Tables!$C$99:$C$118,1),1),ROWS(Tables!$C$99:$C$118)-1))))),(INDEX(Tables!$F$99:$F$118,MAX(1,MIN(IFERROR(MATCH(AF112,Tables!$E$99:$E$118,1),1),ROWS(Tables!$E$99:$E$118)-1)))+(AF112-INDEX(Tables!$E$99:$E$118,MAX(1,MIN(IFERROR(MATCH(AF112,Tables!$E$99:$E$118,1),1),ROWS(Tables!$E$99:$E$118)-1))))*(INDEX(Tables!$F$99:$F$118,MAX(1,MIN(IFERROR(MATCH(AF112,Tables!$E$99:$E$118,1),1),ROWS(Tables!$E$99:$E$118)-1))+1)-INDEX(Tables!$F$99:$F$118,MAX(1,MIN(IFERROR(MATCH(AF112,Tables!$E$99:$E$118,1),1),ROWS(Tables!$E$99:$E$118)-1))))/(INDEX(Tables!$E$99:$E$118,MAX(1,MIN(IFERROR(MATCH(AF112,Tables!$E$99:$E$118,1),1),ROWS(Tables!$E$99:$E$118)-1))+1)-INDEX(Tables!$E$99:$E$118,MAX(1,MIN(IFERROR(MATCH(AF112,Tables!$E$99:$E$118,1),1),ROWS(Tables!$E$99:$E$118)-1)))))))</f>
        <v>11.770785529715763</v>
      </c>
      <c r="AQ112" s="181">
        <f>IF(P112&lt;6,(INDEX(Tables!$B$123:$B$138,MAX(1,MIN(IFERROR(MATCH(U112,Tables!$A$123:$A$138,1),1),ROWS(Tables!$A$123:$A$138)-1)))+(U112-INDEX(Tables!$A$123:$A$138,MAX(1,MIN(IFERROR(MATCH(U112,Tables!$A$123:$A$138,1),1),ROWS(Tables!$A$123:$A$138)-1))))*(INDEX(Tables!$B$123:$B$138,MAX(1,MIN(IFERROR(MATCH(U112,Tables!$A$123:$A$138,1),1),ROWS(Tables!$A$123:$A$138)-1))+1)-INDEX(Tables!$B$123:$B$138,MAX(1,MIN(IFERROR(MATCH(U112,Tables!$A$123:$A$138,1),1),ROWS(Tables!$A$123:$A$138)-1))))/(INDEX(Tables!$A$123:$A$138,MAX(1,MIN(IFERROR(MATCH(U112,Tables!$A$123:$A$138,1),1),ROWS(Tables!$A$123:$A$138)-1))+1)-INDEX(Tables!$A$123:$A$138,MAX(1,MIN(IFERROR(MATCH(U112,Tables!$A$123:$A$138,1),1),ROWS(Tables!$A$123:$A$138)-1))))),IF(P112&lt;8,(INDEX(Tables!$D$123:$D$138,MAX(1,MIN(IFERROR(MATCH(U112,Tables!$C$123:$C$138,1),1),ROWS(Tables!$C$123:$C$138)-1)))+(U112-INDEX(Tables!$C$123:$C$138,MAX(1,MIN(IFERROR(MATCH(U112,Tables!$C$123:$C$138,1),1),ROWS(Tables!$C$123:$C$138)-1))))*(INDEX(Tables!$D$123:$D$138,MAX(1,MIN(IFERROR(MATCH(U112,Tables!$C$123:$C$138,1),1),ROWS(Tables!$C$123:$C$138)-1))+1)-INDEX(Tables!$D$123:$D$138,MAX(1,MIN(IFERROR(MATCH(U112,Tables!$C$123:$C$138,1),1),ROWS(Tables!$C$123:$C$138)-1))))/(INDEX(Tables!$C$123:$C$138,MAX(1,MIN(IFERROR(MATCH(U112,Tables!$C$123:$C$138,1),1),ROWS(Tables!$C$123:$C$138)-1))+1)-INDEX(Tables!$C$123:$C$138,MAX(1,MIN(IFERROR(MATCH(U112,Tables!$C$123:$C$138,1),1),ROWS(Tables!$C$123:$C$138)-1))))),IF(P112&lt;10,(INDEX(Tables!$F$123:$F$138,MAX(1,MIN(IFERROR(MATCH(U112,Tables!$E$123:$E$138,1),1),ROWS(Tables!$E$123:$E$138)-1)))+(U112-INDEX(Tables!$E$123:$E$138,MAX(1,MIN(IFERROR(MATCH(U112,Tables!$E$123:$E$138,1),1),ROWS(Tables!$E$123:$E$138)-1))))*(INDEX(Tables!$F$123:$F$138,MAX(1,MIN(IFERROR(MATCH(U112,Tables!$E$123:$E$138,1),1),ROWS(Tables!$E$123:$E$138)-1))+1)-INDEX(Tables!$F$123:$F$138,MAX(1,MIN(IFERROR(MATCH(U112,Tables!$E$123:$E$138,1),1),ROWS(Tables!$E$123:$E$138)-1))))/(INDEX(Tables!$E$123:$E$138,MAX(1,MIN(IFERROR(MATCH(U112,Tables!$E$123:$E$138,1),1),ROWS(Tables!$E$123:$E$138)-1))+1)-INDEX(Tables!$E$123:$E$138,MAX(1,MIN(IFERROR(MATCH(U112,Tables!$E$123:$E$138,1),1),ROWS(Tables!$E$123:$E$138)-1))))),(INDEX(Tables!$H$123:$H$138,MAX(1,MIN(IFERROR(MATCH(U112,Tables!$G$123:$G$138,1),1),ROWS(Tables!$G$123:$G$138)-1)))+(U112-INDEX(Tables!$G$123:$G$138,MAX(1,MIN(IFERROR(MATCH(U112,Tables!$G$123:$G$138,1),1),ROWS(Tables!$G$123:$G$138)-1))))*(INDEX(Tables!$H$123:$H$138,MAX(1,MIN(IFERROR(MATCH(U112,Tables!$G$123:$G$138,1),1),ROWS(Tables!$G$123:$G$138)-1))+1)-INDEX(Tables!$H$123:$H$138,MAX(1,MIN(IFERROR(MATCH(U112,Tables!$G$123:$G$138,1),1),ROWS(Tables!$G$123:$G$138)-1))))/(INDEX(Tables!$G$123:$G$138,MAX(1,MIN(IFERROR(MATCH(U112,Tables!$G$123:$G$138,1),1),ROWS(Tables!$G$123:$G$138)-1))+1)-INDEX(Tables!$G$123:$G$138,MAX(1,MIN(IFERROR(MATCH(U112,Tables!$G$123:$G$138,1),1),ROWS(Tables!$G$123:$G$138)-1))))))))</f>
        <v>0.50060000000000004</v>
      </c>
      <c r="AR112" s="181">
        <f>IF(OR(P112&gt;=4,U112&gt;12),VLOOKUP(R112&amp;" "&amp;S112,Tables!$D$143:$F$148,2,FALSE),VLOOKUP(R112&amp;" "&amp;S112,Tables!$A$143:$C$148,2,FALSE))</f>
        <v>1</v>
      </c>
      <c r="AS112" s="181">
        <f>IF(OR(P112&gt;=4,U112&gt;12),VLOOKUP(R112&amp;" "&amp;S112,Tables!$D$143:$F$148,3,FALSE),VLOOKUP(R112&amp;" "&amp;S112,Tables!$A$143:$C$148,3,FALSE))</f>
        <v>0.65</v>
      </c>
      <c r="AT112" s="181">
        <f t="shared" si="104"/>
        <v>393.32438114848696</v>
      </c>
      <c r="AU112" s="181">
        <f>IF(AD112=5000,(INDEX(Tables!$B$244:$B$263,MAX(1,MIN(IFERROR(MATCH(AF112,Tables!$A$244:$A$263,1),1),ROWS(Tables!$A$244:$A$263)-1)))+(AF112-INDEX(Tables!$A$244:$A$263,MAX(1,MIN(IFERROR(MATCH(AF112,Tables!$A$244:$A$263,1),1),ROWS(Tables!$A$244:$A$263)-1))))*(INDEX(Tables!$B$244:$B$263,MAX(1,MIN(IFERROR(MATCH(AF112,Tables!$A$244:$A$263,1),1),ROWS(Tables!$A$244:$A$263)-1))+1)-INDEX(Tables!$B$244:$B$263,MAX(1,MIN(IFERROR(MATCH(AF112,Tables!$A$244:$A$263,1),1),ROWS(Tables!$A$244:$A$263)-1))))/(INDEX(Tables!$A$244:$A$263,MAX(1,MIN(IFERROR(MATCH(AF112,Tables!$A$244:$A$263,1),1),ROWS(Tables!$A$244:$A$263)-1))+1)-INDEX(Tables!$A$244:$A$263,MAX(1,MIN(IFERROR(MATCH(AF112,Tables!$A$244:$A$263,1),1),ROWS(Tables!$A$244:$A$263)-1))))),IF(AD112=10000,(INDEX(Tables!$D$244:$D$263,MAX(1,MIN(IFERROR(MATCH(AF112,Tables!$C$244:$C$263,1),1),ROWS(Tables!$C$244:$C$263)-1)))+(AF112-INDEX(Tables!$C$244:$C$263,MAX(1,MIN(IFERROR(MATCH(AF112,Tables!$C$244:$C$263,1),1),ROWS(Tables!$C$244:$C$263)-1))))*(INDEX(Tables!$D$244:$D$263,MAX(1,MIN(IFERROR(MATCH(AF112,Tables!$C$244:$C$263,1),1),ROWS(Tables!$C$244:$C$263)-1))+1)-INDEX(Tables!$D$244:$D$263,MAX(1,MIN(IFERROR(MATCH(AF112,Tables!$C$244:$C$263,1),1),ROWS(Tables!$C$244:$C$263)-1))))/(INDEX(Tables!$C$244:$C$263,MAX(1,MIN(IFERROR(MATCH(AF112,Tables!$C$244:$C$263,1),1),ROWS(Tables!$C$244:$C$263)-1))+1)-INDEX(Tables!$C$244:$C$263,MAX(1,MIN(IFERROR(MATCH(AF112,Tables!$C$244:$C$263,1),1),ROWS(Tables!$C$244:$C$263)-1))))),(INDEX(Tables!$F$244:$F$263,MAX(1,MIN(IFERROR(MATCH(AF112,Tables!$E$244:$E$263,1),1),ROWS(Tables!$E$244:$E$263)-1)))+(AF112-INDEX(Tables!$E$244:$E$263,MAX(1,MIN(IFERROR(MATCH(AF112,Tables!$E$244:$E$263,1),1),ROWS(Tables!$E$244:$E$263)-1))))*(INDEX(Tables!$F$244:$F$263,MAX(1,MIN(IFERROR(MATCH(AF112,Tables!$E$244:$E$263,1),1),ROWS(Tables!$E$244:$E$263)-1))+1)-INDEX(Tables!$F$244:$F$263,MAX(1,MIN(IFERROR(MATCH(AF112,Tables!$E$244:$E$263,1),1),ROWS(Tables!$E$244:$E$263)-1))))/(INDEX(Tables!$E$244:$E$263,MAX(1,MIN(IFERROR(MATCH(AF112,Tables!$E$244:$E$263,1),1),ROWS(Tables!$E$244:$E$263)-1))+1)-INDEX(Tables!$E$244:$E$263,MAX(1,MIN(IFERROR(MATCH(AF112,Tables!$E$244:$E$263,1),1),ROWS(Tables!$E$244:$E$263)-1)))))))</f>
        <v>9.7669999999999995</v>
      </c>
      <c r="AV112" s="181">
        <f>IF(P112&lt;6,(INDEX(Tables!$B$260:$B$274,MAX(1,MIN(IFERROR(MATCH(U112,Tables!$A$260:$A$274,1),1),ROWS(Tables!$A$260:$A$274)-1)))+(U112-INDEX(Tables!$A$260:$A$274,MAX(1,MIN(IFERROR(MATCH(U112,Tables!$A$260:$A$274,1),1),ROWS(Tables!$A$260:$A$274)-1))))*(INDEX(Tables!$B$260:$B$274,MAX(1,MIN(IFERROR(MATCH(U112,Tables!$A$260:$A$274,1),1),ROWS(Tables!$A$260:$A$274)-1))+1)-INDEX(Tables!$B$260:$B$274,MAX(1,MIN(IFERROR(MATCH(U112,Tables!$A$260:$A$274,1),1),ROWS(Tables!$A$260:$A$274)-1))))/(INDEX(Tables!$A$260:$A$274,MAX(1,MIN(IFERROR(MATCH(U112,Tables!$A$260:$A$274,1),1),ROWS(Tables!$A$260:$A$274)-1))+1)-INDEX(Tables!$A$260:$A$274,MAX(1,MIN(IFERROR(MATCH(U112,Tables!$A$260:$A$274,1),1),ROWS(Tables!$A$260:$A$274)-1))))),IF(P112&lt;8,(INDEX(Tables!$D$260:$D$274,MAX(1,MIN(IFERROR(MATCH(U112,Tables!$C$260:$C$274,1),1),ROWS(Tables!$C$260:$C$274)-1)))+(U112-INDEX(Tables!$C$260:$C$274,MAX(1,MIN(IFERROR(MATCH(U112,Tables!$C$260:$C$274,1),1),ROWS(Tables!$C$260:$C$274)-1))))*(INDEX(Tables!$D$260:$D$274,MAX(1,MIN(IFERROR(MATCH(U112,Tables!$C$260:$C$274,1),1),ROWS(Tables!$C$260:$C$274)-1))+1)-INDEX(Tables!$D$260:$D$274,MAX(1,MIN(IFERROR(MATCH(U112,Tables!$C$260:$C$274,1),1),ROWS(Tables!$C$260:$C$274)-1))))/(INDEX(Tables!$C$260:$C$274,MAX(1,MIN(IFERROR(MATCH(U112,Tables!$C$260:$C$274,1),1),ROWS(Tables!$C$260:$C$274)-1))+1)-INDEX(Tables!$C$260:$C$274,MAX(1,MIN(IFERROR(MATCH(U112,Tables!$C$260:$C$274,1),1),ROWS(Tables!$C$260:$C$274)-1))))),IF(P112&lt;10,(INDEX(Tables!$F$260:$F$274,MAX(1,MIN(IFERROR(MATCH(U112,Tables!$E$260:$E$274,1),1),ROWS(Tables!$E$260:$E$274)-1)))+(U112-INDEX(Tables!$E$260:$E$274,MAX(1,MIN(IFERROR(MATCH(U112,Tables!$E$260:$E$274,1),1),ROWS(Tables!$E$260:$E$274)-1))))*(INDEX(Tables!$F$260:$F$274,MAX(1,MIN(IFERROR(MATCH(U112,Tables!$E$260:$E$274,1),1),ROWS(Tables!$E$260:$E$274)-1))+1)-INDEX(Tables!$F$260:$F$274,MAX(1,MIN(IFERROR(MATCH(U112,Tables!$E$260:$E$274,1),1),ROWS(Tables!$E$260:$E$274)-1))))/(INDEX(Tables!$E$260:$E$274,MAX(1,MIN(IFERROR(MATCH(U112,Tables!$E$260:$E$274,1),1),ROWS(Tables!$E$260:$E$274)-1))+1)-INDEX(Tables!$E$260:$E$274,MAX(1,MIN(IFERROR(MATCH(U112,Tables!$E$260:$E$274,1),1),ROWS(Tables!$E$260:$E$274)-1))))),(INDEX(Tables!$H$260:$H$274,MAX(1,MIN(IFERROR(MATCH(U112,Tables!$G$260:$G$274,1),1),ROWS(Tables!$G$260:$G$274)-1)))+(U112-INDEX(Tables!$G$260:$G$274,MAX(1,MIN(IFERROR(MATCH(U112,Tables!$G$260:$G$274,1),1),ROWS(Tables!$G$260:$G$274)-1))))*(INDEX(Tables!$H$260:$H$274,MAX(1,MIN(IFERROR(MATCH(U112,Tables!$G$260:$G$274,1),1),ROWS(Tables!$G$260:$G$274)-1))+1)-INDEX(Tables!$H$260:$H$274,MAX(1,MIN(IFERROR(MATCH(U112,Tables!$G$260:$G$274,1),1),ROWS(Tables!$G$260:$G$274)-1))))/(INDEX(Tables!$G$260:$G$274,MAX(1,MIN(IFERROR(MATCH(U112,Tables!$G$260:$G$274,1),1),ROWS(Tables!$G$260:$G$274)-1))+1)-INDEX(Tables!$G$260:$G$274,MAX(1,MIN(IFERROR(MATCH(U112,Tables!$G$260:$G$274,1),1),ROWS(Tables!$G$260:$G$274)-1))))))))</f>
        <v>0.51828571428571424</v>
      </c>
      <c r="AW112" s="181">
        <f t="shared" si="105"/>
        <v>337.89751834639947</v>
      </c>
      <c r="AX112" s="181">
        <f t="shared" si="106"/>
        <v>54884.615384615383</v>
      </c>
      <c r="AY112" s="181">
        <f t="shared" si="107"/>
        <v>65610.707710486095</v>
      </c>
      <c r="AZ112" s="181">
        <f t="shared" si="108"/>
        <v>19903.112517147682</v>
      </c>
      <c r="BA112" s="181">
        <f t="shared" si="109"/>
        <v>-1000</v>
      </c>
      <c r="BB112" s="181">
        <f t="shared" si="110"/>
        <v>59004.706392602449</v>
      </c>
      <c r="BC112" s="181">
        <f t="shared" si="111"/>
        <v>46800</v>
      </c>
      <c r="BD112" s="181">
        <f>VLOOKUP(V112&amp;" "&amp;J112,Tables!$A$152:$E$239,4,FALSE)</f>
        <v>12000</v>
      </c>
      <c r="BE112" s="181">
        <f>VLOOKUP(V112&amp;" "&amp;J112,Tables!$A$152:$E$239,5,FALSE)</f>
        <v>23000</v>
      </c>
      <c r="BF112" s="181">
        <f t="shared" si="112"/>
        <v>8640</v>
      </c>
      <c r="BG112" s="181">
        <f t="shared" si="113"/>
        <v>16560</v>
      </c>
      <c r="BH112" s="181">
        <f t="shared" si="114"/>
        <v>55384.615384615383</v>
      </c>
      <c r="BI112" s="181">
        <f t="shared" si="115"/>
        <v>46800</v>
      </c>
      <c r="BJ112" s="181">
        <f t="shared" si="116"/>
        <v>59004.706392602449</v>
      </c>
      <c r="BK112" s="181">
        <f t="shared" si="117"/>
        <v>46800</v>
      </c>
      <c r="BL112" s="181">
        <f t="shared" si="118"/>
        <v>337.89751834639947</v>
      </c>
      <c r="BM112" s="181">
        <f t="shared" si="119"/>
        <v>8640</v>
      </c>
      <c r="BN112" s="181">
        <f t="shared" si="120"/>
        <v>393.32438114848696</v>
      </c>
      <c r="BO112" s="181">
        <f t="shared" si="121"/>
        <v>16560</v>
      </c>
      <c r="BP112" t="str">
        <f t="shared" si="122"/>
        <v>Fail</v>
      </c>
      <c r="BQ112" t="str">
        <f t="shared" si="123"/>
        <v>Fail</v>
      </c>
      <c r="BR112" t="str">
        <f t="shared" si="124"/>
        <v>Pass</v>
      </c>
      <c r="BS112" t="str">
        <f t="shared" si="125"/>
        <v>Pass</v>
      </c>
      <c r="BT112" t="str">
        <f t="shared" si="126"/>
        <v>Fail</v>
      </c>
      <c r="BU112" t="str">
        <f t="shared" si="127"/>
        <v>Effective Stress</v>
      </c>
    </row>
    <row r="113" spans="1:73">
      <c r="A113" t="s">
        <v>705</v>
      </c>
      <c r="B113" s="181">
        <v>111</v>
      </c>
      <c r="C113" t="s">
        <v>594</v>
      </c>
      <c r="D113" s="181">
        <v>48</v>
      </c>
      <c r="E113" s="181">
        <v>0.38800000000000001</v>
      </c>
      <c r="F113" t="s">
        <v>117</v>
      </c>
      <c r="G113" t="s">
        <v>119</v>
      </c>
      <c r="H113" t="s">
        <v>122</v>
      </c>
      <c r="I113" s="181">
        <v>1</v>
      </c>
      <c r="J113" t="s">
        <v>126</v>
      </c>
      <c r="K113" t="s">
        <v>129</v>
      </c>
      <c r="L113" s="181">
        <v>70</v>
      </c>
      <c r="M113" s="181">
        <v>1440</v>
      </c>
      <c r="N113" t="s">
        <v>391</v>
      </c>
      <c r="O113" s="181">
        <v>120</v>
      </c>
      <c r="P113" s="181">
        <v>30</v>
      </c>
      <c r="Q113" s="181">
        <v>50</v>
      </c>
      <c r="R113" t="s">
        <v>154</v>
      </c>
      <c r="S113" t="s">
        <v>420</v>
      </c>
      <c r="T113" s="181">
        <v>70</v>
      </c>
      <c r="U113" s="181">
        <f>HLOOKUP(D113,'Highway Loading'!$C$155:$AD$156,2,FALSE)</f>
        <v>48</v>
      </c>
      <c r="V113" s="181">
        <f>IF(ISBLANK(G113),"",INDEX('Highway Loading'!$C$216:$AG$216,1,MATCH(G113,'Highway Loading'!$C$215:$AG$215,0)))</f>
        <v>65000</v>
      </c>
      <c r="W113" s="181">
        <f>INDEX('Highway Loading'!$I$245:$L$253,MATCH(H113,'Highway Loading'!$H$245:$H$253,0),MATCH(I113,'Highway Loading'!$I$244:$L$244,0))</f>
        <v>0.72</v>
      </c>
      <c r="X113" s="181">
        <f t="shared" si="96"/>
        <v>1</v>
      </c>
      <c r="Y113" s="181">
        <f>VLOOKUP(K113,'Highway Loading'!$B$283:$E$292,2,FALSE)</f>
        <v>29000000</v>
      </c>
      <c r="Z113" s="181">
        <f>VLOOKUP(K113,'Highway Loading'!$B$283:$E$292,3,FALSE)</f>
        <v>0.3</v>
      </c>
      <c r="AA113" s="181">
        <f>VLOOKUP(K113,'Highway Loading'!$B$283:$E$292,4,FALSE)</f>
        <v>6.4999999999999996E-6</v>
      </c>
      <c r="AB113" s="181">
        <f t="shared" si="97"/>
        <v>1</v>
      </c>
      <c r="AC113" s="181">
        <f>VLOOKUP(N113,'Highway Loading'!$B$256:$D$261,2,FALSE)</f>
        <v>1000</v>
      </c>
      <c r="AD113" s="181">
        <f>VLOOKUP(N113,'Highway Loading'!$B$256:$D$261,3,FALSE)</f>
        <v>10000</v>
      </c>
      <c r="AE113" s="181">
        <f>VLOOKUP(S113,'Highway Loading'!$B$340:$C$341,2,FALSE)</f>
        <v>12000</v>
      </c>
      <c r="AF113" s="181">
        <f t="shared" si="98"/>
        <v>8.083333333333333E-3</v>
      </c>
      <c r="AG113" s="181">
        <f t="shared" si="99"/>
        <v>7.2</v>
      </c>
      <c r="AH113" s="181">
        <f t="shared" si="100"/>
        <v>1.0416666666666667</v>
      </c>
      <c r="AI113" s="181">
        <f t="shared" si="101"/>
        <v>89072.164948453603</v>
      </c>
      <c r="AJ113" s="181">
        <f t="shared" si="102"/>
        <v>46800</v>
      </c>
      <c r="AK113" s="181">
        <f>IF(AC113=200,(INDEX(Tables!$B$17:$B$38,MAX(1,MIN(IFERROR(MATCH(AF113,Tables!$A$17:$A$38,1),1),ROWS(Tables!$A$17:$A$38)-1)))+(AF113-INDEX(Tables!$A$17:$A$38,MAX(1,MIN(IFERROR(MATCH(AF113,Tables!$A$17:$A$38,1),1),ROWS(Tables!$A$17:$A$38)-1))))*(INDEX(Tables!$B$17:$B$38,MAX(1,MIN(IFERROR(MATCH(AF113,Tables!$A$17:$A$38,1),1),ROWS(Tables!$A$17:$A$38)-1))+1)-INDEX(Tables!$B$17:$B$38,MAX(1,MIN(IFERROR(MATCH(AF113,Tables!$A$17:$A$38,1),1),ROWS(Tables!$A$17:$A$38)-1))))/(INDEX(Tables!$A$17:$A$38,MAX(1,MIN(IFERROR(MATCH(AF113,Tables!$A$17:$A$38,1),1),ROWS(Tables!$A$17:$A$38)-1))+1)-INDEX(Tables!$A$17:$A$38,MAX(1,MIN(IFERROR(MATCH(AF113,Tables!$A$17:$A$38,1),1),ROWS(Tables!$A$17:$A$38)-1))))),IF(AC113=500,(INDEX(Tables!$D$17:$D$38,MAX(1,MIN(IFERROR(MATCH(AF113,Tables!$C$17:$C$38,1),1),ROWS(Tables!$C$17:$C$38)-1)))+(AF113-INDEX(Tables!$C$17:$C$38,MAX(1,MIN(IFERROR(MATCH(AF113,Tables!$C$17:$C$38,1),1),ROWS(Tables!$C$17:$C$38)-1))))*(INDEX(Tables!$D$17:$D$38,MAX(1,MIN(IFERROR(MATCH(AF113,Tables!$C$17:$C$38,1),1),ROWS(Tables!$C$17:$C$38)-1))+1)-INDEX(Tables!$D$17:$D$38,MAX(1,MIN(IFERROR(MATCH(AF113,Tables!$C$17:$C$38,1),1),ROWS(Tables!$C$17:$C$38)-1))))/(INDEX(Tables!$C$17:$C$38,MAX(1,MIN(IFERROR(MATCH(AF113,Tables!$C$17:$C$38,1),1),ROWS(Tables!$C$17:$C$38)-1))+1)-INDEX(Tables!$C$17:$C$38,MAX(1,MIN(IFERROR(MATCH(AF113,Tables!$C$17:$C$38,1),1),ROWS(Tables!$C$17:$C$38)-1))))),IF(AC113=1000,(INDEX(Tables!$F$17:$F$38,MAX(1,MIN(IFERROR(MATCH(AF113,Tables!$E$17:$E$38,1),1),ROWS(Tables!$E$17:$E$38)-1)))+(AF113-INDEX(Tables!$E$17:$E$38,MAX(1,MIN(IFERROR(MATCH(AF113,Tables!$E$17:$E$38,1),1),ROWS(Tables!$E$17:$E$38)-1))))*(INDEX(Tables!$F$17:$F$38,MAX(1,MIN(IFERROR(MATCH(AF113,Tables!$E$17:$E$38,1),1),ROWS(Tables!$E$17:$E$38)-1))+1)-INDEX(Tables!$F$17:$F$38,MAX(1,MIN(IFERROR(MATCH(AF113,Tables!$E$17:$E$38,1),1),ROWS(Tables!$E$17:$E$38)-1))))/(INDEX(Tables!$E$17:$E$38,MAX(1,MIN(IFERROR(MATCH(AF113,Tables!$E$17:$E$38,1),1),ROWS(Tables!$E$17:$E$38)-1))+1)-INDEX(Tables!$E$17:$E$38,MAX(1,MIN(IFERROR(MATCH(AF113,Tables!$E$17:$E$38,1),1),ROWS(Tables!$E$17:$E$38)-1))))),(INDEX(Tables!$H$17:$H$38,MAX(1,MIN(IFERROR(MATCH(AF113,Tables!$G$17:$G$38,1),1),ROWS(Tables!$G$17:$G$38)-1)))+(AF113-INDEX(Tables!$G$17:$G$38,MAX(1,MIN(IFERROR(MATCH(AF113,Tables!$G$17:$G$38,1),1),ROWS(Tables!$G$17:$G$38)-1))))*(INDEX(Tables!$H$17:$H$38,MAX(1,MIN(IFERROR(MATCH(AF113,Tables!$G$17:$G$38,1),1),ROWS(Tables!$G$17:$G$38)-1))+1)-INDEX(Tables!$H$17:$H$38,MAX(1,MIN(IFERROR(MATCH(AF113,Tables!$G$17:$G$38,1),1),ROWS(Tables!$G$17:$G$38)-1))))/(INDEX(Tables!$G$17:$G$38,MAX(1,MIN(IFERROR(MATCH(AF113,Tables!$G$17:$G$38,1),1),ROWS(Tables!$G$17:$G$38)-1))+1)-INDEX(Tables!$G$17:$G$38,MAX(1,MIN(IFERROR(MATCH(AF113,Tables!$G$17:$G$38,1),1),ROWS(Tables!$G$17:$G$38)-1))))))))</f>
        <v>5266.3333333333339</v>
      </c>
      <c r="AL113" s="181">
        <f>IF(AC113&lt;1000,(INDEX(Tables!$B$43:$B$76,MAX(1,MIN(IFERROR(MATCH(AG113,Tables!$A$43:$A$76,1),1),ROWS(Tables!$A$43:$A$76)-1)))+(AG113-INDEX(Tables!$A$43:$A$76,MAX(1,MIN(IFERROR(MATCH(AG113,Tables!$A$43:$A$76,1),1),ROWS(Tables!$A$43:$A$76)-1))))*(INDEX(Tables!$B$43:$B$76,MAX(1,MIN(IFERROR(MATCH(AG113,Tables!$A$43:$A$76,1),1),ROWS(Tables!$A$43:$A$76)-1))+1)-INDEX(Tables!$B$43:$B$76,MAX(1,MIN(IFERROR(MATCH(AG113,Tables!$A$43:$A$76,1),1),ROWS(Tables!$A$43:$A$76)-1))))/(INDEX(Tables!$A$43:$A$76,MAX(1,MIN(IFERROR(MATCH(AG113,Tables!$A$43:$A$76,1),1),ROWS(Tables!$A$43:$A$76)-1))+1)-INDEX(Tables!$A$43:$A$76,MAX(1,MIN(IFERROR(MATCH(AG113,Tables!$A$43:$A$76,1),1),ROWS(Tables!$A$43:$A$76)-1))))),(INDEX(Tables!$D$43:$D$76,MAX(1,MIN(IFERROR(MATCH(AG113,Tables!$C$43:$C$76,1),1),ROWS(Tables!$C$43:$C$76)-1)))+(AG113-INDEX(Tables!$C$43:$C$76,MAX(1,MIN(IFERROR(MATCH(AG113,Tables!$C$43:$C$76,1),1),ROWS(Tables!$C$43:$C$76)-1))))*(INDEX(Tables!$D$43:$D$76,MAX(1,MIN(IFERROR(MATCH(AG113,Tables!$C$43:$C$76,1),1),ROWS(Tables!$C$43:$C$76)-1))+1)-INDEX(Tables!$D$43:$D$76,MAX(1,MIN(IFERROR(MATCH(AG113,Tables!$C$43:$C$76,1),1),ROWS(Tables!$C$43:$C$76)-1))))/(INDEX(Tables!$C$43:$C$76,MAX(1,MIN(IFERROR(MATCH(AG113,Tables!$C$43:$C$76,1),1),ROWS(Tables!$C$43:$C$76)-1))+1)-INDEX(Tables!$C$43:$C$76,MAX(1,MIN(IFERROR(MATCH(AG113,Tables!$C$43:$C$76,1),1),ROWS(Tables!$C$43:$C$76)-1))))))</f>
        <v>1.0784</v>
      </c>
      <c r="AM113" s="181">
        <f>(INDEX(Tables!$B$80:$B$87,MAX(1,MIN(IFERROR(MATCH(AH113,Tables!$A$80:$A$87,1),1),ROWS(Tables!$A$80:$A$87)-1)))+(AH113-INDEX(Tables!$A$80:$A$87,MAX(1,MIN(IFERROR(MATCH(AH113,Tables!$A$80:$A$87,1),1),ROWS(Tables!$A$80:$A$87)-1))))*(INDEX(Tables!$B$80:$B$87,MAX(1,MIN(IFERROR(MATCH(AH113,Tables!$A$80:$A$87,1),1),ROWS(Tables!$A$80:$A$87)-1))+1)-INDEX(Tables!$B$80:$B$87,MAX(1,MIN(IFERROR(MATCH(AH113,Tables!$A$80:$A$87,1),1),ROWS(Tables!$A$80:$A$87)-1))))/(INDEX(Tables!$A$80:$A$87,MAX(1,MIN(IFERROR(MATCH(AH113,Tables!$A$80:$A$87,1),1),ROWS(Tables!$A$80:$A$87)-1))+1)-INDEX(Tables!$A$80:$A$87,MAX(1,MIN(IFERROR(MATCH(AH113,Tables!$A$80:$A$87,1),1),ROWS(Tables!$A$80:$A$87)-1)))))</f>
        <v>0.89595000000000002</v>
      </c>
      <c r="AN113" s="181">
        <f t="shared" si="103"/>
        <v>16960.972212800003</v>
      </c>
      <c r="AO113" s="181">
        <f>(INDEX(Tables!$B$91:$B$94,MAX(1,MIN(IFERROR(MATCH(P113,Tables!$A$91:$A$94,1),1),ROWS(Tables!$A$91:$A$94)-1)))+(P113-INDEX(Tables!$A$91:$A$94,MAX(1,MIN(IFERROR(MATCH(P113,Tables!$A$91:$A$94,1),1),ROWS(Tables!$A$91:$A$94)-1))))*(INDEX(Tables!$B$91:$B$94,MAX(1,MIN(IFERROR(MATCH(P113,Tables!$A$91:$A$94,1),1),ROWS(Tables!$A$91:$A$94)-1))+1)-INDEX(Tables!$B$91:$B$94,MAX(1,MIN(IFERROR(MATCH(P113,Tables!$A$91:$A$94,1),1),ROWS(Tables!$A$91:$A$94)-1))))/(INDEX(Tables!$A$91:$A$94,MAX(1,MIN(IFERROR(MATCH(P113,Tables!$A$91:$A$94,1),1),ROWS(Tables!$A$91:$A$94)-1))+1)-INDEX(Tables!$A$91:$A$94,MAX(1,MIN(IFERROR(MATCH(P113,Tables!$A$91:$A$94,1),1),ROWS(Tables!$A$91:$A$94)-1)))))</f>
        <v>1</v>
      </c>
      <c r="AP113" s="181">
        <f>IF(AD113=5000,(INDEX(Tables!$B$99:$B$118,MAX(1,MIN(IFERROR(MATCH(AF113,Tables!$A$99:$A$118,1),1),ROWS(Tables!$A$99:$A$118)-1)))+(AF113-INDEX(Tables!$A$99:$A$118,MAX(1,MIN(IFERROR(MATCH(AF113,Tables!$A$99:$A$118,1),1),ROWS(Tables!$A$99:$A$118)-1))))*(INDEX(Tables!$B$99:$B$118,MAX(1,MIN(IFERROR(MATCH(AF113,Tables!$A$99:$A$118,1),1),ROWS(Tables!$A$99:$A$118)-1))+1)-INDEX(Tables!$B$99:$B$118,MAX(1,MIN(IFERROR(MATCH(AF113,Tables!$A$99:$A$118,1),1),ROWS(Tables!$A$99:$A$118)-1))))/(INDEX(Tables!$A$99:$A$118,MAX(1,MIN(IFERROR(MATCH(AF113,Tables!$A$99:$A$118,1),1),ROWS(Tables!$A$99:$A$118)-1))+1)-INDEX(Tables!$A$99:$A$118,MAX(1,MIN(IFERROR(MATCH(AF113,Tables!$A$99:$A$118,1),1),ROWS(Tables!$A$99:$A$118)-1))))),IF(AD113=10000,(INDEX(Tables!$D$99:$D$118,MAX(1,MIN(IFERROR(MATCH(AF113,Tables!$C$99:$C$118,1),1),ROWS(Tables!$C$99:$C$118)-1)))+(AF113-INDEX(Tables!$C$99:$C$118,MAX(1,MIN(IFERROR(MATCH(AF113,Tables!$C$99:$C$118,1),1),ROWS(Tables!$C$99:$C$118)-1))))*(INDEX(Tables!$D$99:$D$118,MAX(1,MIN(IFERROR(MATCH(AF113,Tables!$C$99:$C$118,1),1),ROWS(Tables!$C$99:$C$118)-1))+1)-INDEX(Tables!$D$99:$D$118,MAX(1,MIN(IFERROR(MATCH(AF113,Tables!$C$99:$C$118,1),1),ROWS(Tables!$C$99:$C$118)-1))))/(INDEX(Tables!$C$99:$C$118,MAX(1,MIN(IFERROR(MATCH(AF113,Tables!$C$99:$C$118,1),1),ROWS(Tables!$C$99:$C$118)-1))+1)-INDEX(Tables!$C$99:$C$118,MAX(1,MIN(IFERROR(MATCH(AF113,Tables!$C$99:$C$118,1),1),ROWS(Tables!$C$99:$C$118)-1))))),(INDEX(Tables!$F$99:$F$118,MAX(1,MIN(IFERROR(MATCH(AF113,Tables!$E$99:$E$118,1),1),ROWS(Tables!$E$99:$E$118)-1)))+(AF113-INDEX(Tables!$E$99:$E$118,MAX(1,MIN(IFERROR(MATCH(AF113,Tables!$E$99:$E$118,1),1),ROWS(Tables!$E$99:$E$118)-1))))*(INDEX(Tables!$F$99:$F$118,MAX(1,MIN(IFERROR(MATCH(AF113,Tables!$E$99:$E$118,1),1),ROWS(Tables!$E$99:$E$118)-1))+1)-INDEX(Tables!$F$99:$F$118,MAX(1,MIN(IFERROR(MATCH(AF113,Tables!$E$99:$E$118,1),1),ROWS(Tables!$E$99:$E$118)-1))))/(INDEX(Tables!$E$99:$E$118,MAX(1,MIN(IFERROR(MATCH(AF113,Tables!$E$99:$E$118,1),1),ROWS(Tables!$E$99:$E$118)-1))+1)-INDEX(Tables!$E$99:$E$118,MAX(1,MIN(IFERROR(MATCH(AF113,Tables!$E$99:$E$118,1),1),ROWS(Tables!$E$99:$E$118)-1)))))))</f>
        <v>10.99765891472868</v>
      </c>
      <c r="AQ113" s="181">
        <f>IF(P113&lt;6,(INDEX(Tables!$B$123:$B$138,MAX(1,MIN(IFERROR(MATCH(U113,Tables!$A$123:$A$138,1),1),ROWS(Tables!$A$123:$A$138)-1)))+(U113-INDEX(Tables!$A$123:$A$138,MAX(1,MIN(IFERROR(MATCH(U113,Tables!$A$123:$A$138,1),1),ROWS(Tables!$A$123:$A$138)-1))))*(INDEX(Tables!$B$123:$B$138,MAX(1,MIN(IFERROR(MATCH(U113,Tables!$A$123:$A$138,1),1),ROWS(Tables!$A$123:$A$138)-1))+1)-INDEX(Tables!$B$123:$B$138,MAX(1,MIN(IFERROR(MATCH(U113,Tables!$A$123:$A$138,1),1),ROWS(Tables!$A$123:$A$138)-1))))/(INDEX(Tables!$A$123:$A$138,MAX(1,MIN(IFERROR(MATCH(U113,Tables!$A$123:$A$138,1),1),ROWS(Tables!$A$123:$A$138)-1))+1)-INDEX(Tables!$A$123:$A$138,MAX(1,MIN(IFERROR(MATCH(U113,Tables!$A$123:$A$138,1),1),ROWS(Tables!$A$123:$A$138)-1))))),IF(P113&lt;8,(INDEX(Tables!$D$123:$D$138,MAX(1,MIN(IFERROR(MATCH(U113,Tables!$C$123:$C$138,1),1),ROWS(Tables!$C$123:$C$138)-1)))+(U113-INDEX(Tables!$C$123:$C$138,MAX(1,MIN(IFERROR(MATCH(U113,Tables!$C$123:$C$138,1),1),ROWS(Tables!$C$123:$C$138)-1))))*(INDEX(Tables!$D$123:$D$138,MAX(1,MIN(IFERROR(MATCH(U113,Tables!$C$123:$C$138,1),1),ROWS(Tables!$C$123:$C$138)-1))+1)-INDEX(Tables!$D$123:$D$138,MAX(1,MIN(IFERROR(MATCH(U113,Tables!$C$123:$C$138,1),1),ROWS(Tables!$C$123:$C$138)-1))))/(INDEX(Tables!$C$123:$C$138,MAX(1,MIN(IFERROR(MATCH(U113,Tables!$C$123:$C$138,1),1),ROWS(Tables!$C$123:$C$138)-1))+1)-INDEX(Tables!$C$123:$C$138,MAX(1,MIN(IFERROR(MATCH(U113,Tables!$C$123:$C$138,1),1),ROWS(Tables!$C$123:$C$138)-1))))),IF(P113&lt;10,(INDEX(Tables!$F$123:$F$138,MAX(1,MIN(IFERROR(MATCH(U113,Tables!$E$123:$E$138,1),1),ROWS(Tables!$E$123:$E$138)-1)))+(U113-INDEX(Tables!$E$123:$E$138,MAX(1,MIN(IFERROR(MATCH(U113,Tables!$E$123:$E$138,1),1),ROWS(Tables!$E$123:$E$138)-1))))*(INDEX(Tables!$F$123:$F$138,MAX(1,MIN(IFERROR(MATCH(U113,Tables!$E$123:$E$138,1),1),ROWS(Tables!$E$123:$E$138)-1))+1)-INDEX(Tables!$F$123:$F$138,MAX(1,MIN(IFERROR(MATCH(U113,Tables!$E$123:$E$138,1),1),ROWS(Tables!$E$123:$E$138)-1))))/(INDEX(Tables!$E$123:$E$138,MAX(1,MIN(IFERROR(MATCH(U113,Tables!$E$123:$E$138,1),1),ROWS(Tables!$E$123:$E$138)-1))+1)-INDEX(Tables!$E$123:$E$138,MAX(1,MIN(IFERROR(MATCH(U113,Tables!$E$123:$E$138,1),1),ROWS(Tables!$E$123:$E$138)-1))))),(INDEX(Tables!$H$123:$H$138,MAX(1,MIN(IFERROR(MATCH(U113,Tables!$G$123:$G$138,1),1),ROWS(Tables!$G$123:$G$138)-1)))+(U113-INDEX(Tables!$G$123:$G$138,MAX(1,MIN(IFERROR(MATCH(U113,Tables!$G$123:$G$138,1),1),ROWS(Tables!$G$123:$G$138)-1))))*(INDEX(Tables!$H$123:$H$138,MAX(1,MIN(IFERROR(MATCH(U113,Tables!$G$123:$G$138,1),1),ROWS(Tables!$G$123:$G$138)-1))+1)-INDEX(Tables!$H$123:$H$138,MAX(1,MIN(IFERROR(MATCH(U113,Tables!$G$123:$G$138,1),1),ROWS(Tables!$G$123:$G$138)-1))))/(INDEX(Tables!$G$123:$G$138,MAX(1,MIN(IFERROR(MATCH(U113,Tables!$G$123:$G$138,1),1),ROWS(Tables!$G$123:$G$138)-1))+1)-INDEX(Tables!$G$123:$G$138,MAX(1,MIN(IFERROR(MATCH(U113,Tables!$G$123:$G$138,1),1),ROWS(Tables!$G$123:$G$138)-1))))))))</f>
        <v>0.46899999999999997</v>
      </c>
      <c r="AR113" s="181">
        <f>IF(OR(P113&gt;=4,U113&gt;12),VLOOKUP(R113&amp;" "&amp;S113,Tables!$D$143:$F$148,2,FALSE),VLOOKUP(R113&amp;" "&amp;S113,Tables!$A$143:$C$148,2,FALSE))</f>
        <v>1</v>
      </c>
      <c r="AS113" s="181">
        <f>IF(OR(P113&gt;=4,U113&gt;12),VLOOKUP(R113&amp;" "&amp;S113,Tables!$D$143:$F$148,3,FALSE),VLOOKUP(R113&amp;" "&amp;S113,Tables!$A$143:$C$148,3,FALSE))</f>
        <v>0.65</v>
      </c>
      <c r="AT113" s="181">
        <f t="shared" si="104"/>
        <v>279.38636001291979</v>
      </c>
      <c r="AU113" s="181">
        <f>IF(AD113=5000,(INDEX(Tables!$B$244:$B$263,MAX(1,MIN(IFERROR(MATCH(AF113,Tables!$A$244:$A$263,1),1),ROWS(Tables!$A$244:$A$263)-1)))+(AF113-INDEX(Tables!$A$244:$A$263,MAX(1,MIN(IFERROR(MATCH(AF113,Tables!$A$244:$A$263,1),1),ROWS(Tables!$A$244:$A$263)-1))))*(INDEX(Tables!$B$244:$B$263,MAX(1,MIN(IFERROR(MATCH(AF113,Tables!$A$244:$A$263,1),1),ROWS(Tables!$A$244:$A$263)-1))+1)-INDEX(Tables!$B$244:$B$263,MAX(1,MIN(IFERROR(MATCH(AF113,Tables!$A$244:$A$263,1),1),ROWS(Tables!$A$244:$A$263)-1))))/(INDEX(Tables!$A$244:$A$263,MAX(1,MIN(IFERROR(MATCH(AF113,Tables!$A$244:$A$263,1),1),ROWS(Tables!$A$244:$A$263)-1))+1)-INDEX(Tables!$A$244:$A$263,MAX(1,MIN(IFERROR(MATCH(AF113,Tables!$A$244:$A$263,1),1),ROWS(Tables!$A$244:$A$263)-1))))),IF(AD113=10000,(INDEX(Tables!$D$244:$D$263,MAX(1,MIN(IFERROR(MATCH(AF113,Tables!$C$244:$C$263,1),1),ROWS(Tables!$C$244:$C$263)-1)))+(AF113-INDEX(Tables!$C$244:$C$263,MAX(1,MIN(IFERROR(MATCH(AF113,Tables!$C$244:$C$263,1),1),ROWS(Tables!$C$244:$C$263)-1))))*(INDEX(Tables!$D$244:$D$263,MAX(1,MIN(IFERROR(MATCH(AF113,Tables!$C$244:$C$263,1),1),ROWS(Tables!$C$244:$C$263)-1))+1)-INDEX(Tables!$D$244:$D$263,MAX(1,MIN(IFERROR(MATCH(AF113,Tables!$C$244:$C$263,1),1),ROWS(Tables!$C$244:$C$263)-1))))/(INDEX(Tables!$C$244:$C$263,MAX(1,MIN(IFERROR(MATCH(AF113,Tables!$C$244:$C$263,1),1),ROWS(Tables!$C$244:$C$263)-1))+1)-INDEX(Tables!$C$244:$C$263,MAX(1,MIN(IFERROR(MATCH(AF113,Tables!$C$244:$C$263,1),1),ROWS(Tables!$C$244:$C$263)-1))))),(INDEX(Tables!$F$244:$F$263,MAX(1,MIN(IFERROR(MATCH(AF113,Tables!$E$244:$E$263,1),1),ROWS(Tables!$E$244:$E$263)-1)))+(AF113-INDEX(Tables!$E$244:$E$263,MAX(1,MIN(IFERROR(MATCH(AF113,Tables!$E$244:$E$263,1),1),ROWS(Tables!$E$244:$E$263)-1))))*(INDEX(Tables!$F$244:$F$263,MAX(1,MIN(IFERROR(MATCH(AF113,Tables!$E$244:$E$263,1),1),ROWS(Tables!$E$244:$E$263)-1))+1)-INDEX(Tables!$F$244:$F$263,MAX(1,MIN(IFERROR(MATCH(AF113,Tables!$E$244:$E$263,1),1),ROWS(Tables!$E$244:$E$263)-1))))/(INDEX(Tables!$E$244:$E$263,MAX(1,MIN(IFERROR(MATCH(AF113,Tables!$E$244:$E$263,1),1),ROWS(Tables!$E$244:$E$263)-1))+1)-INDEX(Tables!$E$244:$E$263,MAX(1,MIN(IFERROR(MATCH(AF113,Tables!$E$244:$E$263,1),1),ROWS(Tables!$E$244:$E$263)-1)))))))</f>
        <v>9.7669999999999995</v>
      </c>
      <c r="AV113" s="181">
        <f>IF(P113&lt;6,(INDEX(Tables!$B$260:$B$274,MAX(1,MIN(IFERROR(MATCH(U113,Tables!$A$260:$A$274,1),1),ROWS(Tables!$A$260:$A$274)-1)))+(U113-INDEX(Tables!$A$260:$A$274,MAX(1,MIN(IFERROR(MATCH(U113,Tables!$A$260:$A$274,1),1),ROWS(Tables!$A$260:$A$274)-1))))*(INDEX(Tables!$B$260:$B$274,MAX(1,MIN(IFERROR(MATCH(U113,Tables!$A$260:$A$274,1),1),ROWS(Tables!$A$260:$A$274)-1))+1)-INDEX(Tables!$B$260:$B$274,MAX(1,MIN(IFERROR(MATCH(U113,Tables!$A$260:$A$274,1),1),ROWS(Tables!$A$260:$A$274)-1))))/(INDEX(Tables!$A$260:$A$274,MAX(1,MIN(IFERROR(MATCH(U113,Tables!$A$260:$A$274,1),1),ROWS(Tables!$A$260:$A$274)-1))+1)-INDEX(Tables!$A$260:$A$274,MAX(1,MIN(IFERROR(MATCH(U113,Tables!$A$260:$A$274,1),1),ROWS(Tables!$A$260:$A$274)-1))))),IF(P113&lt;8,(INDEX(Tables!$D$260:$D$274,MAX(1,MIN(IFERROR(MATCH(U113,Tables!$C$260:$C$274,1),1),ROWS(Tables!$C$260:$C$274)-1)))+(U113-INDEX(Tables!$C$260:$C$274,MAX(1,MIN(IFERROR(MATCH(U113,Tables!$C$260:$C$274,1),1),ROWS(Tables!$C$260:$C$274)-1))))*(INDEX(Tables!$D$260:$D$274,MAX(1,MIN(IFERROR(MATCH(U113,Tables!$C$260:$C$274,1),1),ROWS(Tables!$C$260:$C$274)-1))+1)-INDEX(Tables!$D$260:$D$274,MAX(1,MIN(IFERROR(MATCH(U113,Tables!$C$260:$C$274,1),1),ROWS(Tables!$C$260:$C$274)-1))))/(INDEX(Tables!$C$260:$C$274,MAX(1,MIN(IFERROR(MATCH(U113,Tables!$C$260:$C$274,1),1),ROWS(Tables!$C$260:$C$274)-1))+1)-INDEX(Tables!$C$260:$C$274,MAX(1,MIN(IFERROR(MATCH(U113,Tables!$C$260:$C$274,1),1),ROWS(Tables!$C$260:$C$274)-1))))),IF(P113&lt;10,(INDEX(Tables!$F$260:$F$274,MAX(1,MIN(IFERROR(MATCH(U113,Tables!$E$260:$E$274,1),1),ROWS(Tables!$E$260:$E$274)-1)))+(U113-INDEX(Tables!$E$260:$E$274,MAX(1,MIN(IFERROR(MATCH(U113,Tables!$E$260:$E$274,1),1),ROWS(Tables!$E$260:$E$274)-1))))*(INDEX(Tables!$F$260:$F$274,MAX(1,MIN(IFERROR(MATCH(U113,Tables!$E$260:$E$274,1),1),ROWS(Tables!$E$260:$E$274)-1))+1)-INDEX(Tables!$F$260:$F$274,MAX(1,MIN(IFERROR(MATCH(U113,Tables!$E$260:$E$274,1),1),ROWS(Tables!$E$260:$E$274)-1))))/(INDEX(Tables!$E$260:$E$274,MAX(1,MIN(IFERROR(MATCH(U113,Tables!$E$260:$E$274,1),1),ROWS(Tables!$E$260:$E$274)-1))+1)-INDEX(Tables!$E$260:$E$274,MAX(1,MIN(IFERROR(MATCH(U113,Tables!$E$260:$E$274,1),1),ROWS(Tables!$E$260:$E$274)-1))))),(INDEX(Tables!$H$260:$H$274,MAX(1,MIN(IFERROR(MATCH(U113,Tables!$G$260:$G$274,1),1),ROWS(Tables!$G$260:$G$274)-1)))+(U113-INDEX(Tables!$G$260:$G$274,MAX(1,MIN(IFERROR(MATCH(U113,Tables!$G$260:$G$274,1),1),ROWS(Tables!$G$260:$G$274)-1))))*(INDEX(Tables!$H$260:$H$274,MAX(1,MIN(IFERROR(MATCH(U113,Tables!$G$260:$G$274,1),1),ROWS(Tables!$G$260:$G$274)-1))+1)-INDEX(Tables!$H$260:$H$274,MAX(1,MIN(IFERROR(MATCH(U113,Tables!$G$260:$G$274,1),1),ROWS(Tables!$G$260:$G$274)-1))))/(INDEX(Tables!$G$260:$G$274,MAX(1,MIN(IFERROR(MATCH(U113,Tables!$G$260:$G$274,1),1),ROWS(Tables!$G$260:$G$274)-1))+1)-INDEX(Tables!$G$260:$G$274,MAX(1,MIN(IFERROR(MATCH(U113,Tables!$G$260:$G$274,1),1),ROWS(Tables!$G$260:$G$274)-1))))))))</f>
        <v>0.45700000000000002</v>
      </c>
      <c r="AW113" s="181">
        <f t="shared" si="105"/>
        <v>241.77394583333333</v>
      </c>
      <c r="AX113" s="181">
        <f t="shared" si="106"/>
        <v>88352.164948453603</v>
      </c>
      <c r="AY113" s="181">
        <f t="shared" si="107"/>
        <v>105592.52352126653</v>
      </c>
      <c r="AZ113" s="181">
        <f t="shared" si="108"/>
        <v>31835.715094209412</v>
      </c>
      <c r="BA113" s="181">
        <f t="shared" si="109"/>
        <v>-1440</v>
      </c>
      <c r="BB113" s="181">
        <f t="shared" si="110"/>
        <v>94877.0285572516</v>
      </c>
      <c r="BC113" s="181">
        <f t="shared" si="111"/>
        <v>46800</v>
      </c>
      <c r="BD113" s="181">
        <f>VLOOKUP(V113&amp;" "&amp;J113,Tables!$A$152:$E$239,4,FALSE)</f>
        <v>12000</v>
      </c>
      <c r="BE113" s="181">
        <f>VLOOKUP(V113&amp;" "&amp;J113,Tables!$A$152:$E$239,5,FALSE)</f>
        <v>23000</v>
      </c>
      <c r="BF113" s="181">
        <f t="shared" si="112"/>
        <v>8640</v>
      </c>
      <c r="BG113" s="181">
        <f t="shared" si="113"/>
        <v>16560</v>
      </c>
      <c r="BH113" s="181">
        <f t="shared" si="114"/>
        <v>89072.164948453603</v>
      </c>
      <c r="BI113" s="181">
        <f t="shared" si="115"/>
        <v>46800</v>
      </c>
      <c r="BJ113" s="181">
        <f t="shared" si="116"/>
        <v>94877.0285572516</v>
      </c>
      <c r="BK113" s="181">
        <f t="shared" si="117"/>
        <v>46800</v>
      </c>
      <c r="BL113" s="181">
        <f t="shared" si="118"/>
        <v>241.77394583333333</v>
      </c>
      <c r="BM113" s="181">
        <f t="shared" si="119"/>
        <v>8640</v>
      </c>
      <c r="BN113" s="181">
        <f t="shared" si="120"/>
        <v>279.38636001291979</v>
      </c>
      <c r="BO113" s="181">
        <f t="shared" si="121"/>
        <v>16560</v>
      </c>
      <c r="BP113" t="str">
        <f t="shared" si="122"/>
        <v>Fail</v>
      </c>
      <c r="BQ113" t="str">
        <f t="shared" si="123"/>
        <v>Fail</v>
      </c>
      <c r="BR113" t="str">
        <f t="shared" si="124"/>
        <v>Pass</v>
      </c>
      <c r="BS113" t="str">
        <f t="shared" si="125"/>
        <v>Pass</v>
      </c>
      <c r="BT113" t="str">
        <f t="shared" si="126"/>
        <v>Fail</v>
      </c>
      <c r="BU113" t="str">
        <f t="shared" si="127"/>
        <v>Effective Stress</v>
      </c>
    </row>
    <row r="114" spans="1:73">
      <c r="A114" t="s">
        <v>706</v>
      </c>
      <c r="B114" s="181">
        <v>112</v>
      </c>
      <c r="C114" t="s">
        <v>594</v>
      </c>
      <c r="D114" s="181">
        <v>6</v>
      </c>
      <c r="E114" s="181">
        <v>0.13400000000000001</v>
      </c>
      <c r="F114" t="s">
        <v>117</v>
      </c>
      <c r="G114" t="s">
        <v>119</v>
      </c>
      <c r="H114" t="s">
        <v>122</v>
      </c>
      <c r="I114" s="181">
        <v>1</v>
      </c>
      <c r="J114" t="s">
        <v>126</v>
      </c>
      <c r="K114" t="s">
        <v>129</v>
      </c>
      <c r="L114" s="181">
        <v>70</v>
      </c>
      <c r="M114" s="181">
        <v>1440</v>
      </c>
      <c r="N114" t="s">
        <v>391</v>
      </c>
      <c r="O114" s="181">
        <v>120</v>
      </c>
      <c r="P114" s="181">
        <v>1</v>
      </c>
      <c r="Q114" s="181">
        <v>8.625</v>
      </c>
      <c r="R114" t="s">
        <v>418</v>
      </c>
      <c r="S114" t="s">
        <v>420</v>
      </c>
      <c r="T114" s="181">
        <v>70</v>
      </c>
      <c r="U114" s="181">
        <f>HLOOKUP(D114,'Highway Loading'!$C$155:$AD$156,2,FALSE)</f>
        <v>6.625</v>
      </c>
      <c r="V114" s="181">
        <f>IF(ISBLANK(G114),"",INDEX('Highway Loading'!$C$216:$AG$216,1,MATCH(G114,'Highway Loading'!$C$215:$AG$215,0)))</f>
        <v>65000</v>
      </c>
      <c r="W114" s="181">
        <f>INDEX('Highway Loading'!$I$245:$L$253,MATCH(H114,'Highway Loading'!$H$245:$H$253,0),MATCH(I114,'Highway Loading'!$I$244:$L$244,0))</f>
        <v>0.72</v>
      </c>
      <c r="X114" s="181">
        <f t="shared" si="96"/>
        <v>1</v>
      </c>
      <c r="Y114" s="181">
        <f>VLOOKUP(K114,'Highway Loading'!$B$283:$E$292,2,FALSE)</f>
        <v>29000000</v>
      </c>
      <c r="Z114" s="181">
        <f>VLOOKUP(K114,'Highway Loading'!$B$283:$E$292,3,FALSE)</f>
        <v>0.3</v>
      </c>
      <c r="AA114" s="181">
        <f>VLOOKUP(K114,'Highway Loading'!$B$283:$E$292,4,FALSE)</f>
        <v>6.4999999999999996E-6</v>
      </c>
      <c r="AB114" s="181">
        <f t="shared" si="97"/>
        <v>1</v>
      </c>
      <c r="AC114" s="181">
        <f>VLOOKUP(N114,'Highway Loading'!$B$256:$D$261,2,FALSE)</f>
        <v>1000</v>
      </c>
      <c r="AD114" s="181">
        <f>VLOOKUP(N114,'Highway Loading'!$B$256:$D$261,3,FALSE)</f>
        <v>10000</v>
      </c>
      <c r="AE114" s="181">
        <f>VLOOKUP(S114,'Highway Loading'!$B$340:$C$341,2,FALSE)</f>
        <v>12000</v>
      </c>
      <c r="AF114" s="181">
        <f t="shared" si="98"/>
        <v>2.0226415094339624E-2</v>
      </c>
      <c r="AG114" s="181">
        <f t="shared" si="99"/>
        <v>1.3913043478260869</v>
      </c>
      <c r="AH114" s="181">
        <f t="shared" si="100"/>
        <v>1.3018867924528301</v>
      </c>
      <c r="AI114" s="181">
        <f t="shared" si="101"/>
        <v>35597.014925373129</v>
      </c>
      <c r="AJ114" s="181">
        <f t="shared" si="102"/>
        <v>46800</v>
      </c>
      <c r="AK114" s="181">
        <f>IF(AC114=200,(INDEX(Tables!$B$17:$B$38,MAX(1,MIN(IFERROR(MATCH(AF114,Tables!$A$17:$A$38,1),1),ROWS(Tables!$A$17:$A$38)-1)))+(AF114-INDEX(Tables!$A$17:$A$38,MAX(1,MIN(IFERROR(MATCH(AF114,Tables!$A$17:$A$38,1),1),ROWS(Tables!$A$17:$A$38)-1))))*(INDEX(Tables!$B$17:$B$38,MAX(1,MIN(IFERROR(MATCH(AF114,Tables!$A$17:$A$38,1),1),ROWS(Tables!$A$17:$A$38)-1))+1)-INDEX(Tables!$B$17:$B$38,MAX(1,MIN(IFERROR(MATCH(AF114,Tables!$A$17:$A$38,1),1),ROWS(Tables!$A$17:$A$38)-1))))/(INDEX(Tables!$A$17:$A$38,MAX(1,MIN(IFERROR(MATCH(AF114,Tables!$A$17:$A$38,1),1),ROWS(Tables!$A$17:$A$38)-1))+1)-INDEX(Tables!$A$17:$A$38,MAX(1,MIN(IFERROR(MATCH(AF114,Tables!$A$17:$A$38,1),1),ROWS(Tables!$A$17:$A$38)-1))))),IF(AC114=500,(INDEX(Tables!$D$17:$D$38,MAX(1,MIN(IFERROR(MATCH(AF114,Tables!$C$17:$C$38,1),1),ROWS(Tables!$C$17:$C$38)-1)))+(AF114-INDEX(Tables!$C$17:$C$38,MAX(1,MIN(IFERROR(MATCH(AF114,Tables!$C$17:$C$38,1),1),ROWS(Tables!$C$17:$C$38)-1))))*(INDEX(Tables!$D$17:$D$38,MAX(1,MIN(IFERROR(MATCH(AF114,Tables!$C$17:$C$38,1),1),ROWS(Tables!$C$17:$C$38)-1))+1)-INDEX(Tables!$D$17:$D$38,MAX(1,MIN(IFERROR(MATCH(AF114,Tables!$C$17:$C$38,1),1),ROWS(Tables!$C$17:$C$38)-1))))/(INDEX(Tables!$C$17:$C$38,MAX(1,MIN(IFERROR(MATCH(AF114,Tables!$C$17:$C$38,1),1),ROWS(Tables!$C$17:$C$38)-1))+1)-INDEX(Tables!$C$17:$C$38,MAX(1,MIN(IFERROR(MATCH(AF114,Tables!$C$17:$C$38,1),1),ROWS(Tables!$C$17:$C$38)-1))))),IF(AC114=1000,(INDEX(Tables!$F$17:$F$38,MAX(1,MIN(IFERROR(MATCH(AF114,Tables!$E$17:$E$38,1),1),ROWS(Tables!$E$17:$E$38)-1)))+(AF114-INDEX(Tables!$E$17:$E$38,MAX(1,MIN(IFERROR(MATCH(AF114,Tables!$E$17:$E$38,1),1),ROWS(Tables!$E$17:$E$38)-1))))*(INDEX(Tables!$F$17:$F$38,MAX(1,MIN(IFERROR(MATCH(AF114,Tables!$E$17:$E$38,1),1),ROWS(Tables!$E$17:$E$38)-1))+1)-INDEX(Tables!$F$17:$F$38,MAX(1,MIN(IFERROR(MATCH(AF114,Tables!$E$17:$E$38,1),1),ROWS(Tables!$E$17:$E$38)-1))))/(INDEX(Tables!$E$17:$E$38,MAX(1,MIN(IFERROR(MATCH(AF114,Tables!$E$17:$E$38,1),1),ROWS(Tables!$E$17:$E$38)-1))+1)-INDEX(Tables!$E$17:$E$38,MAX(1,MIN(IFERROR(MATCH(AF114,Tables!$E$17:$E$38,1),1),ROWS(Tables!$E$17:$E$38)-1))))),(INDEX(Tables!$H$17:$H$38,MAX(1,MIN(IFERROR(MATCH(AF114,Tables!$G$17:$G$38,1),1),ROWS(Tables!$G$17:$G$38)-1)))+(AF114-INDEX(Tables!$G$17:$G$38,MAX(1,MIN(IFERROR(MATCH(AF114,Tables!$G$17:$G$38,1),1),ROWS(Tables!$G$17:$G$38)-1))))*(INDEX(Tables!$H$17:$H$38,MAX(1,MIN(IFERROR(MATCH(AF114,Tables!$G$17:$G$38,1),1),ROWS(Tables!$G$17:$G$38)-1))+1)-INDEX(Tables!$H$17:$H$38,MAX(1,MIN(IFERROR(MATCH(AF114,Tables!$G$17:$G$38,1),1),ROWS(Tables!$G$17:$G$38)-1))))/(INDEX(Tables!$G$17:$G$38,MAX(1,MIN(IFERROR(MATCH(AF114,Tables!$G$17:$G$38,1),1),ROWS(Tables!$G$17:$G$38)-1))+1)-INDEX(Tables!$G$17:$G$38,MAX(1,MIN(IFERROR(MATCH(AF114,Tables!$G$17:$G$38,1),1),ROWS(Tables!$G$17:$G$38)-1))))))))</f>
        <v>2258.1735849056604</v>
      </c>
      <c r="AL114" s="181">
        <f>IF(AC114&lt;1000,(INDEX(Tables!$B$43:$B$76,MAX(1,MIN(IFERROR(MATCH(AG114,Tables!$A$43:$A$76,1),1),ROWS(Tables!$A$43:$A$76)-1)))+(AG114-INDEX(Tables!$A$43:$A$76,MAX(1,MIN(IFERROR(MATCH(AG114,Tables!$A$43:$A$76,1),1),ROWS(Tables!$A$43:$A$76)-1))))*(INDEX(Tables!$B$43:$B$76,MAX(1,MIN(IFERROR(MATCH(AG114,Tables!$A$43:$A$76,1),1),ROWS(Tables!$A$43:$A$76)-1))+1)-INDEX(Tables!$B$43:$B$76,MAX(1,MIN(IFERROR(MATCH(AG114,Tables!$A$43:$A$76,1),1),ROWS(Tables!$A$43:$A$76)-1))))/(INDEX(Tables!$A$43:$A$76,MAX(1,MIN(IFERROR(MATCH(AG114,Tables!$A$43:$A$76,1),1),ROWS(Tables!$A$43:$A$76)-1))+1)-INDEX(Tables!$A$43:$A$76,MAX(1,MIN(IFERROR(MATCH(AG114,Tables!$A$43:$A$76,1),1),ROWS(Tables!$A$43:$A$76)-1))))),(INDEX(Tables!$D$43:$D$76,MAX(1,MIN(IFERROR(MATCH(AG114,Tables!$C$43:$C$76,1),1),ROWS(Tables!$C$43:$C$76)-1)))+(AG114-INDEX(Tables!$C$43:$C$76,MAX(1,MIN(IFERROR(MATCH(AG114,Tables!$C$43:$C$76,1),1),ROWS(Tables!$C$43:$C$76)-1))))*(INDEX(Tables!$D$43:$D$76,MAX(1,MIN(IFERROR(MATCH(AG114,Tables!$C$43:$C$76,1),1),ROWS(Tables!$C$43:$C$76)-1))+1)-INDEX(Tables!$D$43:$D$76,MAX(1,MIN(IFERROR(MATCH(AG114,Tables!$C$43:$C$76,1),1),ROWS(Tables!$C$43:$C$76)-1))))/(INDEX(Tables!$C$43:$C$76,MAX(1,MIN(IFERROR(MATCH(AG114,Tables!$C$43:$C$76,1),1),ROWS(Tables!$C$43:$C$76)-1))+1)-INDEX(Tables!$C$43:$C$76,MAX(1,MIN(IFERROR(MATCH(AG114,Tables!$C$43:$C$76,1),1),ROWS(Tables!$C$43:$C$76)-1))))))</f>
        <v>0.44230434782608696</v>
      </c>
      <c r="AM114" s="181">
        <f>(INDEX(Tables!$B$80:$B$87,MAX(1,MIN(IFERROR(MATCH(AH114,Tables!$A$80:$A$87,1),1),ROWS(Tables!$A$80:$A$87)-1)))+(AH114-INDEX(Tables!$A$80:$A$87,MAX(1,MIN(IFERROR(MATCH(AH114,Tables!$A$80:$A$87,1),1),ROWS(Tables!$A$80:$A$87)-1))))*(INDEX(Tables!$B$80:$B$87,MAX(1,MIN(IFERROR(MATCH(AH114,Tables!$A$80:$A$87,1),1),ROWS(Tables!$A$80:$A$87)-1))+1)-INDEX(Tables!$B$80:$B$87,MAX(1,MIN(IFERROR(MATCH(AH114,Tables!$A$80:$A$87,1),1),ROWS(Tables!$A$80:$A$87)-1))))/(INDEX(Tables!$A$80:$A$87,MAX(1,MIN(IFERROR(MATCH(AH114,Tables!$A$80:$A$87,1),1),ROWS(Tables!$A$80:$A$87)-1))+1)-INDEX(Tables!$A$80:$A$87,MAX(1,MIN(IFERROR(MATCH(AH114,Tables!$A$80:$A$87,1),1),ROWS(Tables!$A$80:$A$87)-1)))))</f>
        <v>1.403996226415094</v>
      </c>
      <c r="AN114" s="181">
        <f t="shared" si="103"/>
        <v>645.16063758092685</v>
      </c>
      <c r="AO114" s="181">
        <f>(INDEX(Tables!$B$91:$B$94,MAX(1,MIN(IFERROR(MATCH(P114,Tables!$A$91:$A$94,1),1),ROWS(Tables!$A$91:$A$94)-1)))+(P114-INDEX(Tables!$A$91:$A$94,MAX(1,MIN(IFERROR(MATCH(P114,Tables!$A$91:$A$94,1),1),ROWS(Tables!$A$91:$A$94)-1))))*(INDEX(Tables!$B$91:$B$94,MAX(1,MIN(IFERROR(MATCH(P114,Tables!$A$91:$A$94,1),1),ROWS(Tables!$A$91:$A$94)-1))+1)-INDEX(Tables!$B$91:$B$94,MAX(1,MIN(IFERROR(MATCH(P114,Tables!$A$91:$A$94,1),1),ROWS(Tables!$A$91:$A$94)-1))))/(INDEX(Tables!$A$91:$A$94,MAX(1,MIN(IFERROR(MATCH(P114,Tables!$A$91:$A$94,1),1),ROWS(Tables!$A$91:$A$94)-1))+1)-INDEX(Tables!$A$91:$A$94,MAX(1,MIN(IFERROR(MATCH(P114,Tables!$A$91:$A$94,1),1),ROWS(Tables!$A$91:$A$94)-1)))))</f>
        <v>1.5</v>
      </c>
      <c r="AP114" s="181">
        <f>IF(AD114=5000,(INDEX(Tables!$B$99:$B$118,MAX(1,MIN(IFERROR(MATCH(AF114,Tables!$A$99:$A$118,1),1),ROWS(Tables!$A$99:$A$118)-1)))+(AF114-INDEX(Tables!$A$99:$A$118,MAX(1,MIN(IFERROR(MATCH(AF114,Tables!$A$99:$A$118,1),1),ROWS(Tables!$A$99:$A$118)-1))))*(INDEX(Tables!$B$99:$B$118,MAX(1,MIN(IFERROR(MATCH(AF114,Tables!$A$99:$A$118,1),1),ROWS(Tables!$A$99:$A$118)-1))+1)-INDEX(Tables!$B$99:$B$118,MAX(1,MIN(IFERROR(MATCH(AF114,Tables!$A$99:$A$118,1),1),ROWS(Tables!$A$99:$A$118)-1))))/(INDEX(Tables!$A$99:$A$118,MAX(1,MIN(IFERROR(MATCH(AF114,Tables!$A$99:$A$118,1),1),ROWS(Tables!$A$99:$A$118)-1))+1)-INDEX(Tables!$A$99:$A$118,MAX(1,MIN(IFERROR(MATCH(AF114,Tables!$A$99:$A$118,1),1),ROWS(Tables!$A$99:$A$118)-1))))),IF(AD114=10000,(INDEX(Tables!$D$99:$D$118,MAX(1,MIN(IFERROR(MATCH(AF114,Tables!$C$99:$C$118,1),1),ROWS(Tables!$C$99:$C$118)-1)))+(AF114-INDEX(Tables!$C$99:$C$118,MAX(1,MIN(IFERROR(MATCH(AF114,Tables!$C$99:$C$118,1),1),ROWS(Tables!$C$99:$C$118)-1))))*(INDEX(Tables!$D$99:$D$118,MAX(1,MIN(IFERROR(MATCH(AF114,Tables!$C$99:$C$118,1),1),ROWS(Tables!$C$99:$C$118)-1))+1)-INDEX(Tables!$D$99:$D$118,MAX(1,MIN(IFERROR(MATCH(AF114,Tables!$C$99:$C$118,1),1),ROWS(Tables!$C$99:$C$118)-1))))/(INDEX(Tables!$C$99:$C$118,MAX(1,MIN(IFERROR(MATCH(AF114,Tables!$C$99:$C$118,1),1),ROWS(Tables!$C$99:$C$118)-1))+1)-INDEX(Tables!$C$99:$C$118,MAX(1,MIN(IFERROR(MATCH(AF114,Tables!$C$99:$C$118,1),1),ROWS(Tables!$C$99:$C$118)-1))))),(INDEX(Tables!$F$99:$F$118,MAX(1,MIN(IFERROR(MATCH(AF114,Tables!$E$99:$E$118,1),1),ROWS(Tables!$E$99:$E$118)-1)))+(AF114-INDEX(Tables!$E$99:$E$118,MAX(1,MIN(IFERROR(MATCH(AF114,Tables!$E$99:$E$118,1),1),ROWS(Tables!$E$99:$E$118)-1))))*(INDEX(Tables!$F$99:$F$118,MAX(1,MIN(IFERROR(MATCH(AF114,Tables!$E$99:$E$118,1),1),ROWS(Tables!$E$99:$E$118)-1))+1)-INDEX(Tables!$F$99:$F$118,MAX(1,MIN(IFERROR(MATCH(AF114,Tables!$E$99:$E$118,1),1),ROWS(Tables!$E$99:$E$118)-1))))/(INDEX(Tables!$E$99:$E$118,MAX(1,MIN(IFERROR(MATCH(AF114,Tables!$E$99:$E$118,1),1),ROWS(Tables!$E$99:$E$118)-1))+1)-INDEX(Tables!$E$99:$E$118,MAX(1,MIN(IFERROR(MATCH(AF114,Tables!$E$99:$E$118,1),1),ROWS(Tables!$E$99:$E$118)-1)))))))</f>
        <v>14.082741875666404</v>
      </c>
      <c r="AQ114" s="181">
        <f>IF(P114&lt;6,(INDEX(Tables!$B$123:$B$138,MAX(1,MIN(IFERROR(MATCH(U114,Tables!$A$123:$A$138,1),1),ROWS(Tables!$A$123:$A$138)-1)))+(U114-INDEX(Tables!$A$123:$A$138,MAX(1,MIN(IFERROR(MATCH(U114,Tables!$A$123:$A$138,1),1),ROWS(Tables!$A$123:$A$138)-1))))*(INDEX(Tables!$B$123:$B$138,MAX(1,MIN(IFERROR(MATCH(U114,Tables!$A$123:$A$138,1),1),ROWS(Tables!$A$123:$A$138)-1))+1)-INDEX(Tables!$B$123:$B$138,MAX(1,MIN(IFERROR(MATCH(U114,Tables!$A$123:$A$138,1),1),ROWS(Tables!$A$123:$A$138)-1))))/(INDEX(Tables!$A$123:$A$138,MAX(1,MIN(IFERROR(MATCH(U114,Tables!$A$123:$A$138,1),1),ROWS(Tables!$A$123:$A$138)-1))+1)-INDEX(Tables!$A$123:$A$138,MAX(1,MIN(IFERROR(MATCH(U114,Tables!$A$123:$A$138,1),1),ROWS(Tables!$A$123:$A$138)-1))))),IF(P114&lt;8,(INDEX(Tables!$D$123:$D$138,MAX(1,MIN(IFERROR(MATCH(U114,Tables!$C$123:$C$138,1),1),ROWS(Tables!$C$123:$C$138)-1)))+(U114-INDEX(Tables!$C$123:$C$138,MAX(1,MIN(IFERROR(MATCH(U114,Tables!$C$123:$C$138,1),1),ROWS(Tables!$C$123:$C$138)-1))))*(INDEX(Tables!$D$123:$D$138,MAX(1,MIN(IFERROR(MATCH(U114,Tables!$C$123:$C$138,1),1),ROWS(Tables!$C$123:$C$138)-1))+1)-INDEX(Tables!$D$123:$D$138,MAX(1,MIN(IFERROR(MATCH(U114,Tables!$C$123:$C$138,1),1),ROWS(Tables!$C$123:$C$138)-1))))/(INDEX(Tables!$C$123:$C$138,MAX(1,MIN(IFERROR(MATCH(U114,Tables!$C$123:$C$138,1),1),ROWS(Tables!$C$123:$C$138)-1))+1)-INDEX(Tables!$C$123:$C$138,MAX(1,MIN(IFERROR(MATCH(U114,Tables!$C$123:$C$138,1),1),ROWS(Tables!$C$123:$C$138)-1))))),IF(P114&lt;10,(INDEX(Tables!$F$123:$F$138,MAX(1,MIN(IFERROR(MATCH(U114,Tables!$E$123:$E$138,1),1),ROWS(Tables!$E$123:$E$138)-1)))+(U114-INDEX(Tables!$E$123:$E$138,MAX(1,MIN(IFERROR(MATCH(U114,Tables!$E$123:$E$138,1),1),ROWS(Tables!$E$123:$E$138)-1))))*(INDEX(Tables!$F$123:$F$138,MAX(1,MIN(IFERROR(MATCH(U114,Tables!$E$123:$E$138,1),1),ROWS(Tables!$E$123:$E$138)-1))+1)-INDEX(Tables!$F$123:$F$138,MAX(1,MIN(IFERROR(MATCH(U114,Tables!$E$123:$E$138,1),1),ROWS(Tables!$E$123:$E$138)-1))))/(INDEX(Tables!$E$123:$E$138,MAX(1,MIN(IFERROR(MATCH(U114,Tables!$E$123:$E$138,1),1),ROWS(Tables!$E$123:$E$138)-1))+1)-INDEX(Tables!$E$123:$E$138,MAX(1,MIN(IFERROR(MATCH(U114,Tables!$E$123:$E$138,1),1),ROWS(Tables!$E$123:$E$138)-1))))),(INDEX(Tables!$H$123:$H$138,MAX(1,MIN(IFERROR(MATCH(U114,Tables!$G$123:$G$138,1),1),ROWS(Tables!$G$123:$G$138)-1)))+(U114-INDEX(Tables!$G$123:$G$138,MAX(1,MIN(IFERROR(MATCH(U114,Tables!$G$123:$G$138,1),1),ROWS(Tables!$G$123:$G$138)-1))))*(INDEX(Tables!$H$123:$H$138,MAX(1,MIN(IFERROR(MATCH(U114,Tables!$G$123:$G$138,1),1),ROWS(Tables!$G$123:$G$138)-1))+1)-INDEX(Tables!$H$123:$H$138,MAX(1,MIN(IFERROR(MATCH(U114,Tables!$G$123:$G$138,1),1),ROWS(Tables!$G$123:$G$138)-1))))/(INDEX(Tables!$G$123:$G$138,MAX(1,MIN(IFERROR(MATCH(U114,Tables!$G$123:$G$138,1),1),ROWS(Tables!$G$123:$G$138)-1))+1)-INDEX(Tables!$G$123:$G$138,MAX(1,MIN(IFERROR(MATCH(U114,Tables!$G$123:$G$138,1),1),ROWS(Tables!$G$123:$G$138)-1))))))))</f>
        <v>1.4501250000000001</v>
      </c>
      <c r="AR114" s="181">
        <f>IF(OR(P114&gt;=4,U114&gt;12),VLOOKUP(R114&amp;" "&amp;S114,Tables!$D$143:$F$148,2,FALSE),VLOOKUP(R114&amp;" "&amp;S114,Tables!$A$143:$C$148,2,FALSE))</f>
        <v>0.9</v>
      </c>
      <c r="AS114" s="181">
        <f>IF(OR(P114&gt;=4,U114&gt;12),VLOOKUP(R114&amp;" "&amp;S114,Tables!$D$143:$F$148,3,FALSE),VLOOKUP(R114&amp;" "&amp;S114,Tables!$A$143:$C$148,3,FALSE))</f>
        <v>0.65</v>
      </c>
      <c r="AT114" s="181">
        <f t="shared" si="104"/>
        <v>1493.3394495667108</v>
      </c>
      <c r="AU114" s="181">
        <f>IF(AD114=5000,(INDEX(Tables!$B$244:$B$263,MAX(1,MIN(IFERROR(MATCH(AF114,Tables!$A$244:$A$263,1),1),ROWS(Tables!$A$244:$A$263)-1)))+(AF114-INDEX(Tables!$A$244:$A$263,MAX(1,MIN(IFERROR(MATCH(AF114,Tables!$A$244:$A$263,1),1),ROWS(Tables!$A$244:$A$263)-1))))*(INDEX(Tables!$B$244:$B$263,MAX(1,MIN(IFERROR(MATCH(AF114,Tables!$A$244:$A$263,1),1),ROWS(Tables!$A$244:$A$263)-1))+1)-INDEX(Tables!$B$244:$B$263,MAX(1,MIN(IFERROR(MATCH(AF114,Tables!$A$244:$A$263,1),1),ROWS(Tables!$A$244:$A$263)-1))))/(INDEX(Tables!$A$244:$A$263,MAX(1,MIN(IFERROR(MATCH(AF114,Tables!$A$244:$A$263,1),1),ROWS(Tables!$A$244:$A$263)-1))+1)-INDEX(Tables!$A$244:$A$263,MAX(1,MIN(IFERROR(MATCH(AF114,Tables!$A$244:$A$263,1),1),ROWS(Tables!$A$244:$A$263)-1))))),IF(AD114=10000,(INDEX(Tables!$D$244:$D$263,MAX(1,MIN(IFERROR(MATCH(AF114,Tables!$C$244:$C$263,1),1),ROWS(Tables!$C$244:$C$263)-1)))+(AF114-INDEX(Tables!$C$244:$C$263,MAX(1,MIN(IFERROR(MATCH(AF114,Tables!$C$244:$C$263,1),1),ROWS(Tables!$C$244:$C$263)-1))))*(INDEX(Tables!$D$244:$D$263,MAX(1,MIN(IFERROR(MATCH(AF114,Tables!$C$244:$C$263,1),1),ROWS(Tables!$C$244:$C$263)-1))+1)-INDEX(Tables!$D$244:$D$263,MAX(1,MIN(IFERROR(MATCH(AF114,Tables!$C$244:$C$263,1),1),ROWS(Tables!$C$244:$C$263)-1))))/(INDEX(Tables!$C$244:$C$263,MAX(1,MIN(IFERROR(MATCH(AF114,Tables!$C$244:$C$263,1),1),ROWS(Tables!$C$244:$C$263)-1))+1)-INDEX(Tables!$C$244:$C$263,MAX(1,MIN(IFERROR(MATCH(AF114,Tables!$C$244:$C$263,1),1),ROWS(Tables!$C$244:$C$263)-1))))),(INDEX(Tables!$F$244:$F$263,MAX(1,MIN(IFERROR(MATCH(AF114,Tables!$E$244:$E$263,1),1),ROWS(Tables!$E$244:$E$263)-1)))+(AF114-INDEX(Tables!$E$244:$E$263,MAX(1,MIN(IFERROR(MATCH(AF114,Tables!$E$244:$E$263,1),1),ROWS(Tables!$E$244:$E$263)-1))))*(INDEX(Tables!$F$244:$F$263,MAX(1,MIN(IFERROR(MATCH(AF114,Tables!$E$244:$E$263,1),1),ROWS(Tables!$E$244:$E$263)-1))+1)-INDEX(Tables!$F$244:$F$263,MAX(1,MIN(IFERROR(MATCH(AF114,Tables!$E$244:$E$263,1),1),ROWS(Tables!$E$244:$E$263)-1))))/(INDEX(Tables!$E$244:$E$263,MAX(1,MIN(IFERROR(MATCH(AF114,Tables!$E$244:$E$263,1),1),ROWS(Tables!$E$244:$E$263)-1))+1)-INDEX(Tables!$E$244:$E$263,MAX(1,MIN(IFERROR(MATCH(AF114,Tables!$E$244:$E$263,1),1),ROWS(Tables!$E$244:$E$263)-1)))))))</f>
        <v>9.7394226415094334</v>
      </c>
      <c r="AV114" s="181">
        <f>IF(P114&lt;6,(INDEX(Tables!$B$260:$B$274,MAX(1,MIN(IFERROR(MATCH(U114,Tables!$A$260:$A$274,1),1),ROWS(Tables!$A$260:$A$274)-1)))+(U114-INDEX(Tables!$A$260:$A$274,MAX(1,MIN(IFERROR(MATCH(U114,Tables!$A$260:$A$274,1),1),ROWS(Tables!$A$260:$A$274)-1))))*(INDEX(Tables!$B$260:$B$274,MAX(1,MIN(IFERROR(MATCH(U114,Tables!$A$260:$A$274,1),1),ROWS(Tables!$A$260:$A$274)-1))+1)-INDEX(Tables!$B$260:$B$274,MAX(1,MIN(IFERROR(MATCH(U114,Tables!$A$260:$A$274,1),1),ROWS(Tables!$A$260:$A$274)-1))))/(INDEX(Tables!$A$260:$A$274,MAX(1,MIN(IFERROR(MATCH(U114,Tables!$A$260:$A$274,1),1),ROWS(Tables!$A$260:$A$274)-1))+1)-INDEX(Tables!$A$260:$A$274,MAX(1,MIN(IFERROR(MATCH(U114,Tables!$A$260:$A$274,1),1),ROWS(Tables!$A$260:$A$274)-1))))),IF(P114&lt;8,(INDEX(Tables!$D$260:$D$274,MAX(1,MIN(IFERROR(MATCH(U114,Tables!$C$260:$C$274,1),1),ROWS(Tables!$C$260:$C$274)-1)))+(U114-INDEX(Tables!$C$260:$C$274,MAX(1,MIN(IFERROR(MATCH(U114,Tables!$C$260:$C$274,1),1),ROWS(Tables!$C$260:$C$274)-1))))*(INDEX(Tables!$D$260:$D$274,MAX(1,MIN(IFERROR(MATCH(U114,Tables!$C$260:$C$274,1),1),ROWS(Tables!$C$260:$C$274)-1))+1)-INDEX(Tables!$D$260:$D$274,MAX(1,MIN(IFERROR(MATCH(U114,Tables!$C$260:$C$274,1),1),ROWS(Tables!$C$260:$C$274)-1))))/(INDEX(Tables!$C$260:$C$274,MAX(1,MIN(IFERROR(MATCH(U114,Tables!$C$260:$C$274,1),1),ROWS(Tables!$C$260:$C$274)-1))+1)-INDEX(Tables!$C$260:$C$274,MAX(1,MIN(IFERROR(MATCH(U114,Tables!$C$260:$C$274,1),1),ROWS(Tables!$C$260:$C$274)-1))))),IF(P114&lt;10,(INDEX(Tables!$F$260:$F$274,MAX(1,MIN(IFERROR(MATCH(U114,Tables!$E$260:$E$274,1),1),ROWS(Tables!$E$260:$E$274)-1)))+(U114-INDEX(Tables!$E$260:$E$274,MAX(1,MIN(IFERROR(MATCH(U114,Tables!$E$260:$E$274,1),1),ROWS(Tables!$E$260:$E$274)-1))))*(INDEX(Tables!$F$260:$F$274,MAX(1,MIN(IFERROR(MATCH(U114,Tables!$E$260:$E$274,1),1),ROWS(Tables!$E$260:$E$274)-1))+1)-INDEX(Tables!$F$260:$F$274,MAX(1,MIN(IFERROR(MATCH(U114,Tables!$E$260:$E$274,1),1),ROWS(Tables!$E$260:$E$274)-1))))/(INDEX(Tables!$E$260:$E$274,MAX(1,MIN(IFERROR(MATCH(U114,Tables!$E$260:$E$274,1),1),ROWS(Tables!$E$260:$E$274)-1))+1)-INDEX(Tables!$E$260:$E$274,MAX(1,MIN(IFERROR(MATCH(U114,Tables!$E$260:$E$274,1),1),ROWS(Tables!$E$260:$E$274)-1))))),(INDEX(Tables!$H$260:$H$274,MAX(1,MIN(IFERROR(MATCH(U114,Tables!$G$260:$G$274,1),1),ROWS(Tables!$G$260:$G$274)-1)))+(U114-INDEX(Tables!$G$260:$G$274,MAX(1,MIN(IFERROR(MATCH(U114,Tables!$G$260:$G$274,1),1),ROWS(Tables!$G$260:$G$274)-1))))*(INDEX(Tables!$H$260:$H$274,MAX(1,MIN(IFERROR(MATCH(U114,Tables!$G$260:$G$274,1),1),ROWS(Tables!$G$260:$G$274)-1))+1)-INDEX(Tables!$H$260:$H$274,MAX(1,MIN(IFERROR(MATCH(U114,Tables!$G$260:$G$274,1),1),ROWS(Tables!$G$260:$G$274)-1))))/(INDEX(Tables!$G$260:$G$274,MAX(1,MIN(IFERROR(MATCH(U114,Tables!$G$260:$G$274,1),1),ROWS(Tables!$G$260:$G$274)-1))+1)-INDEX(Tables!$G$260:$G$274,MAX(1,MIN(IFERROR(MATCH(U114,Tables!$G$260:$G$274,1),1),ROWS(Tables!$G$260:$G$274)-1))))))))</f>
        <v>1.4965000000000002</v>
      </c>
      <c r="AW114" s="181">
        <f t="shared" si="105"/>
        <v>1065.8002375082549</v>
      </c>
      <c r="AX114" s="181">
        <f t="shared" si="106"/>
        <v>34877.014925373129</v>
      </c>
      <c r="AY114" s="181">
        <f t="shared" si="107"/>
        <v>37015.515012520766</v>
      </c>
      <c r="AZ114" s="181">
        <f t="shared" si="108"/>
        <v>11722.45290639447</v>
      </c>
      <c r="BA114" s="181">
        <f t="shared" si="109"/>
        <v>-1440</v>
      </c>
      <c r="BB114" s="181">
        <f t="shared" si="110"/>
        <v>33851.261365683436</v>
      </c>
      <c r="BC114" s="181">
        <f t="shared" si="111"/>
        <v>46800</v>
      </c>
      <c r="BD114" s="181">
        <f>VLOOKUP(V114&amp;" "&amp;J114,Tables!$A$152:$E$239,4,FALSE)</f>
        <v>12000</v>
      </c>
      <c r="BE114" s="181">
        <f>VLOOKUP(V114&amp;" "&amp;J114,Tables!$A$152:$E$239,5,FALSE)</f>
        <v>23000</v>
      </c>
      <c r="BF114" s="181">
        <f t="shared" si="112"/>
        <v>8640</v>
      </c>
      <c r="BG114" s="181">
        <f t="shared" si="113"/>
        <v>16560</v>
      </c>
      <c r="BH114" s="181">
        <f t="shared" si="114"/>
        <v>35597.014925373129</v>
      </c>
      <c r="BI114" s="181">
        <f t="shared" si="115"/>
        <v>46800</v>
      </c>
      <c r="BJ114" s="181">
        <f t="shared" si="116"/>
        <v>33851.261365683436</v>
      </c>
      <c r="BK114" s="181">
        <f t="shared" si="117"/>
        <v>46800</v>
      </c>
      <c r="BL114" s="181">
        <f t="shared" si="118"/>
        <v>1065.8002375082549</v>
      </c>
      <c r="BM114" s="181">
        <f t="shared" si="119"/>
        <v>8640</v>
      </c>
      <c r="BN114" s="181">
        <f t="shared" si="120"/>
        <v>1493.3394495667108</v>
      </c>
      <c r="BO114" s="181">
        <f t="shared" si="121"/>
        <v>16560</v>
      </c>
      <c r="BP114" t="str">
        <f t="shared" si="122"/>
        <v>Pass</v>
      </c>
      <c r="BQ114" t="str">
        <f t="shared" si="123"/>
        <v>Pass</v>
      </c>
      <c r="BR114" t="str">
        <f t="shared" si="124"/>
        <v>Pass</v>
      </c>
      <c r="BS114" t="str">
        <f t="shared" si="125"/>
        <v>Pass</v>
      </c>
      <c r="BT114" t="str">
        <f t="shared" si="126"/>
        <v>Pass</v>
      </c>
      <c r="BU114" t="str">
        <f t="shared" si="127"/>
        <v>Barlow Stress</v>
      </c>
    </row>
    <row r="115" spans="1:73">
      <c r="A115" t="s">
        <v>707</v>
      </c>
      <c r="B115" s="181">
        <v>113</v>
      </c>
      <c r="C115" t="s">
        <v>594</v>
      </c>
      <c r="D115" s="181">
        <v>8</v>
      </c>
      <c r="E115" s="181">
        <v>0.14799999999999999</v>
      </c>
      <c r="F115" t="s">
        <v>117</v>
      </c>
      <c r="G115" t="s">
        <v>119</v>
      </c>
      <c r="H115" t="s">
        <v>122</v>
      </c>
      <c r="I115" s="181">
        <v>1</v>
      </c>
      <c r="J115" t="s">
        <v>126</v>
      </c>
      <c r="K115" t="s">
        <v>129</v>
      </c>
      <c r="L115" s="181">
        <v>70</v>
      </c>
      <c r="M115" s="181">
        <v>1440</v>
      </c>
      <c r="N115" t="s">
        <v>391</v>
      </c>
      <c r="O115" s="181">
        <v>120</v>
      </c>
      <c r="P115" s="181">
        <v>3</v>
      </c>
      <c r="Q115" s="181">
        <v>10.625</v>
      </c>
      <c r="R115" t="s">
        <v>418</v>
      </c>
      <c r="S115" t="s">
        <v>420</v>
      </c>
      <c r="T115" s="181">
        <v>70</v>
      </c>
      <c r="U115" s="181">
        <f>HLOOKUP(D115,'Highway Loading'!$C$155:$AD$156,2,FALSE)</f>
        <v>8.625</v>
      </c>
      <c r="V115" s="181">
        <f>IF(ISBLANK(G115),"",INDEX('Highway Loading'!$C$216:$AG$216,1,MATCH(G115,'Highway Loading'!$C$215:$AG$215,0)))</f>
        <v>65000</v>
      </c>
      <c r="W115" s="181">
        <f>INDEX('Highway Loading'!$I$245:$L$253,MATCH(H115,'Highway Loading'!$H$245:$H$253,0),MATCH(I115,'Highway Loading'!$I$244:$L$244,0))</f>
        <v>0.72</v>
      </c>
      <c r="X115" s="181">
        <f t="shared" si="96"/>
        <v>1</v>
      </c>
      <c r="Y115" s="181">
        <f>VLOOKUP(K115,'Highway Loading'!$B$283:$E$292,2,FALSE)</f>
        <v>29000000</v>
      </c>
      <c r="Z115" s="181">
        <f>VLOOKUP(K115,'Highway Loading'!$B$283:$E$292,3,FALSE)</f>
        <v>0.3</v>
      </c>
      <c r="AA115" s="181">
        <f>VLOOKUP(K115,'Highway Loading'!$B$283:$E$292,4,FALSE)</f>
        <v>6.4999999999999996E-6</v>
      </c>
      <c r="AB115" s="181">
        <f t="shared" si="97"/>
        <v>1</v>
      </c>
      <c r="AC115" s="181">
        <f>VLOOKUP(N115,'Highway Loading'!$B$256:$D$261,2,FALSE)</f>
        <v>1000</v>
      </c>
      <c r="AD115" s="181">
        <f>VLOOKUP(N115,'Highway Loading'!$B$256:$D$261,3,FALSE)</f>
        <v>10000</v>
      </c>
      <c r="AE115" s="181">
        <f>VLOOKUP(S115,'Highway Loading'!$B$340:$C$341,2,FALSE)</f>
        <v>12000</v>
      </c>
      <c r="AF115" s="181">
        <f t="shared" si="98"/>
        <v>1.7159420289855072E-2</v>
      </c>
      <c r="AG115" s="181">
        <f t="shared" si="99"/>
        <v>3.388235294117647</v>
      </c>
      <c r="AH115" s="181">
        <f t="shared" si="100"/>
        <v>1.2318840579710144</v>
      </c>
      <c r="AI115" s="181">
        <f t="shared" si="101"/>
        <v>41959.45945945946</v>
      </c>
      <c r="AJ115" s="181">
        <f t="shared" si="102"/>
        <v>46800</v>
      </c>
      <c r="AK115" s="181">
        <f>IF(AC115=200,(INDEX(Tables!$B$17:$B$38,MAX(1,MIN(IFERROR(MATCH(AF115,Tables!$A$17:$A$38,1),1),ROWS(Tables!$A$17:$A$38)-1)))+(AF115-INDEX(Tables!$A$17:$A$38,MAX(1,MIN(IFERROR(MATCH(AF115,Tables!$A$17:$A$38,1),1),ROWS(Tables!$A$17:$A$38)-1))))*(INDEX(Tables!$B$17:$B$38,MAX(1,MIN(IFERROR(MATCH(AF115,Tables!$A$17:$A$38,1),1),ROWS(Tables!$A$17:$A$38)-1))+1)-INDEX(Tables!$B$17:$B$38,MAX(1,MIN(IFERROR(MATCH(AF115,Tables!$A$17:$A$38,1),1),ROWS(Tables!$A$17:$A$38)-1))))/(INDEX(Tables!$A$17:$A$38,MAX(1,MIN(IFERROR(MATCH(AF115,Tables!$A$17:$A$38,1),1),ROWS(Tables!$A$17:$A$38)-1))+1)-INDEX(Tables!$A$17:$A$38,MAX(1,MIN(IFERROR(MATCH(AF115,Tables!$A$17:$A$38,1),1),ROWS(Tables!$A$17:$A$38)-1))))),IF(AC115=500,(INDEX(Tables!$D$17:$D$38,MAX(1,MIN(IFERROR(MATCH(AF115,Tables!$C$17:$C$38,1),1),ROWS(Tables!$C$17:$C$38)-1)))+(AF115-INDEX(Tables!$C$17:$C$38,MAX(1,MIN(IFERROR(MATCH(AF115,Tables!$C$17:$C$38,1),1),ROWS(Tables!$C$17:$C$38)-1))))*(INDEX(Tables!$D$17:$D$38,MAX(1,MIN(IFERROR(MATCH(AF115,Tables!$C$17:$C$38,1),1),ROWS(Tables!$C$17:$C$38)-1))+1)-INDEX(Tables!$D$17:$D$38,MAX(1,MIN(IFERROR(MATCH(AF115,Tables!$C$17:$C$38,1),1),ROWS(Tables!$C$17:$C$38)-1))))/(INDEX(Tables!$C$17:$C$38,MAX(1,MIN(IFERROR(MATCH(AF115,Tables!$C$17:$C$38,1),1),ROWS(Tables!$C$17:$C$38)-1))+1)-INDEX(Tables!$C$17:$C$38,MAX(1,MIN(IFERROR(MATCH(AF115,Tables!$C$17:$C$38,1),1),ROWS(Tables!$C$17:$C$38)-1))))),IF(AC115=1000,(INDEX(Tables!$F$17:$F$38,MAX(1,MIN(IFERROR(MATCH(AF115,Tables!$E$17:$E$38,1),1),ROWS(Tables!$E$17:$E$38)-1)))+(AF115-INDEX(Tables!$E$17:$E$38,MAX(1,MIN(IFERROR(MATCH(AF115,Tables!$E$17:$E$38,1),1),ROWS(Tables!$E$17:$E$38)-1))))*(INDEX(Tables!$F$17:$F$38,MAX(1,MIN(IFERROR(MATCH(AF115,Tables!$E$17:$E$38,1),1),ROWS(Tables!$E$17:$E$38)-1))+1)-INDEX(Tables!$F$17:$F$38,MAX(1,MIN(IFERROR(MATCH(AF115,Tables!$E$17:$E$38,1),1),ROWS(Tables!$E$17:$E$38)-1))))/(INDEX(Tables!$E$17:$E$38,MAX(1,MIN(IFERROR(MATCH(AF115,Tables!$E$17:$E$38,1),1),ROWS(Tables!$E$17:$E$38)-1))+1)-INDEX(Tables!$E$17:$E$38,MAX(1,MIN(IFERROR(MATCH(AF115,Tables!$E$17:$E$38,1),1),ROWS(Tables!$E$17:$E$38)-1))))),(INDEX(Tables!$H$17:$H$38,MAX(1,MIN(IFERROR(MATCH(AF115,Tables!$G$17:$G$38,1),1),ROWS(Tables!$G$17:$G$38)-1)))+(AF115-INDEX(Tables!$G$17:$G$38,MAX(1,MIN(IFERROR(MATCH(AF115,Tables!$G$17:$G$38,1),1),ROWS(Tables!$G$17:$G$38)-1))))*(INDEX(Tables!$H$17:$H$38,MAX(1,MIN(IFERROR(MATCH(AF115,Tables!$G$17:$G$38,1),1),ROWS(Tables!$G$17:$G$38)-1))+1)-INDEX(Tables!$H$17:$H$38,MAX(1,MIN(IFERROR(MATCH(AF115,Tables!$G$17:$G$38,1),1),ROWS(Tables!$G$17:$G$38)-1))))/(INDEX(Tables!$G$17:$G$38,MAX(1,MIN(IFERROR(MATCH(AF115,Tables!$G$17:$G$38,1),1),ROWS(Tables!$G$17:$G$38)-1))+1)-INDEX(Tables!$G$17:$G$38,MAX(1,MIN(IFERROR(MATCH(AF115,Tables!$G$17:$G$38,1),1),ROWS(Tables!$G$17:$G$38)-1))))))))</f>
        <v>2855.0289855072469</v>
      </c>
      <c r="AL115" s="181">
        <f>IF(AC115&lt;1000,(INDEX(Tables!$B$43:$B$76,MAX(1,MIN(IFERROR(MATCH(AG115,Tables!$A$43:$A$76,1),1),ROWS(Tables!$A$43:$A$76)-1)))+(AG115-INDEX(Tables!$A$43:$A$76,MAX(1,MIN(IFERROR(MATCH(AG115,Tables!$A$43:$A$76,1),1),ROWS(Tables!$A$43:$A$76)-1))))*(INDEX(Tables!$B$43:$B$76,MAX(1,MIN(IFERROR(MATCH(AG115,Tables!$A$43:$A$76,1),1),ROWS(Tables!$A$43:$A$76)-1))+1)-INDEX(Tables!$B$43:$B$76,MAX(1,MIN(IFERROR(MATCH(AG115,Tables!$A$43:$A$76,1),1),ROWS(Tables!$A$43:$A$76)-1))))/(INDEX(Tables!$A$43:$A$76,MAX(1,MIN(IFERROR(MATCH(AG115,Tables!$A$43:$A$76,1),1),ROWS(Tables!$A$43:$A$76)-1))+1)-INDEX(Tables!$A$43:$A$76,MAX(1,MIN(IFERROR(MATCH(AG115,Tables!$A$43:$A$76,1),1),ROWS(Tables!$A$43:$A$76)-1))))),(INDEX(Tables!$D$43:$D$76,MAX(1,MIN(IFERROR(MATCH(AG115,Tables!$C$43:$C$76,1),1),ROWS(Tables!$C$43:$C$76)-1)))+(AG115-INDEX(Tables!$C$43:$C$76,MAX(1,MIN(IFERROR(MATCH(AG115,Tables!$C$43:$C$76,1),1),ROWS(Tables!$C$43:$C$76)-1))))*(INDEX(Tables!$D$43:$D$76,MAX(1,MIN(IFERROR(MATCH(AG115,Tables!$C$43:$C$76,1),1),ROWS(Tables!$C$43:$C$76)-1))+1)-INDEX(Tables!$D$43:$D$76,MAX(1,MIN(IFERROR(MATCH(AG115,Tables!$C$43:$C$76,1),1),ROWS(Tables!$C$43:$C$76)-1))))/(INDEX(Tables!$C$43:$C$76,MAX(1,MIN(IFERROR(MATCH(AG115,Tables!$C$43:$C$76,1),1),ROWS(Tables!$C$43:$C$76)-1))+1)-INDEX(Tables!$C$43:$C$76,MAX(1,MIN(IFERROR(MATCH(AG115,Tables!$C$43:$C$76,1),1),ROWS(Tables!$C$43:$C$76)-1))))))</f>
        <v>0.82142352941176466</v>
      </c>
      <c r="AM115" s="181">
        <f>(INDEX(Tables!$B$80:$B$87,MAX(1,MIN(IFERROR(MATCH(AH115,Tables!$A$80:$A$87,1),1),ROWS(Tables!$A$80:$A$87)-1)))+(AH115-INDEX(Tables!$A$80:$A$87,MAX(1,MIN(IFERROR(MATCH(AH115,Tables!$A$80:$A$87,1),1),ROWS(Tables!$A$80:$A$87)-1))))*(INDEX(Tables!$B$80:$B$87,MAX(1,MIN(IFERROR(MATCH(AH115,Tables!$A$80:$A$87,1),1),ROWS(Tables!$A$80:$A$87)-1))+1)-INDEX(Tables!$B$80:$B$87,MAX(1,MIN(IFERROR(MATCH(AH115,Tables!$A$80:$A$87,1),1),ROWS(Tables!$A$80:$A$87)-1))))/(INDEX(Tables!$A$80:$A$87,MAX(1,MIN(IFERROR(MATCH(AH115,Tables!$A$80:$A$87,1),1),ROWS(Tables!$A$80:$A$87)-1))+1)-INDEX(Tables!$A$80:$A$87,MAX(1,MIN(IFERROR(MATCH(AH115,Tables!$A$80:$A$87,1),1),ROWS(Tables!$A$80:$A$87)-1)))))</f>
        <v>1.2567086956521738</v>
      </c>
      <c r="AN115" s="181">
        <f t="shared" si="103"/>
        <v>1765.2608619623345</v>
      </c>
      <c r="AO115" s="181">
        <f>(INDEX(Tables!$B$91:$B$94,MAX(1,MIN(IFERROR(MATCH(P115,Tables!$A$91:$A$94,1),1),ROWS(Tables!$A$91:$A$94)-1)))+(P115-INDEX(Tables!$A$91:$A$94,MAX(1,MIN(IFERROR(MATCH(P115,Tables!$A$91:$A$94,1),1),ROWS(Tables!$A$91:$A$94)-1))))*(INDEX(Tables!$B$91:$B$94,MAX(1,MIN(IFERROR(MATCH(P115,Tables!$A$91:$A$94,1),1),ROWS(Tables!$A$91:$A$94)-1))+1)-INDEX(Tables!$B$91:$B$94,MAX(1,MIN(IFERROR(MATCH(P115,Tables!$A$91:$A$94,1),1),ROWS(Tables!$A$91:$A$94)-1))))/(INDEX(Tables!$A$91:$A$94,MAX(1,MIN(IFERROR(MATCH(P115,Tables!$A$91:$A$94,1),1),ROWS(Tables!$A$91:$A$94)-1))+1)-INDEX(Tables!$A$91:$A$94,MAX(1,MIN(IFERROR(MATCH(P115,Tables!$A$91:$A$94,1),1),ROWS(Tables!$A$91:$A$94)-1)))))</f>
        <v>1.5</v>
      </c>
      <c r="AP115" s="181">
        <f>IF(AD115=5000,(INDEX(Tables!$B$99:$B$118,MAX(1,MIN(IFERROR(MATCH(AF115,Tables!$A$99:$A$118,1),1),ROWS(Tables!$A$99:$A$118)-1)))+(AF115-INDEX(Tables!$A$99:$A$118,MAX(1,MIN(IFERROR(MATCH(AF115,Tables!$A$99:$A$118,1),1),ROWS(Tables!$A$99:$A$118)-1))))*(INDEX(Tables!$B$99:$B$118,MAX(1,MIN(IFERROR(MATCH(AF115,Tables!$A$99:$A$118,1),1),ROWS(Tables!$A$99:$A$118)-1))+1)-INDEX(Tables!$B$99:$B$118,MAX(1,MIN(IFERROR(MATCH(AF115,Tables!$A$99:$A$118,1),1),ROWS(Tables!$A$99:$A$118)-1))))/(INDEX(Tables!$A$99:$A$118,MAX(1,MIN(IFERROR(MATCH(AF115,Tables!$A$99:$A$118,1),1),ROWS(Tables!$A$99:$A$118)-1))+1)-INDEX(Tables!$A$99:$A$118,MAX(1,MIN(IFERROR(MATCH(AF115,Tables!$A$99:$A$118,1),1),ROWS(Tables!$A$99:$A$118)-1))))),IF(AD115=10000,(INDEX(Tables!$D$99:$D$118,MAX(1,MIN(IFERROR(MATCH(AF115,Tables!$C$99:$C$118,1),1),ROWS(Tables!$C$99:$C$118)-1)))+(AF115-INDEX(Tables!$C$99:$C$118,MAX(1,MIN(IFERROR(MATCH(AF115,Tables!$C$99:$C$118,1),1),ROWS(Tables!$C$99:$C$118)-1))))*(INDEX(Tables!$D$99:$D$118,MAX(1,MIN(IFERROR(MATCH(AF115,Tables!$C$99:$C$118,1),1),ROWS(Tables!$C$99:$C$118)-1))+1)-INDEX(Tables!$D$99:$D$118,MAX(1,MIN(IFERROR(MATCH(AF115,Tables!$C$99:$C$118,1),1),ROWS(Tables!$C$99:$C$118)-1))))/(INDEX(Tables!$C$99:$C$118,MAX(1,MIN(IFERROR(MATCH(AF115,Tables!$C$99:$C$118,1),1),ROWS(Tables!$C$99:$C$118)-1))+1)-INDEX(Tables!$C$99:$C$118,MAX(1,MIN(IFERROR(MATCH(AF115,Tables!$C$99:$C$118,1),1),ROWS(Tables!$C$99:$C$118)-1))))),(INDEX(Tables!$F$99:$F$118,MAX(1,MIN(IFERROR(MATCH(AF115,Tables!$E$99:$E$118,1),1),ROWS(Tables!$E$99:$E$118)-1)))+(AF115-INDEX(Tables!$E$99:$E$118,MAX(1,MIN(IFERROR(MATCH(AF115,Tables!$E$99:$E$118,1),1),ROWS(Tables!$E$99:$E$118)-1))))*(INDEX(Tables!$F$99:$F$118,MAX(1,MIN(IFERROR(MATCH(AF115,Tables!$E$99:$E$118,1),1),ROWS(Tables!$E$99:$E$118)-1))+1)-INDEX(Tables!$F$99:$F$118,MAX(1,MIN(IFERROR(MATCH(AF115,Tables!$E$99:$E$118,1),1),ROWS(Tables!$E$99:$E$118)-1))))/(INDEX(Tables!$E$99:$E$118,MAX(1,MIN(IFERROR(MATCH(AF115,Tables!$E$99:$E$118,1),1),ROWS(Tables!$E$99:$E$118)-1))+1)-INDEX(Tables!$E$99:$E$118,MAX(1,MIN(IFERROR(MATCH(AF115,Tables!$E$99:$E$118,1),1),ROWS(Tables!$E$99:$E$118)-1)))))))</f>
        <v>14.64829301572618</v>
      </c>
      <c r="AQ115" s="181">
        <f>IF(P115&lt;6,(INDEX(Tables!$B$123:$B$138,MAX(1,MIN(IFERROR(MATCH(U115,Tables!$A$123:$A$138,1),1),ROWS(Tables!$A$123:$A$138)-1)))+(U115-INDEX(Tables!$A$123:$A$138,MAX(1,MIN(IFERROR(MATCH(U115,Tables!$A$123:$A$138,1),1),ROWS(Tables!$A$123:$A$138)-1))))*(INDEX(Tables!$B$123:$B$138,MAX(1,MIN(IFERROR(MATCH(U115,Tables!$A$123:$A$138,1),1),ROWS(Tables!$A$123:$A$138)-1))+1)-INDEX(Tables!$B$123:$B$138,MAX(1,MIN(IFERROR(MATCH(U115,Tables!$A$123:$A$138,1),1),ROWS(Tables!$A$123:$A$138)-1))))/(INDEX(Tables!$A$123:$A$138,MAX(1,MIN(IFERROR(MATCH(U115,Tables!$A$123:$A$138,1),1),ROWS(Tables!$A$123:$A$138)-1))+1)-INDEX(Tables!$A$123:$A$138,MAX(1,MIN(IFERROR(MATCH(U115,Tables!$A$123:$A$138,1),1),ROWS(Tables!$A$123:$A$138)-1))))),IF(P115&lt;8,(INDEX(Tables!$D$123:$D$138,MAX(1,MIN(IFERROR(MATCH(U115,Tables!$C$123:$C$138,1),1),ROWS(Tables!$C$123:$C$138)-1)))+(U115-INDEX(Tables!$C$123:$C$138,MAX(1,MIN(IFERROR(MATCH(U115,Tables!$C$123:$C$138,1),1),ROWS(Tables!$C$123:$C$138)-1))))*(INDEX(Tables!$D$123:$D$138,MAX(1,MIN(IFERROR(MATCH(U115,Tables!$C$123:$C$138,1),1),ROWS(Tables!$C$123:$C$138)-1))+1)-INDEX(Tables!$D$123:$D$138,MAX(1,MIN(IFERROR(MATCH(U115,Tables!$C$123:$C$138,1),1),ROWS(Tables!$C$123:$C$138)-1))))/(INDEX(Tables!$C$123:$C$138,MAX(1,MIN(IFERROR(MATCH(U115,Tables!$C$123:$C$138,1),1),ROWS(Tables!$C$123:$C$138)-1))+1)-INDEX(Tables!$C$123:$C$138,MAX(1,MIN(IFERROR(MATCH(U115,Tables!$C$123:$C$138,1),1),ROWS(Tables!$C$123:$C$138)-1))))),IF(P115&lt;10,(INDEX(Tables!$F$123:$F$138,MAX(1,MIN(IFERROR(MATCH(U115,Tables!$E$123:$E$138,1),1),ROWS(Tables!$E$123:$E$138)-1)))+(U115-INDEX(Tables!$E$123:$E$138,MAX(1,MIN(IFERROR(MATCH(U115,Tables!$E$123:$E$138,1),1),ROWS(Tables!$E$123:$E$138)-1))))*(INDEX(Tables!$F$123:$F$138,MAX(1,MIN(IFERROR(MATCH(U115,Tables!$E$123:$E$138,1),1),ROWS(Tables!$E$123:$E$138)-1))+1)-INDEX(Tables!$F$123:$F$138,MAX(1,MIN(IFERROR(MATCH(U115,Tables!$E$123:$E$138,1),1),ROWS(Tables!$E$123:$E$138)-1))))/(INDEX(Tables!$E$123:$E$138,MAX(1,MIN(IFERROR(MATCH(U115,Tables!$E$123:$E$138,1),1),ROWS(Tables!$E$123:$E$138)-1))+1)-INDEX(Tables!$E$123:$E$138,MAX(1,MIN(IFERROR(MATCH(U115,Tables!$E$123:$E$138,1),1),ROWS(Tables!$E$123:$E$138)-1))))),(INDEX(Tables!$H$123:$H$138,MAX(1,MIN(IFERROR(MATCH(U115,Tables!$G$123:$G$138,1),1),ROWS(Tables!$G$123:$G$138)-1)))+(U115-INDEX(Tables!$G$123:$G$138,MAX(1,MIN(IFERROR(MATCH(U115,Tables!$G$123:$G$138,1),1),ROWS(Tables!$G$123:$G$138)-1))))*(INDEX(Tables!$H$123:$H$138,MAX(1,MIN(IFERROR(MATCH(U115,Tables!$G$123:$G$138,1),1),ROWS(Tables!$G$123:$G$138)-1))+1)-INDEX(Tables!$H$123:$H$138,MAX(1,MIN(IFERROR(MATCH(U115,Tables!$G$123:$G$138,1),1),ROWS(Tables!$G$123:$G$138)-1))))/(INDEX(Tables!$G$123:$G$138,MAX(1,MIN(IFERROR(MATCH(U115,Tables!$G$123:$G$138,1),1),ROWS(Tables!$G$123:$G$138)-1))+1)-INDEX(Tables!$G$123:$G$138,MAX(1,MIN(IFERROR(MATCH(U115,Tables!$G$123:$G$138,1),1),ROWS(Tables!$G$123:$G$138)-1))))))))</f>
        <v>1.389875</v>
      </c>
      <c r="AR115" s="181">
        <f>IF(OR(P115&gt;=4,U115&gt;12),VLOOKUP(R115&amp;" "&amp;S115,Tables!$D$143:$F$148,2,FALSE),VLOOKUP(R115&amp;" "&amp;S115,Tables!$A$143:$C$148,2,FALSE))</f>
        <v>0.9</v>
      </c>
      <c r="AS115" s="181">
        <f>IF(OR(P115&gt;=4,U115&gt;12),VLOOKUP(R115&amp;" "&amp;S115,Tables!$D$143:$F$148,3,FALSE),VLOOKUP(R115&amp;" "&amp;S115,Tables!$A$143:$C$148,3,FALSE))</f>
        <v>0.65</v>
      </c>
      <c r="AT115" s="181">
        <f t="shared" si="104"/>
        <v>1488.7735386638712</v>
      </c>
      <c r="AU115" s="181">
        <f>IF(AD115=5000,(INDEX(Tables!$B$244:$B$263,MAX(1,MIN(IFERROR(MATCH(AF115,Tables!$A$244:$A$263,1),1),ROWS(Tables!$A$244:$A$263)-1)))+(AF115-INDEX(Tables!$A$244:$A$263,MAX(1,MIN(IFERROR(MATCH(AF115,Tables!$A$244:$A$263,1),1),ROWS(Tables!$A$244:$A$263)-1))))*(INDEX(Tables!$B$244:$B$263,MAX(1,MIN(IFERROR(MATCH(AF115,Tables!$A$244:$A$263,1),1),ROWS(Tables!$A$244:$A$263)-1))+1)-INDEX(Tables!$B$244:$B$263,MAX(1,MIN(IFERROR(MATCH(AF115,Tables!$A$244:$A$263,1),1),ROWS(Tables!$A$244:$A$263)-1))))/(INDEX(Tables!$A$244:$A$263,MAX(1,MIN(IFERROR(MATCH(AF115,Tables!$A$244:$A$263,1),1),ROWS(Tables!$A$244:$A$263)-1))+1)-INDEX(Tables!$A$244:$A$263,MAX(1,MIN(IFERROR(MATCH(AF115,Tables!$A$244:$A$263,1),1),ROWS(Tables!$A$244:$A$263)-1))))),IF(AD115=10000,(INDEX(Tables!$D$244:$D$263,MAX(1,MIN(IFERROR(MATCH(AF115,Tables!$C$244:$C$263,1),1),ROWS(Tables!$C$244:$C$263)-1)))+(AF115-INDEX(Tables!$C$244:$C$263,MAX(1,MIN(IFERROR(MATCH(AF115,Tables!$C$244:$C$263,1),1),ROWS(Tables!$C$244:$C$263)-1))))*(INDEX(Tables!$D$244:$D$263,MAX(1,MIN(IFERROR(MATCH(AF115,Tables!$C$244:$C$263,1),1),ROWS(Tables!$C$244:$C$263)-1))+1)-INDEX(Tables!$D$244:$D$263,MAX(1,MIN(IFERROR(MATCH(AF115,Tables!$C$244:$C$263,1),1),ROWS(Tables!$C$244:$C$263)-1))))/(INDEX(Tables!$C$244:$C$263,MAX(1,MIN(IFERROR(MATCH(AF115,Tables!$C$244:$C$263,1),1),ROWS(Tables!$C$244:$C$263)-1))+1)-INDEX(Tables!$C$244:$C$263,MAX(1,MIN(IFERROR(MATCH(AF115,Tables!$C$244:$C$263,1),1),ROWS(Tables!$C$244:$C$263)-1))))),(INDEX(Tables!$F$244:$F$263,MAX(1,MIN(IFERROR(MATCH(AF115,Tables!$E$244:$E$263,1),1),ROWS(Tables!$E$244:$E$263)-1)))+(AF115-INDEX(Tables!$E$244:$E$263,MAX(1,MIN(IFERROR(MATCH(AF115,Tables!$E$244:$E$263,1),1),ROWS(Tables!$E$244:$E$263)-1))))*(INDEX(Tables!$F$244:$F$263,MAX(1,MIN(IFERROR(MATCH(AF115,Tables!$E$244:$E$263,1),1),ROWS(Tables!$E$244:$E$263)-1))+1)-INDEX(Tables!$F$244:$F$263,MAX(1,MIN(IFERROR(MATCH(AF115,Tables!$E$244:$E$263,1),1),ROWS(Tables!$E$244:$E$263)-1))))/(INDEX(Tables!$E$244:$E$263,MAX(1,MIN(IFERROR(MATCH(AF115,Tables!$E$244:$E$263,1),1),ROWS(Tables!$E$244:$E$263)-1))+1)-INDEX(Tables!$E$244:$E$263,MAX(1,MIN(IFERROR(MATCH(AF115,Tables!$E$244:$E$263,1),1),ROWS(Tables!$E$244:$E$263)-1)))))))</f>
        <v>9.899371014492754</v>
      </c>
      <c r="AV115" s="181">
        <f>IF(P115&lt;6,(INDEX(Tables!$B$260:$B$274,MAX(1,MIN(IFERROR(MATCH(U115,Tables!$A$260:$A$274,1),1),ROWS(Tables!$A$260:$A$274)-1)))+(U115-INDEX(Tables!$A$260:$A$274,MAX(1,MIN(IFERROR(MATCH(U115,Tables!$A$260:$A$274,1),1),ROWS(Tables!$A$260:$A$274)-1))))*(INDEX(Tables!$B$260:$B$274,MAX(1,MIN(IFERROR(MATCH(U115,Tables!$A$260:$A$274,1),1),ROWS(Tables!$A$260:$A$274)-1))+1)-INDEX(Tables!$B$260:$B$274,MAX(1,MIN(IFERROR(MATCH(U115,Tables!$A$260:$A$274,1),1),ROWS(Tables!$A$260:$A$274)-1))))/(INDEX(Tables!$A$260:$A$274,MAX(1,MIN(IFERROR(MATCH(U115,Tables!$A$260:$A$274,1),1),ROWS(Tables!$A$260:$A$274)-1))+1)-INDEX(Tables!$A$260:$A$274,MAX(1,MIN(IFERROR(MATCH(U115,Tables!$A$260:$A$274,1),1),ROWS(Tables!$A$260:$A$274)-1))))),IF(P115&lt;8,(INDEX(Tables!$D$260:$D$274,MAX(1,MIN(IFERROR(MATCH(U115,Tables!$C$260:$C$274,1),1),ROWS(Tables!$C$260:$C$274)-1)))+(U115-INDEX(Tables!$C$260:$C$274,MAX(1,MIN(IFERROR(MATCH(U115,Tables!$C$260:$C$274,1),1),ROWS(Tables!$C$260:$C$274)-1))))*(INDEX(Tables!$D$260:$D$274,MAX(1,MIN(IFERROR(MATCH(U115,Tables!$C$260:$C$274,1),1),ROWS(Tables!$C$260:$C$274)-1))+1)-INDEX(Tables!$D$260:$D$274,MAX(1,MIN(IFERROR(MATCH(U115,Tables!$C$260:$C$274,1),1),ROWS(Tables!$C$260:$C$274)-1))))/(INDEX(Tables!$C$260:$C$274,MAX(1,MIN(IFERROR(MATCH(U115,Tables!$C$260:$C$274,1),1),ROWS(Tables!$C$260:$C$274)-1))+1)-INDEX(Tables!$C$260:$C$274,MAX(1,MIN(IFERROR(MATCH(U115,Tables!$C$260:$C$274,1),1),ROWS(Tables!$C$260:$C$274)-1))))),IF(P115&lt;10,(INDEX(Tables!$F$260:$F$274,MAX(1,MIN(IFERROR(MATCH(U115,Tables!$E$260:$E$274,1),1),ROWS(Tables!$E$260:$E$274)-1)))+(U115-INDEX(Tables!$E$260:$E$274,MAX(1,MIN(IFERROR(MATCH(U115,Tables!$E$260:$E$274,1),1),ROWS(Tables!$E$260:$E$274)-1))))*(INDEX(Tables!$F$260:$F$274,MAX(1,MIN(IFERROR(MATCH(U115,Tables!$E$260:$E$274,1),1),ROWS(Tables!$E$260:$E$274)-1))+1)-INDEX(Tables!$F$260:$F$274,MAX(1,MIN(IFERROR(MATCH(U115,Tables!$E$260:$E$274,1),1),ROWS(Tables!$E$260:$E$274)-1))))/(INDEX(Tables!$E$260:$E$274,MAX(1,MIN(IFERROR(MATCH(U115,Tables!$E$260:$E$274,1),1),ROWS(Tables!$E$260:$E$274)-1))+1)-INDEX(Tables!$E$260:$E$274,MAX(1,MIN(IFERROR(MATCH(U115,Tables!$E$260:$E$274,1),1),ROWS(Tables!$E$260:$E$274)-1))))),(INDEX(Tables!$H$260:$H$274,MAX(1,MIN(IFERROR(MATCH(U115,Tables!$G$260:$G$274,1),1),ROWS(Tables!$G$260:$G$274)-1)))+(U115-INDEX(Tables!$G$260:$G$274,MAX(1,MIN(IFERROR(MATCH(U115,Tables!$G$260:$G$274,1),1),ROWS(Tables!$G$260:$G$274)-1))))*(INDEX(Tables!$H$260:$H$274,MAX(1,MIN(IFERROR(MATCH(U115,Tables!$G$260:$G$274,1),1),ROWS(Tables!$G$260:$G$274)-1))+1)-INDEX(Tables!$H$260:$H$274,MAX(1,MIN(IFERROR(MATCH(U115,Tables!$G$260:$G$274,1),1),ROWS(Tables!$G$260:$G$274)-1))))/(INDEX(Tables!$G$260:$G$274,MAX(1,MIN(IFERROR(MATCH(U115,Tables!$G$260:$G$274,1),1),ROWS(Tables!$G$260:$G$274)-1))+1)-INDEX(Tables!$G$260:$G$274,MAX(1,MIN(IFERROR(MATCH(U115,Tables!$G$260:$G$274,1),1),ROWS(Tables!$G$260:$G$274)-1))))))))</f>
        <v>1.3123750000000001</v>
      </c>
      <c r="AW115" s="181">
        <f t="shared" si="105"/>
        <v>950.017114444973</v>
      </c>
      <c r="AX115" s="181">
        <f t="shared" si="106"/>
        <v>41239.459459459467</v>
      </c>
      <c r="AY115" s="181">
        <f t="shared" si="107"/>
        <v>44493.493860085669</v>
      </c>
      <c r="AZ115" s="181">
        <f t="shared" si="108"/>
        <v>13851.433210871513</v>
      </c>
      <c r="BA115" s="181">
        <f t="shared" si="109"/>
        <v>-1440</v>
      </c>
      <c r="BB115" s="181">
        <f t="shared" si="110"/>
        <v>40513.267386543819</v>
      </c>
      <c r="BC115" s="181">
        <f t="shared" si="111"/>
        <v>46800</v>
      </c>
      <c r="BD115" s="181">
        <f>VLOOKUP(V115&amp;" "&amp;J115,Tables!$A$152:$E$239,4,FALSE)</f>
        <v>12000</v>
      </c>
      <c r="BE115" s="181">
        <f>VLOOKUP(V115&amp;" "&amp;J115,Tables!$A$152:$E$239,5,FALSE)</f>
        <v>23000</v>
      </c>
      <c r="BF115" s="181">
        <f t="shared" si="112"/>
        <v>8640</v>
      </c>
      <c r="BG115" s="181">
        <f t="shared" si="113"/>
        <v>16560</v>
      </c>
      <c r="BH115" s="181">
        <f t="shared" si="114"/>
        <v>41959.45945945946</v>
      </c>
      <c r="BI115" s="181">
        <f t="shared" si="115"/>
        <v>46800</v>
      </c>
      <c r="BJ115" s="181">
        <f t="shared" si="116"/>
        <v>40513.267386543819</v>
      </c>
      <c r="BK115" s="181">
        <f t="shared" si="117"/>
        <v>46800</v>
      </c>
      <c r="BL115" s="181">
        <f t="shared" si="118"/>
        <v>950.017114444973</v>
      </c>
      <c r="BM115" s="181">
        <f t="shared" si="119"/>
        <v>8640</v>
      </c>
      <c r="BN115" s="181">
        <f t="shared" si="120"/>
        <v>1488.7735386638712</v>
      </c>
      <c r="BO115" s="181">
        <f t="shared" si="121"/>
        <v>16560</v>
      </c>
      <c r="BP115" t="str">
        <f t="shared" si="122"/>
        <v>Pass</v>
      </c>
      <c r="BQ115" t="str">
        <f t="shared" si="123"/>
        <v>Pass</v>
      </c>
      <c r="BR115" t="str">
        <f t="shared" si="124"/>
        <v>Pass</v>
      </c>
      <c r="BS115" t="str">
        <f t="shared" si="125"/>
        <v>Pass</v>
      </c>
      <c r="BT115" t="str">
        <f t="shared" si="126"/>
        <v>Pass</v>
      </c>
      <c r="BU115" t="str">
        <f t="shared" si="127"/>
        <v>Barlow Stress</v>
      </c>
    </row>
    <row r="116" spans="1:73">
      <c r="A116" t="s">
        <v>708</v>
      </c>
      <c r="B116" s="181">
        <v>114</v>
      </c>
      <c r="C116" t="s">
        <v>594</v>
      </c>
      <c r="D116" s="181">
        <v>12</v>
      </c>
      <c r="E116" s="181">
        <v>0.18</v>
      </c>
      <c r="F116" t="s">
        <v>117</v>
      </c>
      <c r="G116" t="s">
        <v>119</v>
      </c>
      <c r="H116" t="s">
        <v>122</v>
      </c>
      <c r="I116" s="181">
        <v>1</v>
      </c>
      <c r="J116" t="s">
        <v>126</v>
      </c>
      <c r="K116" t="s">
        <v>129</v>
      </c>
      <c r="L116" s="181">
        <v>70</v>
      </c>
      <c r="M116" s="181">
        <v>3000</v>
      </c>
      <c r="N116" t="s">
        <v>391</v>
      </c>
      <c r="O116" s="181">
        <v>120</v>
      </c>
      <c r="P116" s="181">
        <v>6</v>
      </c>
      <c r="Q116" s="181">
        <v>14.75</v>
      </c>
      <c r="R116" t="s">
        <v>418</v>
      </c>
      <c r="S116" t="s">
        <v>420</v>
      </c>
      <c r="T116" s="181">
        <v>70</v>
      </c>
      <c r="U116" s="181">
        <f>HLOOKUP(D116,'Highway Loading'!$C$155:$AD$156,2,FALSE)</f>
        <v>12.75</v>
      </c>
      <c r="V116" s="181">
        <f>IF(ISBLANK(G116),"",INDEX('Highway Loading'!$C$216:$AG$216,1,MATCH(G116,'Highway Loading'!$C$215:$AG$215,0)))</f>
        <v>65000</v>
      </c>
      <c r="W116" s="181">
        <f>INDEX('Highway Loading'!$I$245:$L$253,MATCH(H116,'Highway Loading'!$H$245:$H$253,0),MATCH(I116,'Highway Loading'!$I$244:$L$244,0))</f>
        <v>0.72</v>
      </c>
      <c r="X116" s="181">
        <f t="shared" si="96"/>
        <v>1</v>
      </c>
      <c r="Y116" s="181">
        <f>VLOOKUP(K116,'Highway Loading'!$B$283:$E$292,2,FALSE)</f>
        <v>29000000</v>
      </c>
      <c r="Z116" s="181">
        <f>VLOOKUP(K116,'Highway Loading'!$B$283:$E$292,3,FALSE)</f>
        <v>0.3</v>
      </c>
      <c r="AA116" s="181">
        <f>VLOOKUP(K116,'Highway Loading'!$B$283:$E$292,4,FALSE)</f>
        <v>6.4999999999999996E-6</v>
      </c>
      <c r="AB116" s="181">
        <f t="shared" si="97"/>
        <v>1</v>
      </c>
      <c r="AC116" s="181">
        <f>VLOOKUP(N116,'Highway Loading'!$B$256:$D$261,2,FALSE)</f>
        <v>1000</v>
      </c>
      <c r="AD116" s="181">
        <f>VLOOKUP(N116,'Highway Loading'!$B$256:$D$261,3,FALSE)</f>
        <v>10000</v>
      </c>
      <c r="AE116" s="181">
        <f>VLOOKUP(S116,'Highway Loading'!$B$340:$C$341,2,FALSE)</f>
        <v>12000</v>
      </c>
      <c r="AF116" s="181">
        <f t="shared" si="98"/>
        <v>1.4117647058823528E-2</v>
      </c>
      <c r="AG116" s="181">
        <f t="shared" si="99"/>
        <v>4.8813559322033901</v>
      </c>
      <c r="AH116" s="181">
        <f t="shared" si="100"/>
        <v>1.1568627450980393</v>
      </c>
      <c r="AI116" s="181">
        <f t="shared" si="101"/>
        <v>106250</v>
      </c>
      <c r="AJ116" s="181">
        <f t="shared" si="102"/>
        <v>46800</v>
      </c>
      <c r="AK116" s="181">
        <f>IF(AC116=200,(INDEX(Tables!$B$17:$B$38,MAX(1,MIN(IFERROR(MATCH(AF116,Tables!$A$17:$A$38,1),1),ROWS(Tables!$A$17:$A$38)-1)))+(AF116-INDEX(Tables!$A$17:$A$38,MAX(1,MIN(IFERROR(MATCH(AF116,Tables!$A$17:$A$38,1),1),ROWS(Tables!$A$17:$A$38)-1))))*(INDEX(Tables!$B$17:$B$38,MAX(1,MIN(IFERROR(MATCH(AF116,Tables!$A$17:$A$38,1),1),ROWS(Tables!$A$17:$A$38)-1))+1)-INDEX(Tables!$B$17:$B$38,MAX(1,MIN(IFERROR(MATCH(AF116,Tables!$A$17:$A$38,1),1),ROWS(Tables!$A$17:$A$38)-1))))/(INDEX(Tables!$A$17:$A$38,MAX(1,MIN(IFERROR(MATCH(AF116,Tables!$A$17:$A$38,1),1),ROWS(Tables!$A$17:$A$38)-1))+1)-INDEX(Tables!$A$17:$A$38,MAX(1,MIN(IFERROR(MATCH(AF116,Tables!$A$17:$A$38,1),1),ROWS(Tables!$A$17:$A$38)-1))))),IF(AC116=500,(INDEX(Tables!$D$17:$D$38,MAX(1,MIN(IFERROR(MATCH(AF116,Tables!$C$17:$C$38,1),1),ROWS(Tables!$C$17:$C$38)-1)))+(AF116-INDEX(Tables!$C$17:$C$38,MAX(1,MIN(IFERROR(MATCH(AF116,Tables!$C$17:$C$38,1),1),ROWS(Tables!$C$17:$C$38)-1))))*(INDEX(Tables!$D$17:$D$38,MAX(1,MIN(IFERROR(MATCH(AF116,Tables!$C$17:$C$38,1),1),ROWS(Tables!$C$17:$C$38)-1))+1)-INDEX(Tables!$D$17:$D$38,MAX(1,MIN(IFERROR(MATCH(AF116,Tables!$C$17:$C$38,1),1),ROWS(Tables!$C$17:$C$38)-1))))/(INDEX(Tables!$C$17:$C$38,MAX(1,MIN(IFERROR(MATCH(AF116,Tables!$C$17:$C$38,1),1),ROWS(Tables!$C$17:$C$38)-1))+1)-INDEX(Tables!$C$17:$C$38,MAX(1,MIN(IFERROR(MATCH(AF116,Tables!$C$17:$C$38,1),1),ROWS(Tables!$C$17:$C$38)-1))))),IF(AC116=1000,(INDEX(Tables!$F$17:$F$38,MAX(1,MIN(IFERROR(MATCH(AF116,Tables!$E$17:$E$38,1),1),ROWS(Tables!$E$17:$E$38)-1)))+(AF116-INDEX(Tables!$E$17:$E$38,MAX(1,MIN(IFERROR(MATCH(AF116,Tables!$E$17:$E$38,1),1),ROWS(Tables!$E$17:$E$38)-1))))*(INDEX(Tables!$F$17:$F$38,MAX(1,MIN(IFERROR(MATCH(AF116,Tables!$E$17:$E$38,1),1),ROWS(Tables!$E$17:$E$38)-1))+1)-INDEX(Tables!$F$17:$F$38,MAX(1,MIN(IFERROR(MATCH(AF116,Tables!$E$17:$E$38,1),1),ROWS(Tables!$E$17:$E$38)-1))))/(INDEX(Tables!$E$17:$E$38,MAX(1,MIN(IFERROR(MATCH(AF116,Tables!$E$17:$E$38,1),1),ROWS(Tables!$E$17:$E$38)-1))+1)-INDEX(Tables!$E$17:$E$38,MAX(1,MIN(IFERROR(MATCH(AF116,Tables!$E$17:$E$38,1),1),ROWS(Tables!$E$17:$E$38)-1))))),(INDEX(Tables!$H$17:$H$38,MAX(1,MIN(IFERROR(MATCH(AF116,Tables!$G$17:$G$38,1),1),ROWS(Tables!$G$17:$G$38)-1)))+(AF116-INDEX(Tables!$G$17:$G$38,MAX(1,MIN(IFERROR(MATCH(AF116,Tables!$G$17:$G$38,1),1),ROWS(Tables!$G$17:$G$38)-1))))*(INDEX(Tables!$H$17:$H$38,MAX(1,MIN(IFERROR(MATCH(AF116,Tables!$G$17:$G$38,1),1),ROWS(Tables!$G$17:$G$38)-1))+1)-INDEX(Tables!$H$17:$H$38,MAX(1,MIN(IFERROR(MATCH(AF116,Tables!$G$17:$G$38,1),1),ROWS(Tables!$G$17:$G$38)-1))))/(INDEX(Tables!$G$17:$G$38,MAX(1,MIN(IFERROR(MATCH(AF116,Tables!$G$17:$G$38,1),1),ROWS(Tables!$G$17:$G$38)-1))+1)-INDEX(Tables!$G$17:$G$38,MAX(1,MIN(IFERROR(MATCH(AF116,Tables!$G$17:$G$38,1),1),ROWS(Tables!$G$17:$G$38)-1))))))))</f>
        <v>3480.1764705882356</v>
      </c>
      <c r="AL116" s="181">
        <f>IF(AC116&lt;1000,(INDEX(Tables!$B$43:$B$76,MAX(1,MIN(IFERROR(MATCH(AG116,Tables!$A$43:$A$76,1),1),ROWS(Tables!$A$43:$A$76)-1)))+(AG116-INDEX(Tables!$A$43:$A$76,MAX(1,MIN(IFERROR(MATCH(AG116,Tables!$A$43:$A$76,1),1),ROWS(Tables!$A$43:$A$76)-1))))*(INDEX(Tables!$B$43:$B$76,MAX(1,MIN(IFERROR(MATCH(AG116,Tables!$A$43:$A$76,1),1),ROWS(Tables!$A$43:$A$76)-1))+1)-INDEX(Tables!$B$43:$B$76,MAX(1,MIN(IFERROR(MATCH(AG116,Tables!$A$43:$A$76,1),1),ROWS(Tables!$A$43:$A$76)-1))))/(INDEX(Tables!$A$43:$A$76,MAX(1,MIN(IFERROR(MATCH(AG116,Tables!$A$43:$A$76,1),1),ROWS(Tables!$A$43:$A$76)-1))+1)-INDEX(Tables!$A$43:$A$76,MAX(1,MIN(IFERROR(MATCH(AG116,Tables!$A$43:$A$76,1),1),ROWS(Tables!$A$43:$A$76)-1))))),(INDEX(Tables!$D$43:$D$76,MAX(1,MIN(IFERROR(MATCH(AG116,Tables!$C$43:$C$76,1),1),ROWS(Tables!$C$43:$C$76)-1)))+(AG116-INDEX(Tables!$C$43:$C$76,MAX(1,MIN(IFERROR(MATCH(AG116,Tables!$C$43:$C$76,1),1),ROWS(Tables!$C$43:$C$76)-1))))*(INDEX(Tables!$D$43:$D$76,MAX(1,MIN(IFERROR(MATCH(AG116,Tables!$C$43:$C$76,1),1),ROWS(Tables!$C$43:$C$76)-1))+1)-INDEX(Tables!$D$43:$D$76,MAX(1,MIN(IFERROR(MATCH(AG116,Tables!$C$43:$C$76,1),1),ROWS(Tables!$C$43:$C$76)-1))))/(INDEX(Tables!$C$43:$C$76,MAX(1,MIN(IFERROR(MATCH(AG116,Tables!$C$43:$C$76,1),1),ROWS(Tables!$C$43:$C$76)-1))+1)-INDEX(Tables!$C$43:$C$76,MAX(1,MIN(IFERROR(MATCH(AG116,Tables!$C$43:$C$76,1),1),ROWS(Tables!$C$43:$C$76)-1))))))</f>
        <v>0.95557627118644062</v>
      </c>
      <c r="AM116" s="181">
        <f>(INDEX(Tables!$B$80:$B$87,MAX(1,MIN(IFERROR(MATCH(AH116,Tables!$A$80:$A$87,1),1),ROWS(Tables!$A$80:$A$87)-1)))+(AH116-INDEX(Tables!$A$80:$A$87,MAX(1,MIN(IFERROR(MATCH(AH116,Tables!$A$80:$A$87,1),1),ROWS(Tables!$A$80:$A$87)-1))))*(INDEX(Tables!$B$80:$B$87,MAX(1,MIN(IFERROR(MATCH(AH116,Tables!$A$80:$A$87,1),1),ROWS(Tables!$A$80:$A$87)-1))+1)-INDEX(Tables!$B$80:$B$87,MAX(1,MIN(IFERROR(MATCH(AH116,Tables!$A$80:$A$87,1),1),ROWS(Tables!$A$80:$A$87)-1))))/(INDEX(Tables!$A$80:$A$87,MAX(1,MIN(IFERROR(MATCH(AH116,Tables!$A$80:$A$87,1),1),ROWS(Tables!$A$80:$A$87)-1))+1)-INDEX(Tables!$A$80:$A$87,MAX(1,MIN(IFERROR(MATCH(AH116,Tables!$A$80:$A$87,1),1),ROWS(Tables!$A$80:$A$87)-1)))))</f>
        <v>1.1041078431372553</v>
      </c>
      <c r="AN116" s="181">
        <f t="shared" si="103"/>
        <v>3251.0661847354045</v>
      </c>
      <c r="AO116" s="181">
        <f>(INDEX(Tables!$B$91:$B$94,MAX(1,MIN(IFERROR(MATCH(P116,Tables!$A$91:$A$94,1),1),ROWS(Tables!$A$91:$A$94)-1)))+(P116-INDEX(Tables!$A$91:$A$94,MAX(1,MIN(IFERROR(MATCH(P116,Tables!$A$91:$A$94,1),1),ROWS(Tables!$A$91:$A$94)-1))))*(INDEX(Tables!$B$91:$B$94,MAX(1,MIN(IFERROR(MATCH(P116,Tables!$A$91:$A$94,1),1),ROWS(Tables!$A$91:$A$94)-1))+1)-INDEX(Tables!$B$91:$B$94,MAX(1,MIN(IFERROR(MATCH(P116,Tables!$A$91:$A$94,1),1),ROWS(Tables!$A$91:$A$94)-1))))/(INDEX(Tables!$A$91:$A$94,MAX(1,MIN(IFERROR(MATCH(P116,Tables!$A$91:$A$94,1),1),ROWS(Tables!$A$91:$A$94)-1))+1)-INDEX(Tables!$A$91:$A$94,MAX(1,MIN(IFERROR(MATCH(P116,Tables!$A$91:$A$94,1),1),ROWS(Tables!$A$91:$A$94)-1)))))</f>
        <v>1.476219512195122</v>
      </c>
      <c r="AP116" s="181">
        <f>IF(AD116=5000,(INDEX(Tables!$B$99:$B$118,MAX(1,MIN(IFERROR(MATCH(AF116,Tables!$A$99:$A$118,1),1),ROWS(Tables!$A$99:$A$118)-1)))+(AF116-INDEX(Tables!$A$99:$A$118,MAX(1,MIN(IFERROR(MATCH(AF116,Tables!$A$99:$A$118,1),1),ROWS(Tables!$A$99:$A$118)-1))))*(INDEX(Tables!$B$99:$B$118,MAX(1,MIN(IFERROR(MATCH(AF116,Tables!$A$99:$A$118,1),1),ROWS(Tables!$A$99:$A$118)-1))+1)-INDEX(Tables!$B$99:$B$118,MAX(1,MIN(IFERROR(MATCH(AF116,Tables!$A$99:$A$118,1),1),ROWS(Tables!$A$99:$A$118)-1))))/(INDEX(Tables!$A$99:$A$118,MAX(1,MIN(IFERROR(MATCH(AF116,Tables!$A$99:$A$118,1),1),ROWS(Tables!$A$99:$A$118)-1))+1)-INDEX(Tables!$A$99:$A$118,MAX(1,MIN(IFERROR(MATCH(AF116,Tables!$A$99:$A$118,1),1),ROWS(Tables!$A$99:$A$118)-1))))),IF(AD116=10000,(INDEX(Tables!$D$99:$D$118,MAX(1,MIN(IFERROR(MATCH(AF116,Tables!$C$99:$C$118,1),1),ROWS(Tables!$C$99:$C$118)-1)))+(AF116-INDEX(Tables!$C$99:$C$118,MAX(1,MIN(IFERROR(MATCH(AF116,Tables!$C$99:$C$118,1),1),ROWS(Tables!$C$99:$C$118)-1))))*(INDEX(Tables!$D$99:$D$118,MAX(1,MIN(IFERROR(MATCH(AF116,Tables!$C$99:$C$118,1),1),ROWS(Tables!$C$99:$C$118)-1))+1)-INDEX(Tables!$D$99:$D$118,MAX(1,MIN(IFERROR(MATCH(AF116,Tables!$C$99:$C$118,1),1),ROWS(Tables!$C$99:$C$118)-1))))/(INDEX(Tables!$C$99:$C$118,MAX(1,MIN(IFERROR(MATCH(AF116,Tables!$C$99:$C$118,1),1),ROWS(Tables!$C$99:$C$118)-1))+1)-INDEX(Tables!$C$99:$C$118,MAX(1,MIN(IFERROR(MATCH(AF116,Tables!$C$99:$C$118,1),1),ROWS(Tables!$C$99:$C$118)-1))))),(INDEX(Tables!$F$99:$F$118,MAX(1,MIN(IFERROR(MATCH(AF116,Tables!$E$99:$E$118,1),1),ROWS(Tables!$E$99:$E$118)-1)))+(AF116-INDEX(Tables!$E$99:$E$118,MAX(1,MIN(IFERROR(MATCH(AF116,Tables!$E$99:$E$118,1),1),ROWS(Tables!$E$99:$E$118)-1))))*(INDEX(Tables!$F$99:$F$118,MAX(1,MIN(IFERROR(MATCH(AF116,Tables!$E$99:$E$118,1),1),ROWS(Tables!$E$99:$E$118)-1))+1)-INDEX(Tables!$F$99:$F$118,MAX(1,MIN(IFERROR(MATCH(AF116,Tables!$E$99:$E$118,1),1),ROWS(Tables!$E$99:$E$118)-1))))/(INDEX(Tables!$E$99:$E$118,MAX(1,MIN(IFERROR(MATCH(AF116,Tables!$E$99:$E$118,1),1),ROWS(Tables!$E$99:$E$118)-1))+1)-INDEX(Tables!$E$99:$E$118,MAX(1,MIN(IFERROR(MATCH(AF116,Tables!$E$99:$E$118,1),1),ROWS(Tables!$E$99:$E$118)-1)))))))</f>
        <v>14.620281312525011</v>
      </c>
      <c r="AQ116" s="181">
        <f>IF(P116&lt;6,(INDEX(Tables!$B$123:$B$138,MAX(1,MIN(IFERROR(MATCH(U116,Tables!$A$123:$A$138,1),1),ROWS(Tables!$A$123:$A$138)-1)))+(U116-INDEX(Tables!$A$123:$A$138,MAX(1,MIN(IFERROR(MATCH(U116,Tables!$A$123:$A$138,1),1),ROWS(Tables!$A$123:$A$138)-1))))*(INDEX(Tables!$B$123:$B$138,MAX(1,MIN(IFERROR(MATCH(U116,Tables!$A$123:$A$138,1),1),ROWS(Tables!$A$123:$A$138)-1))+1)-INDEX(Tables!$B$123:$B$138,MAX(1,MIN(IFERROR(MATCH(U116,Tables!$A$123:$A$138,1),1),ROWS(Tables!$A$123:$A$138)-1))))/(INDEX(Tables!$A$123:$A$138,MAX(1,MIN(IFERROR(MATCH(U116,Tables!$A$123:$A$138,1),1),ROWS(Tables!$A$123:$A$138)-1))+1)-INDEX(Tables!$A$123:$A$138,MAX(1,MIN(IFERROR(MATCH(U116,Tables!$A$123:$A$138,1),1),ROWS(Tables!$A$123:$A$138)-1))))),IF(P116&lt;8,(INDEX(Tables!$D$123:$D$138,MAX(1,MIN(IFERROR(MATCH(U116,Tables!$C$123:$C$138,1),1),ROWS(Tables!$C$123:$C$138)-1)))+(U116-INDEX(Tables!$C$123:$C$138,MAX(1,MIN(IFERROR(MATCH(U116,Tables!$C$123:$C$138,1),1),ROWS(Tables!$C$123:$C$138)-1))))*(INDEX(Tables!$D$123:$D$138,MAX(1,MIN(IFERROR(MATCH(U116,Tables!$C$123:$C$138,1),1),ROWS(Tables!$C$123:$C$138)-1))+1)-INDEX(Tables!$D$123:$D$138,MAX(1,MIN(IFERROR(MATCH(U116,Tables!$C$123:$C$138,1),1),ROWS(Tables!$C$123:$C$138)-1))))/(INDEX(Tables!$C$123:$C$138,MAX(1,MIN(IFERROR(MATCH(U116,Tables!$C$123:$C$138,1),1),ROWS(Tables!$C$123:$C$138)-1))+1)-INDEX(Tables!$C$123:$C$138,MAX(1,MIN(IFERROR(MATCH(U116,Tables!$C$123:$C$138,1),1),ROWS(Tables!$C$123:$C$138)-1))))),IF(P116&lt;10,(INDEX(Tables!$F$123:$F$138,MAX(1,MIN(IFERROR(MATCH(U116,Tables!$E$123:$E$138,1),1),ROWS(Tables!$E$123:$E$138)-1)))+(U116-INDEX(Tables!$E$123:$E$138,MAX(1,MIN(IFERROR(MATCH(U116,Tables!$E$123:$E$138,1),1),ROWS(Tables!$E$123:$E$138)-1))))*(INDEX(Tables!$F$123:$F$138,MAX(1,MIN(IFERROR(MATCH(U116,Tables!$E$123:$E$138,1),1),ROWS(Tables!$E$123:$E$138)-1))+1)-INDEX(Tables!$F$123:$F$138,MAX(1,MIN(IFERROR(MATCH(U116,Tables!$E$123:$E$138,1),1),ROWS(Tables!$E$123:$E$138)-1))))/(INDEX(Tables!$E$123:$E$138,MAX(1,MIN(IFERROR(MATCH(U116,Tables!$E$123:$E$138,1),1),ROWS(Tables!$E$123:$E$138)-1))+1)-INDEX(Tables!$E$123:$E$138,MAX(1,MIN(IFERROR(MATCH(U116,Tables!$E$123:$E$138,1),1),ROWS(Tables!$E$123:$E$138)-1))))),(INDEX(Tables!$H$123:$H$138,MAX(1,MIN(IFERROR(MATCH(U116,Tables!$G$123:$G$138,1),1),ROWS(Tables!$G$123:$G$138)-1)))+(U116-INDEX(Tables!$G$123:$G$138,MAX(1,MIN(IFERROR(MATCH(U116,Tables!$G$123:$G$138,1),1),ROWS(Tables!$G$123:$G$138)-1))))*(INDEX(Tables!$H$123:$H$138,MAX(1,MIN(IFERROR(MATCH(U116,Tables!$G$123:$G$138,1),1),ROWS(Tables!$G$123:$G$138)-1))+1)-INDEX(Tables!$H$123:$H$138,MAX(1,MIN(IFERROR(MATCH(U116,Tables!$G$123:$G$138,1),1),ROWS(Tables!$G$123:$G$138)-1))))/(INDEX(Tables!$G$123:$G$138,MAX(1,MIN(IFERROR(MATCH(U116,Tables!$G$123:$G$138,1),1),ROWS(Tables!$G$123:$G$138)-1))+1)-INDEX(Tables!$G$123:$G$138,MAX(1,MIN(IFERROR(MATCH(U116,Tables!$G$123:$G$138,1),1),ROWS(Tables!$G$123:$G$138)-1))))))))</f>
        <v>1.01675</v>
      </c>
      <c r="AR116" s="181">
        <f>IF(OR(P116&gt;=4,U116&gt;12),VLOOKUP(R116&amp;" "&amp;S116,Tables!$D$143:$F$148,2,FALSE),VLOOKUP(R116&amp;" "&amp;S116,Tables!$A$143:$C$148,2,FALSE))</f>
        <v>0.9</v>
      </c>
      <c r="AS116" s="181">
        <f>IF(OR(P116&gt;=4,U116&gt;12),VLOOKUP(R116&amp;" "&amp;S116,Tables!$D$143:$F$148,3,FALSE),VLOOKUP(R116&amp;" "&amp;S116,Tables!$A$143:$C$148,3,FALSE))</f>
        <v>0.65</v>
      </c>
      <c r="AT116" s="181">
        <f t="shared" si="104"/>
        <v>1069.7824565268229</v>
      </c>
      <c r="AU116" s="181">
        <f>IF(AD116=5000,(INDEX(Tables!$B$244:$B$263,MAX(1,MIN(IFERROR(MATCH(AF116,Tables!$A$244:$A$263,1),1),ROWS(Tables!$A$244:$A$263)-1)))+(AF116-INDEX(Tables!$A$244:$A$263,MAX(1,MIN(IFERROR(MATCH(AF116,Tables!$A$244:$A$263,1),1),ROWS(Tables!$A$244:$A$263)-1))))*(INDEX(Tables!$B$244:$B$263,MAX(1,MIN(IFERROR(MATCH(AF116,Tables!$A$244:$A$263,1),1),ROWS(Tables!$A$244:$A$263)-1))+1)-INDEX(Tables!$B$244:$B$263,MAX(1,MIN(IFERROR(MATCH(AF116,Tables!$A$244:$A$263,1),1),ROWS(Tables!$A$244:$A$263)-1))))/(INDEX(Tables!$A$244:$A$263,MAX(1,MIN(IFERROR(MATCH(AF116,Tables!$A$244:$A$263,1),1),ROWS(Tables!$A$244:$A$263)-1))+1)-INDEX(Tables!$A$244:$A$263,MAX(1,MIN(IFERROR(MATCH(AF116,Tables!$A$244:$A$263,1),1),ROWS(Tables!$A$244:$A$263)-1))))),IF(AD116=10000,(INDEX(Tables!$D$244:$D$263,MAX(1,MIN(IFERROR(MATCH(AF116,Tables!$C$244:$C$263,1),1),ROWS(Tables!$C$244:$C$263)-1)))+(AF116-INDEX(Tables!$C$244:$C$263,MAX(1,MIN(IFERROR(MATCH(AF116,Tables!$C$244:$C$263,1),1),ROWS(Tables!$C$244:$C$263)-1))))*(INDEX(Tables!$D$244:$D$263,MAX(1,MIN(IFERROR(MATCH(AF116,Tables!$C$244:$C$263,1),1),ROWS(Tables!$C$244:$C$263)-1))+1)-INDEX(Tables!$D$244:$D$263,MAX(1,MIN(IFERROR(MATCH(AF116,Tables!$C$244:$C$263,1),1),ROWS(Tables!$C$244:$C$263)-1))))/(INDEX(Tables!$C$244:$C$263,MAX(1,MIN(IFERROR(MATCH(AF116,Tables!$C$244:$C$263,1),1),ROWS(Tables!$C$244:$C$263)-1))+1)-INDEX(Tables!$C$244:$C$263,MAX(1,MIN(IFERROR(MATCH(AF116,Tables!$C$244:$C$263,1),1),ROWS(Tables!$C$244:$C$263)-1))))),(INDEX(Tables!$F$244:$F$263,MAX(1,MIN(IFERROR(MATCH(AF116,Tables!$E$244:$E$263,1),1),ROWS(Tables!$E$244:$E$263)-1)))+(AF116-INDEX(Tables!$E$244:$E$263,MAX(1,MIN(IFERROR(MATCH(AF116,Tables!$E$244:$E$263,1),1),ROWS(Tables!$E$244:$E$263)-1))))*(INDEX(Tables!$F$244:$F$263,MAX(1,MIN(IFERROR(MATCH(AF116,Tables!$E$244:$E$263,1),1),ROWS(Tables!$E$244:$E$263)-1))+1)-INDEX(Tables!$F$244:$F$263,MAX(1,MIN(IFERROR(MATCH(AF116,Tables!$E$244:$E$263,1),1),ROWS(Tables!$E$244:$E$263)-1))))/(INDEX(Tables!$E$244:$E$263,MAX(1,MIN(IFERROR(MATCH(AF116,Tables!$E$244:$E$263,1),1),ROWS(Tables!$E$244:$E$263)-1))+1)-INDEX(Tables!$E$244:$E$263,MAX(1,MIN(IFERROR(MATCH(AF116,Tables!$E$244:$E$263,1),1),ROWS(Tables!$E$244:$E$263)-1)))))))</f>
        <v>9.9543137254901968</v>
      </c>
      <c r="AV116" s="181">
        <f>IF(P116&lt;6,(INDEX(Tables!$B$260:$B$274,MAX(1,MIN(IFERROR(MATCH(U116,Tables!$A$260:$A$274,1),1),ROWS(Tables!$A$260:$A$274)-1)))+(U116-INDEX(Tables!$A$260:$A$274,MAX(1,MIN(IFERROR(MATCH(U116,Tables!$A$260:$A$274,1),1),ROWS(Tables!$A$260:$A$274)-1))))*(INDEX(Tables!$B$260:$B$274,MAX(1,MIN(IFERROR(MATCH(U116,Tables!$A$260:$A$274,1),1),ROWS(Tables!$A$260:$A$274)-1))+1)-INDEX(Tables!$B$260:$B$274,MAX(1,MIN(IFERROR(MATCH(U116,Tables!$A$260:$A$274,1),1),ROWS(Tables!$A$260:$A$274)-1))))/(INDEX(Tables!$A$260:$A$274,MAX(1,MIN(IFERROR(MATCH(U116,Tables!$A$260:$A$274,1),1),ROWS(Tables!$A$260:$A$274)-1))+1)-INDEX(Tables!$A$260:$A$274,MAX(1,MIN(IFERROR(MATCH(U116,Tables!$A$260:$A$274,1),1),ROWS(Tables!$A$260:$A$274)-1))))),IF(P116&lt;8,(INDEX(Tables!$D$260:$D$274,MAX(1,MIN(IFERROR(MATCH(U116,Tables!$C$260:$C$274,1),1),ROWS(Tables!$C$260:$C$274)-1)))+(U116-INDEX(Tables!$C$260:$C$274,MAX(1,MIN(IFERROR(MATCH(U116,Tables!$C$260:$C$274,1),1),ROWS(Tables!$C$260:$C$274)-1))))*(INDEX(Tables!$D$260:$D$274,MAX(1,MIN(IFERROR(MATCH(U116,Tables!$C$260:$C$274,1),1),ROWS(Tables!$C$260:$C$274)-1))+1)-INDEX(Tables!$D$260:$D$274,MAX(1,MIN(IFERROR(MATCH(U116,Tables!$C$260:$C$274,1),1),ROWS(Tables!$C$260:$C$274)-1))))/(INDEX(Tables!$C$260:$C$274,MAX(1,MIN(IFERROR(MATCH(U116,Tables!$C$260:$C$274,1),1),ROWS(Tables!$C$260:$C$274)-1))+1)-INDEX(Tables!$C$260:$C$274,MAX(1,MIN(IFERROR(MATCH(U116,Tables!$C$260:$C$274,1),1),ROWS(Tables!$C$260:$C$274)-1))))),IF(P116&lt;10,(INDEX(Tables!$F$260:$F$274,MAX(1,MIN(IFERROR(MATCH(U116,Tables!$E$260:$E$274,1),1),ROWS(Tables!$E$260:$E$274)-1)))+(U116-INDEX(Tables!$E$260:$E$274,MAX(1,MIN(IFERROR(MATCH(U116,Tables!$E$260:$E$274,1),1),ROWS(Tables!$E$260:$E$274)-1))))*(INDEX(Tables!$F$260:$F$274,MAX(1,MIN(IFERROR(MATCH(U116,Tables!$E$260:$E$274,1),1),ROWS(Tables!$E$260:$E$274)-1))+1)-INDEX(Tables!$F$260:$F$274,MAX(1,MIN(IFERROR(MATCH(U116,Tables!$E$260:$E$274,1),1),ROWS(Tables!$E$260:$E$274)-1))))/(INDEX(Tables!$E$260:$E$274,MAX(1,MIN(IFERROR(MATCH(U116,Tables!$E$260:$E$274,1),1),ROWS(Tables!$E$260:$E$274)-1))+1)-INDEX(Tables!$E$260:$E$274,MAX(1,MIN(IFERROR(MATCH(U116,Tables!$E$260:$E$274,1),1),ROWS(Tables!$E$260:$E$274)-1))))),(INDEX(Tables!$H$260:$H$274,MAX(1,MIN(IFERROR(MATCH(U116,Tables!$G$260:$G$274,1),1),ROWS(Tables!$G$260:$G$274)-1)))+(U116-INDEX(Tables!$G$260:$G$274,MAX(1,MIN(IFERROR(MATCH(U116,Tables!$G$260:$G$274,1),1),ROWS(Tables!$G$260:$G$274)-1))))*(INDEX(Tables!$H$260:$H$274,MAX(1,MIN(IFERROR(MATCH(U116,Tables!$G$260:$G$274,1),1),ROWS(Tables!$G$260:$G$274)-1))+1)-INDEX(Tables!$H$260:$H$274,MAX(1,MIN(IFERROR(MATCH(U116,Tables!$G$260:$G$274,1),1),ROWS(Tables!$G$260:$G$274)-1))))/(INDEX(Tables!$G$260:$G$274,MAX(1,MIN(IFERROR(MATCH(U116,Tables!$G$260:$G$274,1),1),ROWS(Tables!$G$260:$G$274)-1))+1)-INDEX(Tables!$G$260:$G$274,MAX(1,MIN(IFERROR(MATCH(U116,Tables!$G$260:$G$274,1),1),ROWS(Tables!$G$260:$G$274)-1))))))))</f>
        <v>1.0024999999999999</v>
      </c>
      <c r="AW116" s="181">
        <f t="shared" si="105"/>
        <v>718.16009033245155</v>
      </c>
      <c r="AX116" s="181">
        <f t="shared" si="106"/>
        <v>104750</v>
      </c>
      <c r="AY116" s="181">
        <f t="shared" si="107"/>
        <v>109070.84864126223</v>
      </c>
      <c r="AZ116" s="181">
        <f t="shared" si="108"/>
        <v>33118.479945753075</v>
      </c>
      <c r="BA116" s="181">
        <f t="shared" si="109"/>
        <v>-3000</v>
      </c>
      <c r="BB116" s="181">
        <f t="shared" si="110"/>
        <v>99078.711182632556</v>
      </c>
      <c r="BC116" s="181">
        <f t="shared" si="111"/>
        <v>46800</v>
      </c>
      <c r="BD116" s="181">
        <f>VLOOKUP(V116&amp;" "&amp;J116,Tables!$A$152:$E$239,4,FALSE)</f>
        <v>12000</v>
      </c>
      <c r="BE116" s="181">
        <f>VLOOKUP(V116&amp;" "&amp;J116,Tables!$A$152:$E$239,5,FALSE)</f>
        <v>23000</v>
      </c>
      <c r="BF116" s="181">
        <f t="shared" si="112"/>
        <v>8640</v>
      </c>
      <c r="BG116" s="181">
        <f t="shared" si="113"/>
        <v>16560</v>
      </c>
      <c r="BH116" s="181">
        <f t="shared" si="114"/>
        <v>106250</v>
      </c>
      <c r="BI116" s="181">
        <f t="shared" si="115"/>
        <v>46800</v>
      </c>
      <c r="BJ116" s="181">
        <f t="shared" si="116"/>
        <v>99078.711182632556</v>
      </c>
      <c r="BK116" s="181">
        <f t="shared" si="117"/>
        <v>46800</v>
      </c>
      <c r="BL116" s="181">
        <f t="shared" si="118"/>
        <v>718.16009033245155</v>
      </c>
      <c r="BM116" s="181">
        <f t="shared" si="119"/>
        <v>8640</v>
      </c>
      <c r="BN116" s="181">
        <f t="shared" si="120"/>
        <v>1069.7824565268229</v>
      </c>
      <c r="BO116" s="181">
        <f t="shared" si="121"/>
        <v>16560</v>
      </c>
      <c r="BP116" t="str">
        <f t="shared" si="122"/>
        <v>Fail</v>
      </c>
      <c r="BQ116" t="str">
        <f t="shared" si="123"/>
        <v>Fail</v>
      </c>
      <c r="BR116" t="str">
        <f t="shared" si="124"/>
        <v>Pass</v>
      </c>
      <c r="BS116" t="str">
        <f t="shared" si="125"/>
        <v>Pass</v>
      </c>
      <c r="BT116" t="str">
        <f t="shared" si="126"/>
        <v>Fail</v>
      </c>
      <c r="BU116" t="str">
        <f t="shared" si="127"/>
        <v>Barlow Stress</v>
      </c>
    </row>
    <row r="117" spans="1:73">
      <c r="A117" t="s">
        <v>709</v>
      </c>
      <c r="B117" s="181">
        <v>115</v>
      </c>
      <c r="C117" t="s">
        <v>594</v>
      </c>
      <c r="D117" s="181">
        <v>16</v>
      </c>
      <c r="E117" s="181">
        <v>0.188</v>
      </c>
      <c r="F117" t="s">
        <v>117</v>
      </c>
      <c r="G117" t="s">
        <v>119</v>
      </c>
      <c r="H117" t="s">
        <v>122</v>
      </c>
      <c r="I117" s="181">
        <v>1</v>
      </c>
      <c r="J117" t="s">
        <v>126</v>
      </c>
      <c r="K117" t="s">
        <v>129</v>
      </c>
      <c r="L117" s="181">
        <v>70</v>
      </c>
      <c r="M117" s="181">
        <v>3000</v>
      </c>
      <c r="N117" t="s">
        <v>392</v>
      </c>
      <c r="O117" s="181">
        <v>120</v>
      </c>
      <c r="P117" s="181">
        <v>8</v>
      </c>
      <c r="Q117" s="181">
        <v>18</v>
      </c>
      <c r="R117" t="s">
        <v>418</v>
      </c>
      <c r="S117" t="s">
        <v>420</v>
      </c>
      <c r="T117" s="181">
        <v>70</v>
      </c>
      <c r="U117" s="181">
        <f>HLOOKUP(D117,'Highway Loading'!$C$155:$AD$156,2,FALSE)</f>
        <v>16</v>
      </c>
      <c r="V117" s="181">
        <f>IF(ISBLANK(G117),"",INDEX('Highway Loading'!$C$216:$AG$216,1,MATCH(G117,'Highway Loading'!$C$215:$AG$215,0)))</f>
        <v>65000</v>
      </c>
      <c r="W117" s="181">
        <f>INDEX('Highway Loading'!$I$245:$L$253,MATCH(H117,'Highway Loading'!$H$245:$H$253,0),MATCH(I117,'Highway Loading'!$I$244:$L$244,0))</f>
        <v>0.72</v>
      </c>
      <c r="X117" s="181">
        <f t="shared" si="96"/>
        <v>1</v>
      </c>
      <c r="Y117" s="181">
        <f>VLOOKUP(K117,'Highway Loading'!$B$283:$E$292,2,FALSE)</f>
        <v>29000000</v>
      </c>
      <c r="Z117" s="181">
        <f>VLOOKUP(K117,'Highway Loading'!$B$283:$E$292,3,FALSE)</f>
        <v>0.3</v>
      </c>
      <c r="AA117" s="181">
        <f>VLOOKUP(K117,'Highway Loading'!$B$283:$E$292,4,FALSE)</f>
        <v>6.4999999999999996E-6</v>
      </c>
      <c r="AB117" s="181">
        <f t="shared" si="97"/>
        <v>1</v>
      </c>
      <c r="AC117" s="181">
        <f>VLOOKUP(N117,'Highway Loading'!$B$256:$D$261,2,FALSE)</f>
        <v>2000</v>
      </c>
      <c r="AD117" s="181">
        <f>VLOOKUP(N117,'Highway Loading'!$B$256:$D$261,3,FALSE)</f>
        <v>20000</v>
      </c>
      <c r="AE117" s="181">
        <f>VLOOKUP(S117,'Highway Loading'!$B$340:$C$341,2,FALSE)</f>
        <v>12000</v>
      </c>
      <c r="AF117" s="181">
        <f t="shared" si="98"/>
        <v>1.175E-2</v>
      </c>
      <c r="AG117" s="181">
        <f t="shared" si="99"/>
        <v>5.333333333333333</v>
      </c>
      <c r="AH117" s="181">
        <f t="shared" si="100"/>
        <v>1.125</v>
      </c>
      <c r="AI117" s="181">
        <f t="shared" si="101"/>
        <v>127659.57446808511</v>
      </c>
      <c r="AJ117" s="181">
        <f t="shared" si="102"/>
        <v>46800</v>
      </c>
      <c r="AK117" s="181">
        <f>IF(AC117=200,(INDEX(Tables!$B$17:$B$38,MAX(1,MIN(IFERROR(MATCH(AF117,Tables!$A$17:$A$38,1),1),ROWS(Tables!$A$17:$A$38)-1)))+(AF117-INDEX(Tables!$A$17:$A$38,MAX(1,MIN(IFERROR(MATCH(AF117,Tables!$A$17:$A$38,1),1),ROWS(Tables!$A$17:$A$38)-1))))*(INDEX(Tables!$B$17:$B$38,MAX(1,MIN(IFERROR(MATCH(AF117,Tables!$A$17:$A$38,1),1),ROWS(Tables!$A$17:$A$38)-1))+1)-INDEX(Tables!$B$17:$B$38,MAX(1,MIN(IFERROR(MATCH(AF117,Tables!$A$17:$A$38,1),1),ROWS(Tables!$A$17:$A$38)-1))))/(INDEX(Tables!$A$17:$A$38,MAX(1,MIN(IFERROR(MATCH(AF117,Tables!$A$17:$A$38,1),1),ROWS(Tables!$A$17:$A$38)-1))+1)-INDEX(Tables!$A$17:$A$38,MAX(1,MIN(IFERROR(MATCH(AF117,Tables!$A$17:$A$38,1),1),ROWS(Tables!$A$17:$A$38)-1))))),IF(AC117=500,(INDEX(Tables!$D$17:$D$38,MAX(1,MIN(IFERROR(MATCH(AF117,Tables!$C$17:$C$38,1),1),ROWS(Tables!$C$17:$C$38)-1)))+(AF117-INDEX(Tables!$C$17:$C$38,MAX(1,MIN(IFERROR(MATCH(AF117,Tables!$C$17:$C$38,1),1),ROWS(Tables!$C$17:$C$38)-1))))*(INDEX(Tables!$D$17:$D$38,MAX(1,MIN(IFERROR(MATCH(AF117,Tables!$C$17:$C$38,1),1),ROWS(Tables!$C$17:$C$38)-1))+1)-INDEX(Tables!$D$17:$D$38,MAX(1,MIN(IFERROR(MATCH(AF117,Tables!$C$17:$C$38,1),1),ROWS(Tables!$C$17:$C$38)-1))))/(INDEX(Tables!$C$17:$C$38,MAX(1,MIN(IFERROR(MATCH(AF117,Tables!$C$17:$C$38,1),1),ROWS(Tables!$C$17:$C$38)-1))+1)-INDEX(Tables!$C$17:$C$38,MAX(1,MIN(IFERROR(MATCH(AF117,Tables!$C$17:$C$38,1),1),ROWS(Tables!$C$17:$C$38)-1))))),IF(AC117=1000,(INDEX(Tables!$F$17:$F$38,MAX(1,MIN(IFERROR(MATCH(AF117,Tables!$E$17:$E$38,1),1),ROWS(Tables!$E$17:$E$38)-1)))+(AF117-INDEX(Tables!$E$17:$E$38,MAX(1,MIN(IFERROR(MATCH(AF117,Tables!$E$17:$E$38,1),1),ROWS(Tables!$E$17:$E$38)-1))))*(INDEX(Tables!$F$17:$F$38,MAX(1,MIN(IFERROR(MATCH(AF117,Tables!$E$17:$E$38,1),1),ROWS(Tables!$E$17:$E$38)-1))+1)-INDEX(Tables!$F$17:$F$38,MAX(1,MIN(IFERROR(MATCH(AF117,Tables!$E$17:$E$38,1),1),ROWS(Tables!$E$17:$E$38)-1))))/(INDEX(Tables!$E$17:$E$38,MAX(1,MIN(IFERROR(MATCH(AF117,Tables!$E$17:$E$38,1),1),ROWS(Tables!$E$17:$E$38)-1))+1)-INDEX(Tables!$E$17:$E$38,MAX(1,MIN(IFERROR(MATCH(AF117,Tables!$E$17:$E$38,1),1),ROWS(Tables!$E$17:$E$38)-1))))),(INDEX(Tables!$H$17:$H$38,MAX(1,MIN(IFERROR(MATCH(AF117,Tables!$G$17:$G$38,1),1),ROWS(Tables!$G$17:$G$38)-1)))+(AF117-INDEX(Tables!$G$17:$G$38,MAX(1,MIN(IFERROR(MATCH(AF117,Tables!$G$17:$G$38,1),1),ROWS(Tables!$G$17:$G$38)-1))))*(INDEX(Tables!$H$17:$H$38,MAX(1,MIN(IFERROR(MATCH(AF117,Tables!$G$17:$G$38,1),1),ROWS(Tables!$G$17:$G$38)-1))+1)-INDEX(Tables!$H$17:$H$38,MAX(1,MIN(IFERROR(MATCH(AF117,Tables!$G$17:$G$38,1),1),ROWS(Tables!$G$17:$G$38)-1))))/(INDEX(Tables!$G$17:$G$38,MAX(1,MIN(IFERROR(MATCH(AF117,Tables!$G$17:$G$38,1),1),ROWS(Tables!$G$17:$G$38)-1))+1)-INDEX(Tables!$G$17:$G$38,MAX(1,MIN(IFERROR(MATCH(AF117,Tables!$G$17:$G$38,1),1),ROWS(Tables!$G$17:$G$38)-1))))))))</f>
        <v>2906.3</v>
      </c>
      <c r="AL117" s="181">
        <f>IF(AC117&lt;1000,(INDEX(Tables!$B$43:$B$76,MAX(1,MIN(IFERROR(MATCH(AG117,Tables!$A$43:$A$76,1),1),ROWS(Tables!$A$43:$A$76)-1)))+(AG117-INDEX(Tables!$A$43:$A$76,MAX(1,MIN(IFERROR(MATCH(AG117,Tables!$A$43:$A$76,1),1),ROWS(Tables!$A$43:$A$76)-1))))*(INDEX(Tables!$B$43:$B$76,MAX(1,MIN(IFERROR(MATCH(AG117,Tables!$A$43:$A$76,1),1),ROWS(Tables!$A$43:$A$76)-1))+1)-INDEX(Tables!$B$43:$B$76,MAX(1,MIN(IFERROR(MATCH(AG117,Tables!$A$43:$A$76,1),1),ROWS(Tables!$A$43:$A$76)-1))))/(INDEX(Tables!$A$43:$A$76,MAX(1,MIN(IFERROR(MATCH(AG117,Tables!$A$43:$A$76,1),1),ROWS(Tables!$A$43:$A$76)-1))+1)-INDEX(Tables!$A$43:$A$76,MAX(1,MIN(IFERROR(MATCH(AG117,Tables!$A$43:$A$76,1),1),ROWS(Tables!$A$43:$A$76)-1))))),(INDEX(Tables!$D$43:$D$76,MAX(1,MIN(IFERROR(MATCH(AG117,Tables!$C$43:$C$76,1),1),ROWS(Tables!$C$43:$C$76)-1)))+(AG117-INDEX(Tables!$C$43:$C$76,MAX(1,MIN(IFERROR(MATCH(AG117,Tables!$C$43:$C$76,1),1),ROWS(Tables!$C$43:$C$76)-1))))*(INDEX(Tables!$D$43:$D$76,MAX(1,MIN(IFERROR(MATCH(AG117,Tables!$C$43:$C$76,1),1),ROWS(Tables!$C$43:$C$76)-1))+1)-INDEX(Tables!$D$43:$D$76,MAX(1,MIN(IFERROR(MATCH(AG117,Tables!$C$43:$C$76,1),1),ROWS(Tables!$C$43:$C$76)-1))))/(INDEX(Tables!$C$43:$C$76,MAX(1,MIN(IFERROR(MATCH(AG117,Tables!$C$43:$C$76,1),1),ROWS(Tables!$C$43:$C$76)-1))+1)-INDEX(Tables!$C$43:$C$76,MAX(1,MIN(IFERROR(MATCH(AG117,Tables!$C$43:$C$76,1),1),ROWS(Tables!$C$43:$C$76)-1))))))</f>
        <v>0.98666666666666658</v>
      </c>
      <c r="AM117" s="181">
        <f>(INDEX(Tables!$B$80:$B$87,MAX(1,MIN(IFERROR(MATCH(AH117,Tables!$A$80:$A$87,1),1),ROWS(Tables!$A$80:$A$87)-1)))+(AH117-INDEX(Tables!$A$80:$A$87,MAX(1,MIN(IFERROR(MATCH(AH117,Tables!$A$80:$A$87,1),1),ROWS(Tables!$A$80:$A$87)-1))))*(INDEX(Tables!$B$80:$B$87,MAX(1,MIN(IFERROR(MATCH(AH117,Tables!$A$80:$A$87,1),1),ROWS(Tables!$A$80:$A$87)-1))+1)-INDEX(Tables!$B$80:$B$87,MAX(1,MIN(IFERROR(MATCH(AH117,Tables!$A$80:$A$87,1),1),ROWS(Tables!$A$80:$A$87)-1))))/(INDEX(Tables!$A$80:$A$87,MAX(1,MIN(IFERROR(MATCH(AH117,Tables!$A$80:$A$87,1),1),ROWS(Tables!$A$80:$A$87)-1))+1)-INDEX(Tables!$A$80:$A$87,MAX(1,MIN(IFERROR(MATCH(AH117,Tables!$A$80:$A$87,1),1),ROWS(Tables!$A$80:$A$87)-1)))))</f>
        <v>1.04345</v>
      </c>
      <c r="AN117" s="181">
        <f t="shared" si="103"/>
        <v>3324.6048354074073</v>
      </c>
      <c r="AO117" s="181">
        <f>(INDEX(Tables!$B$91:$B$94,MAX(1,MIN(IFERROR(MATCH(P117,Tables!$A$91:$A$94,1),1),ROWS(Tables!$A$91:$A$94)-1)))+(P117-INDEX(Tables!$A$91:$A$94,MAX(1,MIN(IFERROR(MATCH(P117,Tables!$A$91:$A$94,1),1),ROWS(Tables!$A$91:$A$94)-1))))*(INDEX(Tables!$B$91:$B$94,MAX(1,MIN(IFERROR(MATCH(P117,Tables!$A$91:$A$94,1),1),ROWS(Tables!$A$91:$A$94)-1))+1)-INDEX(Tables!$B$91:$B$94,MAX(1,MIN(IFERROR(MATCH(P117,Tables!$A$91:$A$94,1),1),ROWS(Tables!$A$91:$A$94)-1))))/(INDEX(Tables!$A$91:$A$94,MAX(1,MIN(IFERROR(MATCH(P117,Tables!$A$91:$A$94,1),1),ROWS(Tables!$A$91:$A$94)-1))+1)-INDEX(Tables!$A$91:$A$94,MAX(1,MIN(IFERROR(MATCH(P117,Tables!$A$91:$A$94,1),1),ROWS(Tables!$A$91:$A$94)-1)))))</f>
        <v>1.4152439024390244</v>
      </c>
      <c r="AP117" s="181">
        <f>IF(AD117=5000,(INDEX(Tables!$B$99:$B$118,MAX(1,MIN(IFERROR(MATCH(AF117,Tables!$A$99:$A$118,1),1),ROWS(Tables!$A$99:$A$118)-1)))+(AF117-INDEX(Tables!$A$99:$A$118,MAX(1,MIN(IFERROR(MATCH(AF117,Tables!$A$99:$A$118,1),1),ROWS(Tables!$A$99:$A$118)-1))))*(INDEX(Tables!$B$99:$B$118,MAX(1,MIN(IFERROR(MATCH(AF117,Tables!$A$99:$A$118,1),1),ROWS(Tables!$A$99:$A$118)-1))+1)-INDEX(Tables!$B$99:$B$118,MAX(1,MIN(IFERROR(MATCH(AF117,Tables!$A$99:$A$118,1),1),ROWS(Tables!$A$99:$A$118)-1))))/(INDEX(Tables!$A$99:$A$118,MAX(1,MIN(IFERROR(MATCH(AF117,Tables!$A$99:$A$118,1),1),ROWS(Tables!$A$99:$A$118)-1))+1)-INDEX(Tables!$A$99:$A$118,MAX(1,MIN(IFERROR(MATCH(AF117,Tables!$A$99:$A$118,1),1),ROWS(Tables!$A$99:$A$118)-1))))),IF(AD117=10000,(INDEX(Tables!$D$99:$D$118,MAX(1,MIN(IFERROR(MATCH(AF117,Tables!$C$99:$C$118,1),1),ROWS(Tables!$C$99:$C$118)-1)))+(AF117-INDEX(Tables!$C$99:$C$118,MAX(1,MIN(IFERROR(MATCH(AF117,Tables!$C$99:$C$118,1),1),ROWS(Tables!$C$99:$C$118)-1))))*(INDEX(Tables!$D$99:$D$118,MAX(1,MIN(IFERROR(MATCH(AF117,Tables!$C$99:$C$118,1),1),ROWS(Tables!$C$99:$C$118)-1))+1)-INDEX(Tables!$D$99:$D$118,MAX(1,MIN(IFERROR(MATCH(AF117,Tables!$C$99:$C$118,1),1),ROWS(Tables!$C$99:$C$118)-1))))/(INDEX(Tables!$C$99:$C$118,MAX(1,MIN(IFERROR(MATCH(AF117,Tables!$C$99:$C$118,1),1),ROWS(Tables!$C$99:$C$118)-1))+1)-INDEX(Tables!$C$99:$C$118,MAX(1,MIN(IFERROR(MATCH(AF117,Tables!$C$99:$C$118,1),1),ROWS(Tables!$C$99:$C$118)-1))))),(INDEX(Tables!$F$99:$F$118,MAX(1,MIN(IFERROR(MATCH(AF117,Tables!$E$99:$E$118,1),1),ROWS(Tables!$E$99:$E$118)-1)))+(AF117-INDEX(Tables!$E$99:$E$118,MAX(1,MIN(IFERROR(MATCH(AF117,Tables!$E$99:$E$118,1),1),ROWS(Tables!$E$99:$E$118)-1))))*(INDEX(Tables!$F$99:$F$118,MAX(1,MIN(IFERROR(MATCH(AF117,Tables!$E$99:$E$118,1),1),ROWS(Tables!$E$99:$E$118)-1))+1)-INDEX(Tables!$F$99:$F$118,MAX(1,MIN(IFERROR(MATCH(AF117,Tables!$E$99:$E$118,1),1),ROWS(Tables!$E$99:$E$118)-1))))/(INDEX(Tables!$E$99:$E$118,MAX(1,MIN(IFERROR(MATCH(AF117,Tables!$E$99:$E$118,1),1),ROWS(Tables!$E$99:$E$118)-1))+1)-INDEX(Tables!$E$99:$E$118,MAX(1,MIN(IFERROR(MATCH(AF117,Tables!$E$99:$E$118,1),1),ROWS(Tables!$E$99:$E$118)-1)))))))</f>
        <v>7.8903600000000003</v>
      </c>
      <c r="AQ117" s="181">
        <f>IF(P117&lt;6,(INDEX(Tables!$B$123:$B$138,MAX(1,MIN(IFERROR(MATCH(U117,Tables!$A$123:$A$138,1),1),ROWS(Tables!$A$123:$A$138)-1)))+(U117-INDEX(Tables!$A$123:$A$138,MAX(1,MIN(IFERROR(MATCH(U117,Tables!$A$123:$A$138,1),1),ROWS(Tables!$A$123:$A$138)-1))))*(INDEX(Tables!$B$123:$B$138,MAX(1,MIN(IFERROR(MATCH(U117,Tables!$A$123:$A$138,1),1),ROWS(Tables!$A$123:$A$138)-1))+1)-INDEX(Tables!$B$123:$B$138,MAX(1,MIN(IFERROR(MATCH(U117,Tables!$A$123:$A$138,1),1),ROWS(Tables!$A$123:$A$138)-1))))/(INDEX(Tables!$A$123:$A$138,MAX(1,MIN(IFERROR(MATCH(U117,Tables!$A$123:$A$138,1),1),ROWS(Tables!$A$123:$A$138)-1))+1)-INDEX(Tables!$A$123:$A$138,MAX(1,MIN(IFERROR(MATCH(U117,Tables!$A$123:$A$138,1),1),ROWS(Tables!$A$123:$A$138)-1))))),IF(P117&lt;8,(INDEX(Tables!$D$123:$D$138,MAX(1,MIN(IFERROR(MATCH(U117,Tables!$C$123:$C$138,1),1),ROWS(Tables!$C$123:$C$138)-1)))+(U117-INDEX(Tables!$C$123:$C$138,MAX(1,MIN(IFERROR(MATCH(U117,Tables!$C$123:$C$138,1),1),ROWS(Tables!$C$123:$C$138)-1))))*(INDEX(Tables!$D$123:$D$138,MAX(1,MIN(IFERROR(MATCH(U117,Tables!$C$123:$C$138,1),1),ROWS(Tables!$C$123:$C$138)-1))+1)-INDEX(Tables!$D$123:$D$138,MAX(1,MIN(IFERROR(MATCH(U117,Tables!$C$123:$C$138,1),1),ROWS(Tables!$C$123:$C$138)-1))))/(INDEX(Tables!$C$123:$C$138,MAX(1,MIN(IFERROR(MATCH(U117,Tables!$C$123:$C$138,1),1),ROWS(Tables!$C$123:$C$138)-1))+1)-INDEX(Tables!$C$123:$C$138,MAX(1,MIN(IFERROR(MATCH(U117,Tables!$C$123:$C$138,1),1),ROWS(Tables!$C$123:$C$138)-1))))),IF(P117&lt;10,(INDEX(Tables!$F$123:$F$138,MAX(1,MIN(IFERROR(MATCH(U117,Tables!$E$123:$E$138,1),1),ROWS(Tables!$E$123:$E$138)-1)))+(U117-INDEX(Tables!$E$123:$E$138,MAX(1,MIN(IFERROR(MATCH(U117,Tables!$E$123:$E$138,1),1),ROWS(Tables!$E$123:$E$138)-1))))*(INDEX(Tables!$F$123:$F$138,MAX(1,MIN(IFERROR(MATCH(U117,Tables!$E$123:$E$138,1),1),ROWS(Tables!$E$123:$E$138)-1))+1)-INDEX(Tables!$F$123:$F$138,MAX(1,MIN(IFERROR(MATCH(U117,Tables!$E$123:$E$138,1),1),ROWS(Tables!$E$123:$E$138)-1))))/(INDEX(Tables!$E$123:$E$138,MAX(1,MIN(IFERROR(MATCH(U117,Tables!$E$123:$E$138,1),1),ROWS(Tables!$E$123:$E$138)-1))+1)-INDEX(Tables!$E$123:$E$138,MAX(1,MIN(IFERROR(MATCH(U117,Tables!$E$123:$E$138,1),1),ROWS(Tables!$E$123:$E$138)-1))))),(INDEX(Tables!$H$123:$H$138,MAX(1,MIN(IFERROR(MATCH(U117,Tables!$G$123:$G$138,1),1),ROWS(Tables!$G$123:$G$138)-1)))+(U117-INDEX(Tables!$G$123:$G$138,MAX(1,MIN(IFERROR(MATCH(U117,Tables!$G$123:$G$138,1),1),ROWS(Tables!$G$123:$G$138)-1))))*(INDEX(Tables!$H$123:$H$138,MAX(1,MIN(IFERROR(MATCH(U117,Tables!$G$123:$G$138,1),1),ROWS(Tables!$G$123:$G$138)-1))+1)-INDEX(Tables!$H$123:$H$138,MAX(1,MIN(IFERROR(MATCH(U117,Tables!$G$123:$G$138,1),1),ROWS(Tables!$G$123:$G$138)-1))))/(INDEX(Tables!$G$123:$G$138,MAX(1,MIN(IFERROR(MATCH(U117,Tables!$G$123:$G$138,1),1),ROWS(Tables!$G$123:$G$138)-1))+1)-INDEX(Tables!$G$123:$G$138,MAX(1,MIN(IFERROR(MATCH(U117,Tables!$G$123:$G$138,1),1),ROWS(Tables!$G$123:$G$138)-1))))))))</f>
        <v>0.79200000000000004</v>
      </c>
      <c r="AR117" s="181">
        <f>IF(OR(P117&gt;=4,U117&gt;12),VLOOKUP(R117&amp;" "&amp;S117,Tables!$D$143:$F$148,2,FALSE),VLOOKUP(R117&amp;" "&amp;S117,Tables!$A$143:$C$148,2,FALSE))</f>
        <v>0.9</v>
      </c>
      <c r="AS117" s="181">
        <f>IF(OR(P117&gt;=4,U117&gt;12),VLOOKUP(R117&amp;" "&amp;S117,Tables!$D$143:$F$148,3,FALSE),VLOOKUP(R117&amp;" "&amp;S117,Tables!$A$143:$C$148,3,FALSE))</f>
        <v>0.65</v>
      </c>
      <c r="AT117" s="181">
        <f t="shared" si="104"/>
        <v>431.14952553146355</v>
      </c>
      <c r="AU117" s="181">
        <f>IF(AD117=5000,(INDEX(Tables!$B$244:$B$263,MAX(1,MIN(IFERROR(MATCH(AF117,Tables!$A$244:$A$263,1),1),ROWS(Tables!$A$244:$A$263)-1)))+(AF117-INDEX(Tables!$A$244:$A$263,MAX(1,MIN(IFERROR(MATCH(AF117,Tables!$A$244:$A$263,1),1),ROWS(Tables!$A$244:$A$263)-1))))*(INDEX(Tables!$B$244:$B$263,MAX(1,MIN(IFERROR(MATCH(AF117,Tables!$A$244:$A$263,1),1),ROWS(Tables!$A$244:$A$263)-1))+1)-INDEX(Tables!$B$244:$B$263,MAX(1,MIN(IFERROR(MATCH(AF117,Tables!$A$244:$A$263,1),1),ROWS(Tables!$A$244:$A$263)-1))))/(INDEX(Tables!$A$244:$A$263,MAX(1,MIN(IFERROR(MATCH(AF117,Tables!$A$244:$A$263,1),1),ROWS(Tables!$A$244:$A$263)-1))+1)-INDEX(Tables!$A$244:$A$263,MAX(1,MIN(IFERROR(MATCH(AF117,Tables!$A$244:$A$263,1),1),ROWS(Tables!$A$244:$A$263)-1))))),IF(AD117=10000,(INDEX(Tables!$D$244:$D$263,MAX(1,MIN(IFERROR(MATCH(AF117,Tables!$C$244:$C$263,1),1),ROWS(Tables!$C$244:$C$263)-1)))+(AF117-INDEX(Tables!$C$244:$C$263,MAX(1,MIN(IFERROR(MATCH(AF117,Tables!$C$244:$C$263,1),1),ROWS(Tables!$C$244:$C$263)-1))))*(INDEX(Tables!$D$244:$D$263,MAX(1,MIN(IFERROR(MATCH(AF117,Tables!$C$244:$C$263,1),1),ROWS(Tables!$C$244:$C$263)-1))+1)-INDEX(Tables!$D$244:$D$263,MAX(1,MIN(IFERROR(MATCH(AF117,Tables!$C$244:$C$263,1),1),ROWS(Tables!$C$244:$C$263)-1))))/(INDEX(Tables!$C$244:$C$263,MAX(1,MIN(IFERROR(MATCH(AF117,Tables!$C$244:$C$263,1),1),ROWS(Tables!$C$244:$C$263)-1))+1)-INDEX(Tables!$C$244:$C$263,MAX(1,MIN(IFERROR(MATCH(AF117,Tables!$C$244:$C$263,1),1),ROWS(Tables!$C$244:$C$263)-1))))),(INDEX(Tables!$F$244:$F$263,MAX(1,MIN(IFERROR(MATCH(AF117,Tables!$E$244:$E$263,1),1),ROWS(Tables!$E$244:$E$263)-1)))+(AF117-INDEX(Tables!$E$244:$E$263,MAX(1,MIN(IFERROR(MATCH(AF117,Tables!$E$244:$E$263,1),1),ROWS(Tables!$E$244:$E$263)-1))))*(INDEX(Tables!$F$244:$F$263,MAX(1,MIN(IFERROR(MATCH(AF117,Tables!$E$244:$E$263,1),1),ROWS(Tables!$E$244:$E$263)-1))+1)-INDEX(Tables!$F$244:$F$263,MAX(1,MIN(IFERROR(MATCH(AF117,Tables!$E$244:$E$263,1),1),ROWS(Tables!$E$244:$E$263)-1))))/(INDEX(Tables!$E$244:$E$263,MAX(1,MIN(IFERROR(MATCH(AF117,Tables!$E$244:$E$263,1),1),ROWS(Tables!$E$244:$E$263)-1))+1)-INDEX(Tables!$E$244:$E$263,MAX(1,MIN(IFERROR(MATCH(AF117,Tables!$E$244:$E$263,1),1),ROWS(Tables!$E$244:$E$263)-1)))))))</f>
        <v>6.2337222222222222</v>
      </c>
      <c r="AV117" s="181">
        <f>IF(P117&lt;6,(INDEX(Tables!$B$260:$B$274,MAX(1,MIN(IFERROR(MATCH(U117,Tables!$A$260:$A$274,1),1),ROWS(Tables!$A$260:$A$274)-1)))+(U117-INDEX(Tables!$A$260:$A$274,MAX(1,MIN(IFERROR(MATCH(U117,Tables!$A$260:$A$274,1),1),ROWS(Tables!$A$260:$A$274)-1))))*(INDEX(Tables!$B$260:$B$274,MAX(1,MIN(IFERROR(MATCH(U117,Tables!$A$260:$A$274,1),1),ROWS(Tables!$A$260:$A$274)-1))+1)-INDEX(Tables!$B$260:$B$274,MAX(1,MIN(IFERROR(MATCH(U117,Tables!$A$260:$A$274,1),1),ROWS(Tables!$A$260:$A$274)-1))))/(INDEX(Tables!$A$260:$A$274,MAX(1,MIN(IFERROR(MATCH(U117,Tables!$A$260:$A$274,1),1),ROWS(Tables!$A$260:$A$274)-1))+1)-INDEX(Tables!$A$260:$A$274,MAX(1,MIN(IFERROR(MATCH(U117,Tables!$A$260:$A$274,1),1),ROWS(Tables!$A$260:$A$274)-1))))),IF(P117&lt;8,(INDEX(Tables!$D$260:$D$274,MAX(1,MIN(IFERROR(MATCH(U117,Tables!$C$260:$C$274,1),1),ROWS(Tables!$C$260:$C$274)-1)))+(U117-INDEX(Tables!$C$260:$C$274,MAX(1,MIN(IFERROR(MATCH(U117,Tables!$C$260:$C$274,1),1),ROWS(Tables!$C$260:$C$274)-1))))*(INDEX(Tables!$D$260:$D$274,MAX(1,MIN(IFERROR(MATCH(U117,Tables!$C$260:$C$274,1),1),ROWS(Tables!$C$260:$C$274)-1))+1)-INDEX(Tables!$D$260:$D$274,MAX(1,MIN(IFERROR(MATCH(U117,Tables!$C$260:$C$274,1),1),ROWS(Tables!$C$260:$C$274)-1))))/(INDEX(Tables!$C$260:$C$274,MAX(1,MIN(IFERROR(MATCH(U117,Tables!$C$260:$C$274,1),1),ROWS(Tables!$C$260:$C$274)-1))+1)-INDEX(Tables!$C$260:$C$274,MAX(1,MIN(IFERROR(MATCH(U117,Tables!$C$260:$C$274,1),1),ROWS(Tables!$C$260:$C$274)-1))))),IF(P117&lt;10,(INDEX(Tables!$F$260:$F$274,MAX(1,MIN(IFERROR(MATCH(U117,Tables!$E$260:$E$274,1),1),ROWS(Tables!$E$260:$E$274)-1)))+(U117-INDEX(Tables!$E$260:$E$274,MAX(1,MIN(IFERROR(MATCH(U117,Tables!$E$260:$E$274,1),1),ROWS(Tables!$E$260:$E$274)-1))))*(INDEX(Tables!$F$260:$F$274,MAX(1,MIN(IFERROR(MATCH(U117,Tables!$E$260:$E$274,1),1),ROWS(Tables!$E$260:$E$274)-1))+1)-INDEX(Tables!$F$260:$F$274,MAX(1,MIN(IFERROR(MATCH(U117,Tables!$E$260:$E$274,1),1),ROWS(Tables!$E$260:$E$274)-1))))/(INDEX(Tables!$E$260:$E$274,MAX(1,MIN(IFERROR(MATCH(U117,Tables!$E$260:$E$274,1),1),ROWS(Tables!$E$260:$E$274)-1))+1)-INDEX(Tables!$E$260:$E$274,MAX(1,MIN(IFERROR(MATCH(U117,Tables!$E$260:$E$274,1),1),ROWS(Tables!$E$260:$E$274)-1))))),(INDEX(Tables!$H$260:$H$274,MAX(1,MIN(IFERROR(MATCH(U117,Tables!$G$260:$G$274,1),1),ROWS(Tables!$G$260:$G$274)-1)))+(U117-INDEX(Tables!$G$260:$G$274,MAX(1,MIN(IFERROR(MATCH(U117,Tables!$G$260:$G$274,1),1),ROWS(Tables!$G$260:$G$274)-1))))*(INDEX(Tables!$H$260:$H$274,MAX(1,MIN(IFERROR(MATCH(U117,Tables!$G$260:$G$274,1),1),ROWS(Tables!$G$260:$G$274)-1))+1)-INDEX(Tables!$H$260:$H$274,MAX(1,MIN(IFERROR(MATCH(U117,Tables!$G$260:$G$274,1),1),ROWS(Tables!$G$260:$G$274)-1))))/(INDEX(Tables!$G$260:$G$274,MAX(1,MIN(IFERROR(MATCH(U117,Tables!$G$260:$G$274,1),1),ROWS(Tables!$G$260:$G$274)-1))+1)-INDEX(Tables!$G$260:$G$274,MAX(1,MIN(IFERROR(MATCH(U117,Tables!$G$260:$G$274,1),1),ROWS(Tables!$G$260:$G$274)-1))))))))</f>
        <v>0.84099999999999997</v>
      </c>
      <c r="AW117" s="181">
        <f t="shared" si="105"/>
        <v>361.70070414773875</v>
      </c>
      <c r="AX117" s="181">
        <f t="shared" si="106"/>
        <v>126159.57446808511</v>
      </c>
      <c r="AY117" s="181">
        <f t="shared" si="107"/>
        <v>129915.32882902397</v>
      </c>
      <c r="AZ117" s="181">
        <f t="shared" si="108"/>
        <v>39206.954495195489</v>
      </c>
      <c r="BA117" s="181">
        <f t="shared" si="109"/>
        <v>-3000</v>
      </c>
      <c r="BB117" s="181">
        <f t="shared" si="110"/>
        <v>117634.86052138846</v>
      </c>
      <c r="BC117" s="181">
        <f t="shared" si="111"/>
        <v>46800</v>
      </c>
      <c r="BD117" s="181">
        <f>VLOOKUP(V117&amp;" "&amp;J117,Tables!$A$152:$E$239,4,FALSE)</f>
        <v>12000</v>
      </c>
      <c r="BE117" s="181">
        <f>VLOOKUP(V117&amp;" "&amp;J117,Tables!$A$152:$E$239,5,FALSE)</f>
        <v>23000</v>
      </c>
      <c r="BF117" s="181">
        <f t="shared" si="112"/>
        <v>8640</v>
      </c>
      <c r="BG117" s="181">
        <f t="shared" si="113"/>
        <v>16560</v>
      </c>
      <c r="BH117" s="181">
        <f t="shared" si="114"/>
        <v>127659.57446808511</v>
      </c>
      <c r="BI117" s="181">
        <f t="shared" si="115"/>
        <v>46800</v>
      </c>
      <c r="BJ117" s="181">
        <f t="shared" si="116"/>
        <v>117634.86052138846</v>
      </c>
      <c r="BK117" s="181">
        <f t="shared" si="117"/>
        <v>46800</v>
      </c>
      <c r="BL117" s="181">
        <f t="shared" si="118"/>
        <v>361.70070414773875</v>
      </c>
      <c r="BM117" s="181">
        <f t="shared" si="119"/>
        <v>8640</v>
      </c>
      <c r="BN117" s="181">
        <f t="shared" si="120"/>
        <v>431.14952553146355</v>
      </c>
      <c r="BO117" s="181">
        <f t="shared" si="121"/>
        <v>16560</v>
      </c>
      <c r="BP117" t="str">
        <f t="shared" si="122"/>
        <v>Fail</v>
      </c>
      <c r="BQ117" t="str">
        <f t="shared" si="123"/>
        <v>Fail</v>
      </c>
      <c r="BR117" t="str">
        <f t="shared" si="124"/>
        <v>Pass</v>
      </c>
      <c r="BS117" t="str">
        <f t="shared" si="125"/>
        <v>Pass</v>
      </c>
      <c r="BT117" t="str">
        <f t="shared" si="126"/>
        <v>Fail</v>
      </c>
      <c r="BU117" t="str">
        <f t="shared" si="127"/>
        <v>Barlow Stress</v>
      </c>
    </row>
    <row r="118" spans="1:73">
      <c r="A118" t="s">
        <v>710</v>
      </c>
      <c r="B118" s="181">
        <v>116</v>
      </c>
      <c r="C118" t="s">
        <v>594</v>
      </c>
      <c r="D118" s="181">
        <v>24</v>
      </c>
      <c r="E118" s="181">
        <v>0.25</v>
      </c>
      <c r="F118" t="s">
        <v>117</v>
      </c>
      <c r="G118" t="s">
        <v>119</v>
      </c>
      <c r="H118" t="s">
        <v>122</v>
      </c>
      <c r="I118" s="181">
        <v>1</v>
      </c>
      <c r="J118" t="s">
        <v>126</v>
      </c>
      <c r="K118" t="s">
        <v>129</v>
      </c>
      <c r="L118" s="181">
        <v>70</v>
      </c>
      <c r="M118" s="181">
        <v>3000</v>
      </c>
      <c r="N118" t="s">
        <v>392</v>
      </c>
      <c r="O118" s="181">
        <v>120</v>
      </c>
      <c r="P118" s="181">
        <v>10</v>
      </c>
      <c r="Q118" s="181">
        <v>26</v>
      </c>
      <c r="R118" t="s">
        <v>418</v>
      </c>
      <c r="S118" t="s">
        <v>420</v>
      </c>
      <c r="T118" s="181">
        <v>70</v>
      </c>
      <c r="U118" s="181">
        <f>HLOOKUP(D118,'Highway Loading'!$C$155:$AD$156,2,FALSE)</f>
        <v>24</v>
      </c>
      <c r="V118" s="181">
        <f>IF(ISBLANK(G118),"",INDEX('Highway Loading'!$C$216:$AG$216,1,MATCH(G118,'Highway Loading'!$C$215:$AG$215,0)))</f>
        <v>65000</v>
      </c>
      <c r="W118" s="181">
        <f>INDEX('Highway Loading'!$I$245:$L$253,MATCH(H118,'Highway Loading'!$H$245:$H$253,0),MATCH(I118,'Highway Loading'!$I$244:$L$244,0))</f>
        <v>0.72</v>
      </c>
      <c r="X118" s="181">
        <f t="shared" si="96"/>
        <v>1</v>
      </c>
      <c r="Y118" s="181">
        <f>VLOOKUP(K118,'Highway Loading'!$B$283:$E$292,2,FALSE)</f>
        <v>29000000</v>
      </c>
      <c r="Z118" s="181">
        <f>VLOOKUP(K118,'Highway Loading'!$B$283:$E$292,3,FALSE)</f>
        <v>0.3</v>
      </c>
      <c r="AA118" s="181">
        <f>VLOOKUP(K118,'Highway Loading'!$B$283:$E$292,4,FALSE)</f>
        <v>6.4999999999999996E-6</v>
      </c>
      <c r="AB118" s="181">
        <f t="shared" si="97"/>
        <v>1</v>
      </c>
      <c r="AC118" s="181">
        <f>VLOOKUP(N118,'Highway Loading'!$B$256:$D$261,2,FALSE)</f>
        <v>2000</v>
      </c>
      <c r="AD118" s="181">
        <f>VLOOKUP(N118,'Highway Loading'!$B$256:$D$261,3,FALSE)</f>
        <v>20000</v>
      </c>
      <c r="AE118" s="181">
        <f>VLOOKUP(S118,'Highway Loading'!$B$340:$C$341,2,FALSE)</f>
        <v>12000</v>
      </c>
      <c r="AF118" s="181">
        <f t="shared" si="98"/>
        <v>1.0416666666666666E-2</v>
      </c>
      <c r="AG118" s="181">
        <f t="shared" si="99"/>
        <v>4.615384615384615</v>
      </c>
      <c r="AH118" s="181">
        <f t="shared" si="100"/>
        <v>1.0833333333333333</v>
      </c>
      <c r="AI118" s="181">
        <f t="shared" si="101"/>
        <v>144000</v>
      </c>
      <c r="AJ118" s="181">
        <f t="shared" si="102"/>
        <v>46800</v>
      </c>
      <c r="AK118" s="181">
        <f>IF(AC118=200,(INDEX(Tables!$B$17:$B$38,MAX(1,MIN(IFERROR(MATCH(AF118,Tables!$A$17:$A$38,1),1),ROWS(Tables!$A$17:$A$38)-1)))+(AF118-INDEX(Tables!$A$17:$A$38,MAX(1,MIN(IFERROR(MATCH(AF118,Tables!$A$17:$A$38,1),1),ROWS(Tables!$A$17:$A$38)-1))))*(INDEX(Tables!$B$17:$B$38,MAX(1,MIN(IFERROR(MATCH(AF118,Tables!$A$17:$A$38,1),1),ROWS(Tables!$A$17:$A$38)-1))+1)-INDEX(Tables!$B$17:$B$38,MAX(1,MIN(IFERROR(MATCH(AF118,Tables!$A$17:$A$38,1),1),ROWS(Tables!$A$17:$A$38)-1))))/(INDEX(Tables!$A$17:$A$38,MAX(1,MIN(IFERROR(MATCH(AF118,Tables!$A$17:$A$38,1),1),ROWS(Tables!$A$17:$A$38)-1))+1)-INDEX(Tables!$A$17:$A$38,MAX(1,MIN(IFERROR(MATCH(AF118,Tables!$A$17:$A$38,1),1),ROWS(Tables!$A$17:$A$38)-1))))),IF(AC118=500,(INDEX(Tables!$D$17:$D$38,MAX(1,MIN(IFERROR(MATCH(AF118,Tables!$C$17:$C$38,1),1),ROWS(Tables!$C$17:$C$38)-1)))+(AF118-INDEX(Tables!$C$17:$C$38,MAX(1,MIN(IFERROR(MATCH(AF118,Tables!$C$17:$C$38,1),1),ROWS(Tables!$C$17:$C$38)-1))))*(INDEX(Tables!$D$17:$D$38,MAX(1,MIN(IFERROR(MATCH(AF118,Tables!$C$17:$C$38,1),1),ROWS(Tables!$C$17:$C$38)-1))+1)-INDEX(Tables!$D$17:$D$38,MAX(1,MIN(IFERROR(MATCH(AF118,Tables!$C$17:$C$38,1),1),ROWS(Tables!$C$17:$C$38)-1))))/(INDEX(Tables!$C$17:$C$38,MAX(1,MIN(IFERROR(MATCH(AF118,Tables!$C$17:$C$38,1),1),ROWS(Tables!$C$17:$C$38)-1))+1)-INDEX(Tables!$C$17:$C$38,MAX(1,MIN(IFERROR(MATCH(AF118,Tables!$C$17:$C$38,1),1),ROWS(Tables!$C$17:$C$38)-1))))),IF(AC118=1000,(INDEX(Tables!$F$17:$F$38,MAX(1,MIN(IFERROR(MATCH(AF118,Tables!$E$17:$E$38,1),1),ROWS(Tables!$E$17:$E$38)-1)))+(AF118-INDEX(Tables!$E$17:$E$38,MAX(1,MIN(IFERROR(MATCH(AF118,Tables!$E$17:$E$38,1),1),ROWS(Tables!$E$17:$E$38)-1))))*(INDEX(Tables!$F$17:$F$38,MAX(1,MIN(IFERROR(MATCH(AF118,Tables!$E$17:$E$38,1),1),ROWS(Tables!$E$17:$E$38)-1))+1)-INDEX(Tables!$F$17:$F$38,MAX(1,MIN(IFERROR(MATCH(AF118,Tables!$E$17:$E$38,1),1),ROWS(Tables!$E$17:$E$38)-1))))/(INDEX(Tables!$E$17:$E$38,MAX(1,MIN(IFERROR(MATCH(AF118,Tables!$E$17:$E$38,1),1),ROWS(Tables!$E$17:$E$38)-1))+1)-INDEX(Tables!$E$17:$E$38,MAX(1,MIN(IFERROR(MATCH(AF118,Tables!$E$17:$E$38,1),1),ROWS(Tables!$E$17:$E$38)-1))))),(INDEX(Tables!$H$17:$H$38,MAX(1,MIN(IFERROR(MATCH(AF118,Tables!$G$17:$G$38,1),1),ROWS(Tables!$G$17:$G$38)-1)))+(AF118-INDEX(Tables!$G$17:$G$38,MAX(1,MIN(IFERROR(MATCH(AF118,Tables!$G$17:$G$38,1),1),ROWS(Tables!$G$17:$G$38)-1))))*(INDEX(Tables!$H$17:$H$38,MAX(1,MIN(IFERROR(MATCH(AF118,Tables!$G$17:$G$38,1),1),ROWS(Tables!$G$17:$G$38)-1))+1)-INDEX(Tables!$H$17:$H$38,MAX(1,MIN(IFERROR(MATCH(AF118,Tables!$G$17:$G$38,1),1),ROWS(Tables!$G$17:$G$38)-1))))/(INDEX(Tables!$G$17:$G$38,MAX(1,MIN(IFERROR(MATCH(AF118,Tables!$G$17:$G$38,1),1),ROWS(Tables!$G$17:$G$38)-1))+1)-INDEX(Tables!$G$17:$G$38,MAX(1,MIN(IFERROR(MATCH(AF118,Tables!$G$17:$G$38,1),1),ROWS(Tables!$G$17:$G$38)-1))))))))</f>
        <v>3136.166666666667</v>
      </c>
      <c r="AL118" s="181">
        <f>IF(AC118&lt;1000,(INDEX(Tables!$B$43:$B$76,MAX(1,MIN(IFERROR(MATCH(AG118,Tables!$A$43:$A$76,1),1),ROWS(Tables!$A$43:$A$76)-1)))+(AG118-INDEX(Tables!$A$43:$A$76,MAX(1,MIN(IFERROR(MATCH(AG118,Tables!$A$43:$A$76,1),1),ROWS(Tables!$A$43:$A$76)-1))))*(INDEX(Tables!$B$43:$B$76,MAX(1,MIN(IFERROR(MATCH(AG118,Tables!$A$43:$A$76,1),1),ROWS(Tables!$A$43:$A$76)-1))+1)-INDEX(Tables!$B$43:$B$76,MAX(1,MIN(IFERROR(MATCH(AG118,Tables!$A$43:$A$76,1),1),ROWS(Tables!$A$43:$A$76)-1))))/(INDEX(Tables!$A$43:$A$76,MAX(1,MIN(IFERROR(MATCH(AG118,Tables!$A$43:$A$76,1),1),ROWS(Tables!$A$43:$A$76)-1))+1)-INDEX(Tables!$A$43:$A$76,MAX(1,MIN(IFERROR(MATCH(AG118,Tables!$A$43:$A$76,1),1),ROWS(Tables!$A$43:$A$76)-1))))),(INDEX(Tables!$D$43:$D$76,MAX(1,MIN(IFERROR(MATCH(AG118,Tables!$C$43:$C$76,1),1),ROWS(Tables!$C$43:$C$76)-1)))+(AG118-INDEX(Tables!$C$43:$C$76,MAX(1,MIN(IFERROR(MATCH(AG118,Tables!$C$43:$C$76,1),1),ROWS(Tables!$C$43:$C$76)-1))))*(INDEX(Tables!$D$43:$D$76,MAX(1,MIN(IFERROR(MATCH(AG118,Tables!$C$43:$C$76,1),1),ROWS(Tables!$C$43:$C$76)-1))+1)-INDEX(Tables!$D$43:$D$76,MAX(1,MIN(IFERROR(MATCH(AG118,Tables!$C$43:$C$76,1),1),ROWS(Tables!$C$43:$C$76)-1))))/(INDEX(Tables!$C$43:$C$76,MAX(1,MIN(IFERROR(MATCH(AG118,Tables!$C$43:$C$76,1),1),ROWS(Tables!$C$43:$C$76)-1))+1)-INDEX(Tables!$C$43:$C$76,MAX(1,MIN(IFERROR(MATCH(AG118,Tables!$C$43:$C$76,1),1),ROWS(Tables!$C$43:$C$76)-1))))))</f>
        <v>0.9366923076923076</v>
      </c>
      <c r="AM118" s="181">
        <f>(INDEX(Tables!$B$80:$B$87,MAX(1,MIN(IFERROR(MATCH(AH118,Tables!$A$80:$A$87,1),1),ROWS(Tables!$A$80:$A$87)-1)))+(AH118-INDEX(Tables!$A$80:$A$87,MAX(1,MIN(IFERROR(MATCH(AH118,Tables!$A$80:$A$87,1),1),ROWS(Tables!$A$80:$A$87)-1))))*(INDEX(Tables!$B$80:$B$87,MAX(1,MIN(IFERROR(MATCH(AH118,Tables!$A$80:$A$87,1),1),ROWS(Tables!$A$80:$A$87)-1))+1)-INDEX(Tables!$B$80:$B$87,MAX(1,MIN(IFERROR(MATCH(AH118,Tables!$A$80:$A$87,1),1),ROWS(Tables!$A$80:$A$87)-1))))/(INDEX(Tables!$A$80:$A$87,MAX(1,MIN(IFERROR(MATCH(AH118,Tables!$A$80:$A$87,1),1),ROWS(Tables!$A$80:$A$87)-1))+1)-INDEX(Tables!$A$80:$A$87,MAX(1,MIN(IFERROR(MATCH(AH118,Tables!$A$80:$A$87,1),1),ROWS(Tables!$A$80:$A$87)-1)))))</f>
        <v>0.96739999999999982</v>
      </c>
      <c r="AN118" s="181">
        <f t="shared" si="103"/>
        <v>4736.4277937307688</v>
      </c>
      <c r="AO118" s="181">
        <f>(INDEX(Tables!$B$91:$B$94,MAX(1,MIN(IFERROR(MATCH(P118,Tables!$A$91:$A$94,1),1),ROWS(Tables!$A$91:$A$94)-1)))+(P118-INDEX(Tables!$A$91:$A$94,MAX(1,MIN(IFERROR(MATCH(P118,Tables!$A$91:$A$94,1),1),ROWS(Tables!$A$91:$A$94)-1))))*(INDEX(Tables!$B$91:$B$94,MAX(1,MIN(IFERROR(MATCH(P118,Tables!$A$91:$A$94,1),1),ROWS(Tables!$A$91:$A$94)-1))+1)-INDEX(Tables!$B$91:$B$94,MAX(1,MIN(IFERROR(MATCH(P118,Tables!$A$91:$A$94,1),1),ROWS(Tables!$A$91:$A$94)-1))))/(INDEX(Tables!$A$91:$A$94,MAX(1,MIN(IFERROR(MATCH(P118,Tables!$A$91:$A$94,1),1),ROWS(Tables!$A$91:$A$94)-1))+1)-INDEX(Tables!$A$91:$A$94,MAX(1,MIN(IFERROR(MATCH(P118,Tables!$A$91:$A$94,1),1),ROWS(Tables!$A$91:$A$94)-1)))))</f>
        <v>1.3542682926829268</v>
      </c>
      <c r="AP118" s="181">
        <f>IF(AD118=5000,(INDEX(Tables!$B$99:$B$118,MAX(1,MIN(IFERROR(MATCH(AF118,Tables!$A$99:$A$118,1),1),ROWS(Tables!$A$99:$A$118)-1)))+(AF118-INDEX(Tables!$A$99:$A$118,MAX(1,MIN(IFERROR(MATCH(AF118,Tables!$A$99:$A$118,1),1),ROWS(Tables!$A$99:$A$118)-1))))*(INDEX(Tables!$B$99:$B$118,MAX(1,MIN(IFERROR(MATCH(AF118,Tables!$A$99:$A$118,1),1),ROWS(Tables!$A$99:$A$118)-1))+1)-INDEX(Tables!$B$99:$B$118,MAX(1,MIN(IFERROR(MATCH(AF118,Tables!$A$99:$A$118,1),1),ROWS(Tables!$A$99:$A$118)-1))))/(INDEX(Tables!$A$99:$A$118,MAX(1,MIN(IFERROR(MATCH(AF118,Tables!$A$99:$A$118,1),1),ROWS(Tables!$A$99:$A$118)-1))+1)-INDEX(Tables!$A$99:$A$118,MAX(1,MIN(IFERROR(MATCH(AF118,Tables!$A$99:$A$118,1),1),ROWS(Tables!$A$99:$A$118)-1))))),IF(AD118=10000,(INDEX(Tables!$D$99:$D$118,MAX(1,MIN(IFERROR(MATCH(AF118,Tables!$C$99:$C$118,1),1),ROWS(Tables!$C$99:$C$118)-1)))+(AF118-INDEX(Tables!$C$99:$C$118,MAX(1,MIN(IFERROR(MATCH(AF118,Tables!$C$99:$C$118,1),1),ROWS(Tables!$C$99:$C$118)-1))))*(INDEX(Tables!$D$99:$D$118,MAX(1,MIN(IFERROR(MATCH(AF118,Tables!$C$99:$C$118,1),1),ROWS(Tables!$C$99:$C$118)-1))+1)-INDEX(Tables!$D$99:$D$118,MAX(1,MIN(IFERROR(MATCH(AF118,Tables!$C$99:$C$118,1),1),ROWS(Tables!$C$99:$C$118)-1))))/(INDEX(Tables!$C$99:$C$118,MAX(1,MIN(IFERROR(MATCH(AF118,Tables!$C$99:$C$118,1),1),ROWS(Tables!$C$99:$C$118)-1))+1)-INDEX(Tables!$C$99:$C$118,MAX(1,MIN(IFERROR(MATCH(AF118,Tables!$C$99:$C$118,1),1),ROWS(Tables!$C$99:$C$118)-1))))),(INDEX(Tables!$F$99:$F$118,MAX(1,MIN(IFERROR(MATCH(AF118,Tables!$E$99:$E$118,1),1),ROWS(Tables!$E$99:$E$118)-1)))+(AF118-INDEX(Tables!$E$99:$E$118,MAX(1,MIN(IFERROR(MATCH(AF118,Tables!$E$99:$E$118,1),1),ROWS(Tables!$E$99:$E$118)-1))))*(INDEX(Tables!$F$99:$F$118,MAX(1,MIN(IFERROR(MATCH(AF118,Tables!$E$99:$E$118,1),1),ROWS(Tables!$E$99:$E$118)-1))+1)-INDEX(Tables!$F$99:$F$118,MAX(1,MIN(IFERROR(MATCH(AF118,Tables!$E$99:$E$118,1),1),ROWS(Tables!$E$99:$E$118)-1))))/(INDEX(Tables!$E$99:$E$118,MAX(1,MIN(IFERROR(MATCH(AF118,Tables!$E$99:$E$118,1),1),ROWS(Tables!$E$99:$E$118)-1))+1)-INDEX(Tables!$E$99:$E$118,MAX(1,MIN(IFERROR(MATCH(AF118,Tables!$E$99:$E$118,1),1),ROWS(Tables!$E$99:$E$118)-1)))))))</f>
        <v>7.0546899224806197</v>
      </c>
      <c r="AQ118" s="181">
        <f>IF(P118&lt;6,(INDEX(Tables!$B$123:$B$138,MAX(1,MIN(IFERROR(MATCH(U118,Tables!$A$123:$A$138,1),1),ROWS(Tables!$A$123:$A$138)-1)))+(U118-INDEX(Tables!$A$123:$A$138,MAX(1,MIN(IFERROR(MATCH(U118,Tables!$A$123:$A$138,1),1),ROWS(Tables!$A$123:$A$138)-1))))*(INDEX(Tables!$B$123:$B$138,MAX(1,MIN(IFERROR(MATCH(U118,Tables!$A$123:$A$138,1),1),ROWS(Tables!$A$123:$A$138)-1))+1)-INDEX(Tables!$B$123:$B$138,MAX(1,MIN(IFERROR(MATCH(U118,Tables!$A$123:$A$138,1),1),ROWS(Tables!$A$123:$A$138)-1))))/(INDEX(Tables!$A$123:$A$138,MAX(1,MIN(IFERROR(MATCH(U118,Tables!$A$123:$A$138,1),1),ROWS(Tables!$A$123:$A$138)-1))+1)-INDEX(Tables!$A$123:$A$138,MAX(1,MIN(IFERROR(MATCH(U118,Tables!$A$123:$A$138,1),1),ROWS(Tables!$A$123:$A$138)-1))))),IF(P118&lt;8,(INDEX(Tables!$D$123:$D$138,MAX(1,MIN(IFERROR(MATCH(U118,Tables!$C$123:$C$138,1),1),ROWS(Tables!$C$123:$C$138)-1)))+(U118-INDEX(Tables!$C$123:$C$138,MAX(1,MIN(IFERROR(MATCH(U118,Tables!$C$123:$C$138,1),1),ROWS(Tables!$C$123:$C$138)-1))))*(INDEX(Tables!$D$123:$D$138,MAX(1,MIN(IFERROR(MATCH(U118,Tables!$C$123:$C$138,1),1),ROWS(Tables!$C$123:$C$138)-1))+1)-INDEX(Tables!$D$123:$D$138,MAX(1,MIN(IFERROR(MATCH(U118,Tables!$C$123:$C$138,1),1),ROWS(Tables!$C$123:$C$138)-1))))/(INDEX(Tables!$C$123:$C$138,MAX(1,MIN(IFERROR(MATCH(U118,Tables!$C$123:$C$138,1),1),ROWS(Tables!$C$123:$C$138)-1))+1)-INDEX(Tables!$C$123:$C$138,MAX(1,MIN(IFERROR(MATCH(U118,Tables!$C$123:$C$138,1),1),ROWS(Tables!$C$123:$C$138)-1))))),IF(P118&lt;10,(INDEX(Tables!$F$123:$F$138,MAX(1,MIN(IFERROR(MATCH(U118,Tables!$E$123:$E$138,1),1),ROWS(Tables!$E$123:$E$138)-1)))+(U118-INDEX(Tables!$E$123:$E$138,MAX(1,MIN(IFERROR(MATCH(U118,Tables!$E$123:$E$138,1),1),ROWS(Tables!$E$123:$E$138)-1))))*(INDEX(Tables!$F$123:$F$138,MAX(1,MIN(IFERROR(MATCH(U118,Tables!$E$123:$E$138,1),1),ROWS(Tables!$E$123:$E$138)-1))+1)-INDEX(Tables!$F$123:$F$138,MAX(1,MIN(IFERROR(MATCH(U118,Tables!$E$123:$E$138,1),1),ROWS(Tables!$E$123:$E$138)-1))))/(INDEX(Tables!$E$123:$E$138,MAX(1,MIN(IFERROR(MATCH(U118,Tables!$E$123:$E$138,1),1),ROWS(Tables!$E$123:$E$138)-1))+1)-INDEX(Tables!$E$123:$E$138,MAX(1,MIN(IFERROR(MATCH(U118,Tables!$E$123:$E$138,1),1),ROWS(Tables!$E$123:$E$138)-1))))),(INDEX(Tables!$H$123:$H$138,MAX(1,MIN(IFERROR(MATCH(U118,Tables!$G$123:$G$138,1),1),ROWS(Tables!$G$123:$G$138)-1)))+(U118-INDEX(Tables!$G$123:$G$138,MAX(1,MIN(IFERROR(MATCH(U118,Tables!$G$123:$G$138,1),1),ROWS(Tables!$G$123:$G$138)-1))))*(INDEX(Tables!$H$123:$H$138,MAX(1,MIN(IFERROR(MATCH(U118,Tables!$G$123:$G$138,1),1),ROWS(Tables!$G$123:$G$138)-1))+1)-INDEX(Tables!$H$123:$H$138,MAX(1,MIN(IFERROR(MATCH(U118,Tables!$G$123:$G$138,1),1),ROWS(Tables!$G$123:$G$138)-1))))/(INDEX(Tables!$G$123:$G$138,MAX(1,MIN(IFERROR(MATCH(U118,Tables!$G$123:$G$138,1),1),ROWS(Tables!$G$123:$G$138)-1))+1)-INDEX(Tables!$G$123:$G$138,MAX(1,MIN(IFERROR(MATCH(U118,Tables!$G$123:$G$138,1),1),ROWS(Tables!$G$123:$G$138)-1))))))))</f>
        <v>0.57750000000000001</v>
      </c>
      <c r="AR118" s="181">
        <f>IF(OR(P118&gt;=4,U118&gt;12),VLOOKUP(R118&amp;" "&amp;S118,Tables!$D$143:$F$148,2,FALSE),VLOOKUP(R118&amp;" "&amp;S118,Tables!$A$143:$C$148,2,FALSE))</f>
        <v>0.9</v>
      </c>
      <c r="AS118" s="181">
        <f>IF(OR(P118&gt;=4,U118&gt;12),VLOOKUP(R118&amp;" "&amp;S118,Tables!$D$143:$F$148,3,FALSE),VLOOKUP(R118&amp;" "&amp;S118,Tables!$A$143:$C$148,3,FALSE))</f>
        <v>0.65</v>
      </c>
      <c r="AT118" s="181">
        <f t="shared" si="104"/>
        <v>268.9733480513064</v>
      </c>
      <c r="AU118" s="181">
        <f>IF(AD118=5000,(INDEX(Tables!$B$244:$B$263,MAX(1,MIN(IFERROR(MATCH(AF118,Tables!$A$244:$A$263,1),1),ROWS(Tables!$A$244:$A$263)-1)))+(AF118-INDEX(Tables!$A$244:$A$263,MAX(1,MIN(IFERROR(MATCH(AF118,Tables!$A$244:$A$263,1),1),ROWS(Tables!$A$244:$A$263)-1))))*(INDEX(Tables!$B$244:$B$263,MAX(1,MIN(IFERROR(MATCH(AF118,Tables!$A$244:$A$263,1),1),ROWS(Tables!$A$244:$A$263)-1))+1)-INDEX(Tables!$B$244:$B$263,MAX(1,MIN(IFERROR(MATCH(AF118,Tables!$A$244:$A$263,1),1),ROWS(Tables!$A$244:$A$263)-1))))/(INDEX(Tables!$A$244:$A$263,MAX(1,MIN(IFERROR(MATCH(AF118,Tables!$A$244:$A$263,1),1),ROWS(Tables!$A$244:$A$263)-1))+1)-INDEX(Tables!$A$244:$A$263,MAX(1,MIN(IFERROR(MATCH(AF118,Tables!$A$244:$A$263,1),1),ROWS(Tables!$A$244:$A$263)-1))))),IF(AD118=10000,(INDEX(Tables!$D$244:$D$263,MAX(1,MIN(IFERROR(MATCH(AF118,Tables!$C$244:$C$263,1),1),ROWS(Tables!$C$244:$C$263)-1)))+(AF118-INDEX(Tables!$C$244:$C$263,MAX(1,MIN(IFERROR(MATCH(AF118,Tables!$C$244:$C$263,1),1),ROWS(Tables!$C$244:$C$263)-1))))*(INDEX(Tables!$D$244:$D$263,MAX(1,MIN(IFERROR(MATCH(AF118,Tables!$C$244:$C$263,1),1),ROWS(Tables!$C$244:$C$263)-1))+1)-INDEX(Tables!$D$244:$D$263,MAX(1,MIN(IFERROR(MATCH(AF118,Tables!$C$244:$C$263,1),1),ROWS(Tables!$C$244:$C$263)-1))))/(INDEX(Tables!$C$244:$C$263,MAX(1,MIN(IFERROR(MATCH(AF118,Tables!$C$244:$C$263,1),1),ROWS(Tables!$C$244:$C$263)-1))+1)-INDEX(Tables!$C$244:$C$263,MAX(1,MIN(IFERROR(MATCH(AF118,Tables!$C$244:$C$263,1),1),ROWS(Tables!$C$244:$C$263)-1))))),(INDEX(Tables!$F$244:$F$263,MAX(1,MIN(IFERROR(MATCH(AF118,Tables!$E$244:$E$263,1),1),ROWS(Tables!$E$244:$E$263)-1)))+(AF118-INDEX(Tables!$E$244:$E$263,MAX(1,MIN(IFERROR(MATCH(AF118,Tables!$E$244:$E$263,1),1),ROWS(Tables!$E$244:$E$263)-1))))*(INDEX(Tables!$F$244:$F$263,MAX(1,MIN(IFERROR(MATCH(AF118,Tables!$E$244:$E$263,1),1),ROWS(Tables!$E$244:$E$263)-1))+1)-INDEX(Tables!$F$244:$F$263,MAX(1,MIN(IFERROR(MATCH(AF118,Tables!$E$244:$E$263,1),1),ROWS(Tables!$E$244:$E$263)-1))))/(INDEX(Tables!$E$244:$E$263,MAX(1,MIN(IFERROR(MATCH(AF118,Tables!$E$244:$E$263,1),1),ROWS(Tables!$E$244:$E$263)-1))+1)-INDEX(Tables!$E$244:$E$263,MAX(1,MIN(IFERROR(MATCH(AF118,Tables!$E$244:$E$263,1),1),ROWS(Tables!$E$244:$E$263)-1)))))))</f>
        <v>6.0990000000000002</v>
      </c>
      <c r="AV118" s="181">
        <f>IF(P118&lt;6,(INDEX(Tables!$B$260:$B$274,MAX(1,MIN(IFERROR(MATCH(U118,Tables!$A$260:$A$274,1),1),ROWS(Tables!$A$260:$A$274)-1)))+(U118-INDEX(Tables!$A$260:$A$274,MAX(1,MIN(IFERROR(MATCH(U118,Tables!$A$260:$A$274,1),1),ROWS(Tables!$A$260:$A$274)-1))))*(INDEX(Tables!$B$260:$B$274,MAX(1,MIN(IFERROR(MATCH(U118,Tables!$A$260:$A$274,1),1),ROWS(Tables!$A$260:$A$274)-1))+1)-INDEX(Tables!$B$260:$B$274,MAX(1,MIN(IFERROR(MATCH(U118,Tables!$A$260:$A$274,1),1),ROWS(Tables!$A$260:$A$274)-1))))/(INDEX(Tables!$A$260:$A$274,MAX(1,MIN(IFERROR(MATCH(U118,Tables!$A$260:$A$274,1),1),ROWS(Tables!$A$260:$A$274)-1))+1)-INDEX(Tables!$A$260:$A$274,MAX(1,MIN(IFERROR(MATCH(U118,Tables!$A$260:$A$274,1),1),ROWS(Tables!$A$260:$A$274)-1))))),IF(P118&lt;8,(INDEX(Tables!$D$260:$D$274,MAX(1,MIN(IFERROR(MATCH(U118,Tables!$C$260:$C$274,1),1),ROWS(Tables!$C$260:$C$274)-1)))+(U118-INDEX(Tables!$C$260:$C$274,MAX(1,MIN(IFERROR(MATCH(U118,Tables!$C$260:$C$274,1),1),ROWS(Tables!$C$260:$C$274)-1))))*(INDEX(Tables!$D$260:$D$274,MAX(1,MIN(IFERROR(MATCH(U118,Tables!$C$260:$C$274,1),1),ROWS(Tables!$C$260:$C$274)-1))+1)-INDEX(Tables!$D$260:$D$274,MAX(1,MIN(IFERROR(MATCH(U118,Tables!$C$260:$C$274,1),1),ROWS(Tables!$C$260:$C$274)-1))))/(INDEX(Tables!$C$260:$C$274,MAX(1,MIN(IFERROR(MATCH(U118,Tables!$C$260:$C$274,1),1),ROWS(Tables!$C$260:$C$274)-1))+1)-INDEX(Tables!$C$260:$C$274,MAX(1,MIN(IFERROR(MATCH(U118,Tables!$C$260:$C$274,1),1),ROWS(Tables!$C$260:$C$274)-1))))),IF(P118&lt;10,(INDEX(Tables!$F$260:$F$274,MAX(1,MIN(IFERROR(MATCH(U118,Tables!$E$260:$E$274,1),1),ROWS(Tables!$E$260:$E$274)-1)))+(U118-INDEX(Tables!$E$260:$E$274,MAX(1,MIN(IFERROR(MATCH(U118,Tables!$E$260:$E$274,1),1),ROWS(Tables!$E$260:$E$274)-1))))*(INDEX(Tables!$F$260:$F$274,MAX(1,MIN(IFERROR(MATCH(U118,Tables!$E$260:$E$274,1),1),ROWS(Tables!$E$260:$E$274)-1))+1)-INDEX(Tables!$F$260:$F$274,MAX(1,MIN(IFERROR(MATCH(U118,Tables!$E$260:$E$274,1),1),ROWS(Tables!$E$260:$E$274)-1))))/(INDEX(Tables!$E$260:$E$274,MAX(1,MIN(IFERROR(MATCH(U118,Tables!$E$260:$E$274,1),1),ROWS(Tables!$E$260:$E$274)-1))+1)-INDEX(Tables!$E$260:$E$274,MAX(1,MIN(IFERROR(MATCH(U118,Tables!$E$260:$E$274,1),1),ROWS(Tables!$E$260:$E$274)-1))))),(INDEX(Tables!$H$260:$H$274,MAX(1,MIN(IFERROR(MATCH(U118,Tables!$G$260:$G$274,1),1),ROWS(Tables!$G$260:$G$274)-1)))+(U118-INDEX(Tables!$G$260:$G$274,MAX(1,MIN(IFERROR(MATCH(U118,Tables!$G$260:$G$274,1),1),ROWS(Tables!$G$260:$G$274)-1))))*(INDEX(Tables!$H$260:$H$274,MAX(1,MIN(IFERROR(MATCH(U118,Tables!$G$260:$G$274,1),1),ROWS(Tables!$G$260:$G$274)-1))+1)-INDEX(Tables!$H$260:$H$274,MAX(1,MIN(IFERROR(MATCH(U118,Tables!$G$260:$G$274,1),1),ROWS(Tables!$G$260:$G$274)-1))))/(INDEX(Tables!$G$260:$G$274,MAX(1,MIN(IFERROR(MATCH(U118,Tables!$G$260:$G$274,1),1),ROWS(Tables!$G$260:$G$274)-1))+1)-INDEX(Tables!$G$260:$G$274,MAX(1,MIN(IFERROR(MATCH(U118,Tables!$G$260:$G$274,1),1),ROWS(Tables!$G$260:$G$274)-1))))))))</f>
        <v>0.64533333333333331</v>
      </c>
      <c r="AW118" s="181">
        <f t="shared" si="105"/>
        <v>259.84960569512191</v>
      </c>
      <c r="AX118" s="181">
        <f t="shared" si="106"/>
        <v>142500</v>
      </c>
      <c r="AY118" s="181">
        <f t="shared" si="107"/>
        <v>147505.40114178209</v>
      </c>
      <c r="AZ118" s="181">
        <f t="shared" si="108"/>
        <v>44430.777943814348</v>
      </c>
      <c r="BA118" s="181">
        <f t="shared" si="109"/>
        <v>-3000</v>
      </c>
      <c r="BB118" s="181">
        <f t="shared" si="110"/>
        <v>133277.7783739795</v>
      </c>
      <c r="BC118" s="181">
        <f t="shared" si="111"/>
        <v>46800</v>
      </c>
      <c r="BD118" s="181">
        <f>VLOOKUP(V118&amp;" "&amp;J118,Tables!$A$152:$E$239,4,FALSE)</f>
        <v>12000</v>
      </c>
      <c r="BE118" s="181">
        <f>VLOOKUP(V118&amp;" "&amp;J118,Tables!$A$152:$E$239,5,FALSE)</f>
        <v>23000</v>
      </c>
      <c r="BF118" s="181">
        <f t="shared" si="112"/>
        <v>8640</v>
      </c>
      <c r="BG118" s="181">
        <f t="shared" si="113"/>
        <v>16560</v>
      </c>
      <c r="BH118" s="181">
        <f t="shared" si="114"/>
        <v>144000</v>
      </c>
      <c r="BI118" s="181">
        <f t="shared" si="115"/>
        <v>46800</v>
      </c>
      <c r="BJ118" s="181">
        <f t="shared" si="116"/>
        <v>133277.7783739795</v>
      </c>
      <c r="BK118" s="181">
        <f t="shared" si="117"/>
        <v>46800</v>
      </c>
      <c r="BL118" s="181">
        <f t="shared" si="118"/>
        <v>259.84960569512191</v>
      </c>
      <c r="BM118" s="181">
        <f t="shared" si="119"/>
        <v>8640</v>
      </c>
      <c r="BN118" s="181">
        <f t="shared" si="120"/>
        <v>268.9733480513064</v>
      </c>
      <c r="BO118" s="181">
        <f t="shared" si="121"/>
        <v>16560</v>
      </c>
      <c r="BP118" t="str">
        <f t="shared" si="122"/>
        <v>Fail</v>
      </c>
      <c r="BQ118" t="str">
        <f t="shared" si="123"/>
        <v>Fail</v>
      </c>
      <c r="BR118" t="str">
        <f t="shared" si="124"/>
        <v>Pass</v>
      </c>
      <c r="BS118" t="str">
        <f t="shared" si="125"/>
        <v>Pass</v>
      </c>
      <c r="BT118" t="str">
        <f t="shared" si="126"/>
        <v>Fail</v>
      </c>
      <c r="BU118" t="str">
        <f t="shared" si="127"/>
        <v>Barlow Stress</v>
      </c>
    </row>
    <row r="119" spans="1:73">
      <c r="A119" t="s">
        <v>711</v>
      </c>
      <c r="B119" s="181">
        <v>117</v>
      </c>
      <c r="C119" t="s">
        <v>594</v>
      </c>
      <c r="D119" s="181">
        <v>36</v>
      </c>
      <c r="E119" s="181">
        <v>0.312</v>
      </c>
      <c r="F119" t="s">
        <v>117</v>
      </c>
      <c r="G119" t="s">
        <v>119</v>
      </c>
      <c r="H119" t="s">
        <v>122</v>
      </c>
      <c r="I119" s="181">
        <v>1</v>
      </c>
      <c r="J119" t="s">
        <v>126</v>
      </c>
      <c r="K119" t="s">
        <v>129</v>
      </c>
      <c r="L119" s="181">
        <v>70</v>
      </c>
      <c r="M119" s="181">
        <v>6000</v>
      </c>
      <c r="N119" t="s">
        <v>392</v>
      </c>
      <c r="O119" s="181">
        <v>120</v>
      </c>
      <c r="P119" s="181">
        <v>14</v>
      </c>
      <c r="Q119" s="181">
        <v>38</v>
      </c>
      <c r="R119" t="s">
        <v>418</v>
      </c>
      <c r="S119" t="s">
        <v>420</v>
      </c>
      <c r="T119" s="181">
        <v>70</v>
      </c>
      <c r="U119" s="181">
        <f>HLOOKUP(D119,'Highway Loading'!$C$155:$AD$156,2,FALSE)</f>
        <v>36</v>
      </c>
      <c r="V119" s="181">
        <f>IF(ISBLANK(G119),"",INDEX('Highway Loading'!$C$216:$AG$216,1,MATCH(G119,'Highway Loading'!$C$215:$AG$215,0)))</f>
        <v>65000</v>
      </c>
      <c r="W119" s="181">
        <f>INDEX('Highway Loading'!$I$245:$L$253,MATCH(H119,'Highway Loading'!$H$245:$H$253,0),MATCH(I119,'Highway Loading'!$I$244:$L$244,0))</f>
        <v>0.72</v>
      </c>
      <c r="X119" s="181">
        <f t="shared" si="96"/>
        <v>1</v>
      </c>
      <c r="Y119" s="181">
        <f>VLOOKUP(K119,'Highway Loading'!$B$283:$E$292,2,FALSE)</f>
        <v>29000000</v>
      </c>
      <c r="Z119" s="181">
        <f>VLOOKUP(K119,'Highway Loading'!$B$283:$E$292,3,FALSE)</f>
        <v>0.3</v>
      </c>
      <c r="AA119" s="181">
        <f>VLOOKUP(K119,'Highway Loading'!$B$283:$E$292,4,FALSE)</f>
        <v>6.4999999999999996E-6</v>
      </c>
      <c r="AB119" s="181">
        <f t="shared" si="97"/>
        <v>1</v>
      </c>
      <c r="AC119" s="181">
        <f>VLOOKUP(N119,'Highway Loading'!$B$256:$D$261,2,FALSE)</f>
        <v>2000</v>
      </c>
      <c r="AD119" s="181">
        <f>VLOOKUP(N119,'Highway Loading'!$B$256:$D$261,3,FALSE)</f>
        <v>20000</v>
      </c>
      <c r="AE119" s="181">
        <f>VLOOKUP(S119,'Highway Loading'!$B$340:$C$341,2,FALSE)</f>
        <v>12000</v>
      </c>
      <c r="AF119" s="181">
        <f t="shared" si="98"/>
        <v>8.6666666666666663E-3</v>
      </c>
      <c r="AG119" s="181">
        <f t="shared" si="99"/>
        <v>4.4210526315789478</v>
      </c>
      <c r="AH119" s="181">
        <f t="shared" si="100"/>
        <v>1.0555555555555556</v>
      </c>
      <c r="AI119" s="181">
        <f t="shared" si="101"/>
        <v>346153.84615384613</v>
      </c>
      <c r="AJ119" s="181">
        <f t="shared" si="102"/>
        <v>46800</v>
      </c>
      <c r="AK119" s="181">
        <f>IF(AC119=200,(INDEX(Tables!$B$17:$B$38,MAX(1,MIN(IFERROR(MATCH(AF119,Tables!$A$17:$A$38,1),1),ROWS(Tables!$A$17:$A$38)-1)))+(AF119-INDEX(Tables!$A$17:$A$38,MAX(1,MIN(IFERROR(MATCH(AF119,Tables!$A$17:$A$38,1),1),ROWS(Tables!$A$17:$A$38)-1))))*(INDEX(Tables!$B$17:$B$38,MAX(1,MIN(IFERROR(MATCH(AF119,Tables!$A$17:$A$38,1),1),ROWS(Tables!$A$17:$A$38)-1))+1)-INDEX(Tables!$B$17:$B$38,MAX(1,MIN(IFERROR(MATCH(AF119,Tables!$A$17:$A$38,1),1),ROWS(Tables!$A$17:$A$38)-1))))/(INDEX(Tables!$A$17:$A$38,MAX(1,MIN(IFERROR(MATCH(AF119,Tables!$A$17:$A$38,1),1),ROWS(Tables!$A$17:$A$38)-1))+1)-INDEX(Tables!$A$17:$A$38,MAX(1,MIN(IFERROR(MATCH(AF119,Tables!$A$17:$A$38,1),1),ROWS(Tables!$A$17:$A$38)-1))))),IF(AC119=500,(INDEX(Tables!$D$17:$D$38,MAX(1,MIN(IFERROR(MATCH(AF119,Tables!$C$17:$C$38,1),1),ROWS(Tables!$C$17:$C$38)-1)))+(AF119-INDEX(Tables!$C$17:$C$38,MAX(1,MIN(IFERROR(MATCH(AF119,Tables!$C$17:$C$38,1),1),ROWS(Tables!$C$17:$C$38)-1))))*(INDEX(Tables!$D$17:$D$38,MAX(1,MIN(IFERROR(MATCH(AF119,Tables!$C$17:$C$38,1),1),ROWS(Tables!$C$17:$C$38)-1))+1)-INDEX(Tables!$D$17:$D$38,MAX(1,MIN(IFERROR(MATCH(AF119,Tables!$C$17:$C$38,1),1),ROWS(Tables!$C$17:$C$38)-1))))/(INDEX(Tables!$C$17:$C$38,MAX(1,MIN(IFERROR(MATCH(AF119,Tables!$C$17:$C$38,1),1),ROWS(Tables!$C$17:$C$38)-1))+1)-INDEX(Tables!$C$17:$C$38,MAX(1,MIN(IFERROR(MATCH(AF119,Tables!$C$17:$C$38,1),1),ROWS(Tables!$C$17:$C$38)-1))))),IF(AC119=1000,(INDEX(Tables!$F$17:$F$38,MAX(1,MIN(IFERROR(MATCH(AF119,Tables!$E$17:$E$38,1),1),ROWS(Tables!$E$17:$E$38)-1)))+(AF119-INDEX(Tables!$E$17:$E$38,MAX(1,MIN(IFERROR(MATCH(AF119,Tables!$E$17:$E$38,1),1),ROWS(Tables!$E$17:$E$38)-1))))*(INDEX(Tables!$F$17:$F$38,MAX(1,MIN(IFERROR(MATCH(AF119,Tables!$E$17:$E$38,1),1),ROWS(Tables!$E$17:$E$38)-1))+1)-INDEX(Tables!$F$17:$F$38,MAX(1,MIN(IFERROR(MATCH(AF119,Tables!$E$17:$E$38,1),1),ROWS(Tables!$E$17:$E$38)-1))))/(INDEX(Tables!$E$17:$E$38,MAX(1,MIN(IFERROR(MATCH(AF119,Tables!$E$17:$E$38,1),1),ROWS(Tables!$E$17:$E$38)-1))+1)-INDEX(Tables!$E$17:$E$38,MAX(1,MIN(IFERROR(MATCH(AF119,Tables!$E$17:$E$38,1),1),ROWS(Tables!$E$17:$E$38)-1))))),(INDEX(Tables!$H$17:$H$38,MAX(1,MIN(IFERROR(MATCH(AF119,Tables!$G$17:$G$38,1),1),ROWS(Tables!$G$17:$G$38)-1)))+(AF119-INDEX(Tables!$G$17:$G$38,MAX(1,MIN(IFERROR(MATCH(AF119,Tables!$G$17:$G$38,1),1),ROWS(Tables!$G$17:$G$38)-1))))*(INDEX(Tables!$H$17:$H$38,MAX(1,MIN(IFERROR(MATCH(AF119,Tables!$G$17:$G$38,1),1),ROWS(Tables!$G$17:$G$38)-1))+1)-INDEX(Tables!$H$17:$H$38,MAX(1,MIN(IFERROR(MATCH(AF119,Tables!$G$17:$G$38,1),1),ROWS(Tables!$G$17:$G$38)-1))))/(INDEX(Tables!$G$17:$G$38,MAX(1,MIN(IFERROR(MATCH(AF119,Tables!$G$17:$G$38,1),1),ROWS(Tables!$G$17:$G$38)-1))+1)-INDEX(Tables!$G$17:$G$38,MAX(1,MIN(IFERROR(MATCH(AF119,Tables!$G$17:$G$38,1),1),ROWS(Tables!$G$17:$G$38)-1))))))))</f>
        <v>3662.0952380952385</v>
      </c>
      <c r="AL119" s="181">
        <f>IF(AC119&lt;1000,(INDEX(Tables!$B$43:$B$76,MAX(1,MIN(IFERROR(MATCH(AG119,Tables!$A$43:$A$76,1),1),ROWS(Tables!$A$43:$A$76)-1)))+(AG119-INDEX(Tables!$A$43:$A$76,MAX(1,MIN(IFERROR(MATCH(AG119,Tables!$A$43:$A$76,1),1),ROWS(Tables!$A$43:$A$76)-1))))*(INDEX(Tables!$B$43:$B$76,MAX(1,MIN(IFERROR(MATCH(AG119,Tables!$A$43:$A$76,1),1),ROWS(Tables!$A$43:$A$76)-1))+1)-INDEX(Tables!$B$43:$B$76,MAX(1,MIN(IFERROR(MATCH(AG119,Tables!$A$43:$A$76,1),1),ROWS(Tables!$A$43:$A$76)-1))))/(INDEX(Tables!$A$43:$A$76,MAX(1,MIN(IFERROR(MATCH(AG119,Tables!$A$43:$A$76,1),1),ROWS(Tables!$A$43:$A$76)-1))+1)-INDEX(Tables!$A$43:$A$76,MAX(1,MIN(IFERROR(MATCH(AG119,Tables!$A$43:$A$76,1),1),ROWS(Tables!$A$43:$A$76)-1))))),(INDEX(Tables!$D$43:$D$76,MAX(1,MIN(IFERROR(MATCH(AG119,Tables!$C$43:$C$76,1),1),ROWS(Tables!$C$43:$C$76)-1)))+(AG119-INDEX(Tables!$C$43:$C$76,MAX(1,MIN(IFERROR(MATCH(AG119,Tables!$C$43:$C$76,1),1),ROWS(Tables!$C$43:$C$76)-1))))*(INDEX(Tables!$D$43:$D$76,MAX(1,MIN(IFERROR(MATCH(AG119,Tables!$C$43:$C$76,1),1),ROWS(Tables!$C$43:$C$76)-1))+1)-INDEX(Tables!$D$43:$D$76,MAX(1,MIN(IFERROR(MATCH(AG119,Tables!$C$43:$C$76,1),1),ROWS(Tables!$C$43:$C$76)-1))))/(INDEX(Tables!$C$43:$C$76,MAX(1,MIN(IFERROR(MATCH(AG119,Tables!$C$43:$C$76,1),1),ROWS(Tables!$C$43:$C$76)-1))+1)-INDEX(Tables!$C$43:$C$76,MAX(1,MIN(IFERROR(MATCH(AG119,Tables!$C$43:$C$76,1),1),ROWS(Tables!$C$43:$C$76)-1))))))</f>
        <v>0.92289473684210532</v>
      </c>
      <c r="AM119" s="181">
        <f>(INDEX(Tables!$B$80:$B$87,MAX(1,MIN(IFERROR(MATCH(AH119,Tables!$A$80:$A$87,1),1),ROWS(Tables!$A$80:$A$87)-1)))+(AH119-INDEX(Tables!$A$80:$A$87,MAX(1,MIN(IFERROR(MATCH(AH119,Tables!$A$80:$A$87,1),1),ROWS(Tables!$A$80:$A$87)-1))))*(INDEX(Tables!$B$80:$B$87,MAX(1,MIN(IFERROR(MATCH(AH119,Tables!$A$80:$A$87,1),1),ROWS(Tables!$A$80:$A$87)-1))+1)-INDEX(Tables!$B$80:$B$87,MAX(1,MIN(IFERROR(MATCH(AH119,Tables!$A$80:$A$87,1),1),ROWS(Tables!$A$80:$A$87)-1))))/(INDEX(Tables!$A$80:$A$87,MAX(1,MIN(IFERROR(MATCH(AH119,Tables!$A$80:$A$87,1),1),ROWS(Tables!$A$80:$A$87)-1))+1)-INDEX(Tables!$A$80:$A$87,MAX(1,MIN(IFERROR(MATCH(AH119,Tables!$A$80:$A$87,1),1),ROWS(Tables!$A$80:$A$87)-1)))))</f>
        <v>0.91873333333333329</v>
      </c>
      <c r="AN119" s="181">
        <f t="shared" si="103"/>
        <v>7762.6728950877205</v>
      </c>
      <c r="AO119" s="181">
        <f>(INDEX(Tables!$B$91:$B$94,MAX(1,MIN(IFERROR(MATCH(P119,Tables!$A$91:$A$94,1),1),ROWS(Tables!$A$91:$A$94)-1)))+(P119-INDEX(Tables!$A$91:$A$94,MAX(1,MIN(IFERROR(MATCH(P119,Tables!$A$91:$A$94,1),1),ROWS(Tables!$A$91:$A$94)-1))))*(INDEX(Tables!$B$91:$B$94,MAX(1,MIN(IFERROR(MATCH(P119,Tables!$A$91:$A$94,1),1),ROWS(Tables!$A$91:$A$94)-1))+1)-INDEX(Tables!$B$91:$B$94,MAX(1,MIN(IFERROR(MATCH(P119,Tables!$A$91:$A$94,1),1),ROWS(Tables!$A$91:$A$94)-1))))/(INDEX(Tables!$A$91:$A$94,MAX(1,MIN(IFERROR(MATCH(P119,Tables!$A$91:$A$94,1),1),ROWS(Tables!$A$91:$A$94)-1))+1)-INDEX(Tables!$A$91:$A$94,MAX(1,MIN(IFERROR(MATCH(P119,Tables!$A$91:$A$94,1),1),ROWS(Tables!$A$91:$A$94)-1)))))</f>
        <v>1.2323170731707318</v>
      </c>
      <c r="AP119" s="181">
        <f>IF(AD119=5000,(INDEX(Tables!$B$99:$B$118,MAX(1,MIN(IFERROR(MATCH(AF119,Tables!$A$99:$A$118,1),1),ROWS(Tables!$A$99:$A$118)-1)))+(AF119-INDEX(Tables!$A$99:$A$118,MAX(1,MIN(IFERROR(MATCH(AF119,Tables!$A$99:$A$118,1),1),ROWS(Tables!$A$99:$A$118)-1))))*(INDEX(Tables!$B$99:$B$118,MAX(1,MIN(IFERROR(MATCH(AF119,Tables!$A$99:$A$118,1),1),ROWS(Tables!$A$99:$A$118)-1))+1)-INDEX(Tables!$B$99:$B$118,MAX(1,MIN(IFERROR(MATCH(AF119,Tables!$A$99:$A$118,1),1),ROWS(Tables!$A$99:$A$118)-1))))/(INDEX(Tables!$A$99:$A$118,MAX(1,MIN(IFERROR(MATCH(AF119,Tables!$A$99:$A$118,1),1),ROWS(Tables!$A$99:$A$118)-1))+1)-INDEX(Tables!$A$99:$A$118,MAX(1,MIN(IFERROR(MATCH(AF119,Tables!$A$99:$A$118,1),1),ROWS(Tables!$A$99:$A$118)-1))))),IF(AD119=10000,(INDEX(Tables!$D$99:$D$118,MAX(1,MIN(IFERROR(MATCH(AF119,Tables!$C$99:$C$118,1),1),ROWS(Tables!$C$99:$C$118)-1)))+(AF119-INDEX(Tables!$C$99:$C$118,MAX(1,MIN(IFERROR(MATCH(AF119,Tables!$C$99:$C$118,1),1),ROWS(Tables!$C$99:$C$118)-1))))*(INDEX(Tables!$D$99:$D$118,MAX(1,MIN(IFERROR(MATCH(AF119,Tables!$C$99:$C$118,1),1),ROWS(Tables!$C$99:$C$118)-1))+1)-INDEX(Tables!$D$99:$D$118,MAX(1,MIN(IFERROR(MATCH(AF119,Tables!$C$99:$C$118,1),1),ROWS(Tables!$C$99:$C$118)-1))))/(INDEX(Tables!$C$99:$C$118,MAX(1,MIN(IFERROR(MATCH(AF119,Tables!$C$99:$C$118,1),1),ROWS(Tables!$C$99:$C$118)-1))+1)-INDEX(Tables!$C$99:$C$118,MAX(1,MIN(IFERROR(MATCH(AF119,Tables!$C$99:$C$118,1),1),ROWS(Tables!$C$99:$C$118)-1))))),(INDEX(Tables!$F$99:$F$118,MAX(1,MIN(IFERROR(MATCH(AF119,Tables!$E$99:$E$118,1),1),ROWS(Tables!$E$99:$E$118)-1)))+(AF119-INDEX(Tables!$E$99:$E$118,MAX(1,MIN(IFERROR(MATCH(AF119,Tables!$E$99:$E$118,1),1),ROWS(Tables!$E$99:$E$118)-1))))*(INDEX(Tables!$F$99:$F$118,MAX(1,MIN(IFERROR(MATCH(AF119,Tables!$E$99:$E$118,1),1),ROWS(Tables!$E$99:$E$118)-1))+1)-INDEX(Tables!$F$99:$F$118,MAX(1,MIN(IFERROR(MATCH(AF119,Tables!$E$99:$E$118,1),1),ROWS(Tables!$E$99:$E$118)-1))))/(INDEX(Tables!$E$99:$E$118,MAX(1,MIN(IFERROR(MATCH(AF119,Tables!$E$99:$E$118,1),1),ROWS(Tables!$E$99:$E$118)-1))+1)-INDEX(Tables!$E$99:$E$118,MAX(1,MIN(IFERROR(MATCH(AF119,Tables!$E$99:$E$118,1),1),ROWS(Tables!$E$99:$E$118)-1)))))))</f>
        <v>5.5855038759689926</v>
      </c>
      <c r="AQ119" s="181">
        <f>IF(P119&lt;6,(INDEX(Tables!$B$123:$B$138,MAX(1,MIN(IFERROR(MATCH(U119,Tables!$A$123:$A$138,1),1),ROWS(Tables!$A$123:$A$138)-1)))+(U119-INDEX(Tables!$A$123:$A$138,MAX(1,MIN(IFERROR(MATCH(U119,Tables!$A$123:$A$138,1),1),ROWS(Tables!$A$123:$A$138)-1))))*(INDEX(Tables!$B$123:$B$138,MAX(1,MIN(IFERROR(MATCH(U119,Tables!$A$123:$A$138,1),1),ROWS(Tables!$A$123:$A$138)-1))+1)-INDEX(Tables!$B$123:$B$138,MAX(1,MIN(IFERROR(MATCH(U119,Tables!$A$123:$A$138,1),1),ROWS(Tables!$A$123:$A$138)-1))))/(INDEX(Tables!$A$123:$A$138,MAX(1,MIN(IFERROR(MATCH(U119,Tables!$A$123:$A$138,1),1),ROWS(Tables!$A$123:$A$138)-1))+1)-INDEX(Tables!$A$123:$A$138,MAX(1,MIN(IFERROR(MATCH(U119,Tables!$A$123:$A$138,1),1),ROWS(Tables!$A$123:$A$138)-1))))),IF(P119&lt;8,(INDEX(Tables!$D$123:$D$138,MAX(1,MIN(IFERROR(MATCH(U119,Tables!$C$123:$C$138,1),1),ROWS(Tables!$C$123:$C$138)-1)))+(U119-INDEX(Tables!$C$123:$C$138,MAX(1,MIN(IFERROR(MATCH(U119,Tables!$C$123:$C$138,1),1),ROWS(Tables!$C$123:$C$138)-1))))*(INDEX(Tables!$D$123:$D$138,MAX(1,MIN(IFERROR(MATCH(U119,Tables!$C$123:$C$138,1),1),ROWS(Tables!$C$123:$C$138)-1))+1)-INDEX(Tables!$D$123:$D$138,MAX(1,MIN(IFERROR(MATCH(U119,Tables!$C$123:$C$138,1),1),ROWS(Tables!$C$123:$C$138)-1))))/(INDEX(Tables!$C$123:$C$138,MAX(1,MIN(IFERROR(MATCH(U119,Tables!$C$123:$C$138,1),1),ROWS(Tables!$C$123:$C$138)-1))+1)-INDEX(Tables!$C$123:$C$138,MAX(1,MIN(IFERROR(MATCH(U119,Tables!$C$123:$C$138,1),1),ROWS(Tables!$C$123:$C$138)-1))))),IF(P119&lt;10,(INDEX(Tables!$F$123:$F$138,MAX(1,MIN(IFERROR(MATCH(U119,Tables!$E$123:$E$138,1),1),ROWS(Tables!$E$123:$E$138)-1)))+(U119-INDEX(Tables!$E$123:$E$138,MAX(1,MIN(IFERROR(MATCH(U119,Tables!$E$123:$E$138,1),1),ROWS(Tables!$E$123:$E$138)-1))))*(INDEX(Tables!$F$123:$F$138,MAX(1,MIN(IFERROR(MATCH(U119,Tables!$E$123:$E$138,1),1),ROWS(Tables!$E$123:$E$138)-1))+1)-INDEX(Tables!$F$123:$F$138,MAX(1,MIN(IFERROR(MATCH(U119,Tables!$E$123:$E$138,1),1),ROWS(Tables!$E$123:$E$138)-1))))/(INDEX(Tables!$E$123:$E$138,MAX(1,MIN(IFERROR(MATCH(U119,Tables!$E$123:$E$138,1),1),ROWS(Tables!$E$123:$E$138)-1))+1)-INDEX(Tables!$E$123:$E$138,MAX(1,MIN(IFERROR(MATCH(U119,Tables!$E$123:$E$138,1),1),ROWS(Tables!$E$123:$E$138)-1))))),(INDEX(Tables!$H$123:$H$138,MAX(1,MIN(IFERROR(MATCH(U119,Tables!$G$123:$G$138,1),1),ROWS(Tables!$G$123:$G$138)-1)))+(U119-INDEX(Tables!$G$123:$G$138,MAX(1,MIN(IFERROR(MATCH(U119,Tables!$G$123:$G$138,1),1),ROWS(Tables!$G$123:$G$138)-1))))*(INDEX(Tables!$H$123:$H$138,MAX(1,MIN(IFERROR(MATCH(U119,Tables!$G$123:$G$138,1),1),ROWS(Tables!$G$123:$G$138)-1))+1)-INDEX(Tables!$H$123:$H$138,MAX(1,MIN(IFERROR(MATCH(U119,Tables!$G$123:$G$138,1),1),ROWS(Tables!$G$123:$G$138)-1))))/(INDEX(Tables!$G$123:$G$138,MAX(1,MIN(IFERROR(MATCH(U119,Tables!$G$123:$G$138,1),1),ROWS(Tables!$G$123:$G$138)-1))+1)-INDEX(Tables!$G$123:$G$138,MAX(1,MIN(IFERROR(MATCH(U119,Tables!$G$123:$G$138,1),1),ROWS(Tables!$G$123:$G$138)-1))))))))</f>
        <v>0.50060000000000004</v>
      </c>
      <c r="AR119" s="181">
        <f>IF(OR(P119&gt;=4,U119&gt;12),VLOOKUP(R119&amp;" "&amp;S119,Tables!$D$143:$F$148,2,FALSE),VLOOKUP(R119&amp;" "&amp;S119,Tables!$A$143:$C$148,2,FALSE))</f>
        <v>0.9</v>
      </c>
      <c r="AS119" s="181">
        <f>IF(OR(P119&gt;=4,U119&gt;12),VLOOKUP(R119&amp;" "&amp;S119,Tables!$D$143:$F$148,3,FALSE),VLOOKUP(R119&amp;" "&amp;S119,Tables!$A$143:$C$148,3,FALSE))</f>
        <v>0.65</v>
      </c>
      <c r="AT119" s="181">
        <f t="shared" si="104"/>
        <v>167.97718086737808</v>
      </c>
      <c r="AU119" s="181">
        <f>IF(AD119=5000,(INDEX(Tables!$B$244:$B$263,MAX(1,MIN(IFERROR(MATCH(AF119,Tables!$A$244:$A$263,1),1),ROWS(Tables!$A$244:$A$263)-1)))+(AF119-INDEX(Tables!$A$244:$A$263,MAX(1,MIN(IFERROR(MATCH(AF119,Tables!$A$244:$A$263,1),1),ROWS(Tables!$A$244:$A$263)-1))))*(INDEX(Tables!$B$244:$B$263,MAX(1,MIN(IFERROR(MATCH(AF119,Tables!$A$244:$A$263,1),1),ROWS(Tables!$A$244:$A$263)-1))+1)-INDEX(Tables!$B$244:$B$263,MAX(1,MIN(IFERROR(MATCH(AF119,Tables!$A$244:$A$263,1),1),ROWS(Tables!$A$244:$A$263)-1))))/(INDEX(Tables!$A$244:$A$263,MAX(1,MIN(IFERROR(MATCH(AF119,Tables!$A$244:$A$263,1),1),ROWS(Tables!$A$244:$A$263)-1))+1)-INDEX(Tables!$A$244:$A$263,MAX(1,MIN(IFERROR(MATCH(AF119,Tables!$A$244:$A$263,1),1),ROWS(Tables!$A$244:$A$263)-1))))),IF(AD119=10000,(INDEX(Tables!$D$244:$D$263,MAX(1,MIN(IFERROR(MATCH(AF119,Tables!$C$244:$C$263,1),1),ROWS(Tables!$C$244:$C$263)-1)))+(AF119-INDEX(Tables!$C$244:$C$263,MAX(1,MIN(IFERROR(MATCH(AF119,Tables!$C$244:$C$263,1),1),ROWS(Tables!$C$244:$C$263)-1))))*(INDEX(Tables!$D$244:$D$263,MAX(1,MIN(IFERROR(MATCH(AF119,Tables!$C$244:$C$263,1),1),ROWS(Tables!$C$244:$C$263)-1))+1)-INDEX(Tables!$D$244:$D$263,MAX(1,MIN(IFERROR(MATCH(AF119,Tables!$C$244:$C$263,1),1),ROWS(Tables!$C$244:$C$263)-1))))/(INDEX(Tables!$C$244:$C$263,MAX(1,MIN(IFERROR(MATCH(AF119,Tables!$C$244:$C$263,1),1),ROWS(Tables!$C$244:$C$263)-1))+1)-INDEX(Tables!$C$244:$C$263,MAX(1,MIN(IFERROR(MATCH(AF119,Tables!$C$244:$C$263,1),1),ROWS(Tables!$C$244:$C$263)-1))))),(INDEX(Tables!$F$244:$F$263,MAX(1,MIN(IFERROR(MATCH(AF119,Tables!$E$244:$E$263,1),1),ROWS(Tables!$E$244:$E$263)-1)))+(AF119-INDEX(Tables!$E$244:$E$263,MAX(1,MIN(IFERROR(MATCH(AF119,Tables!$E$244:$E$263,1),1),ROWS(Tables!$E$244:$E$263)-1))))*(INDEX(Tables!$F$244:$F$263,MAX(1,MIN(IFERROR(MATCH(AF119,Tables!$E$244:$E$263,1),1),ROWS(Tables!$E$244:$E$263)-1))+1)-INDEX(Tables!$F$244:$F$263,MAX(1,MIN(IFERROR(MATCH(AF119,Tables!$E$244:$E$263,1),1),ROWS(Tables!$E$244:$E$263)-1))))/(INDEX(Tables!$E$244:$E$263,MAX(1,MIN(IFERROR(MATCH(AF119,Tables!$E$244:$E$263,1),1),ROWS(Tables!$E$244:$E$263)-1))+1)-INDEX(Tables!$E$244:$E$263,MAX(1,MIN(IFERROR(MATCH(AF119,Tables!$E$244:$E$263,1),1),ROWS(Tables!$E$244:$E$263)-1)))))))</f>
        <v>6.0990000000000002</v>
      </c>
      <c r="AV119" s="181">
        <f>IF(P119&lt;6,(INDEX(Tables!$B$260:$B$274,MAX(1,MIN(IFERROR(MATCH(U119,Tables!$A$260:$A$274,1),1),ROWS(Tables!$A$260:$A$274)-1)))+(U119-INDEX(Tables!$A$260:$A$274,MAX(1,MIN(IFERROR(MATCH(U119,Tables!$A$260:$A$274,1),1),ROWS(Tables!$A$260:$A$274)-1))))*(INDEX(Tables!$B$260:$B$274,MAX(1,MIN(IFERROR(MATCH(U119,Tables!$A$260:$A$274,1),1),ROWS(Tables!$A$260:$A$274)-1))+1)-INDEX(Tables!$B$260:$B$274,MAX(1,MIN(IFERROR(MATCH(U119,Tables!$A$260:$A$274,1),1),ROWS(Tables!$A$260:$A$274)-1))))/(INDEX(Tables!$A$260:$A$274,MAX(1,MIN(IFERROR(MATCH(U119,Tables!$A$260:$A$274,1),1),ROWS(Tables!$A$260:$A$274)-1))+1)-INDEX(Tables!$A$260:$A$274,MAX(1,MIN(IFERROR(MATCH(U119,Tables!$A$260:$A$274,1),1),ROWS(Tables!$A$260:$A$274)-1))))),IF(P119&lt;8,(INDEX(Tables!$D$260:$D$274,MAX(1,MIN(IFERROR(MATCH(U119,Tables!$C$260:$C$274,1),1),ROWS(Tables!$C$260:$C$274)-1)))+(U119-INDEX(Tables!$C$260:$C$274,MAX(1,MIN(IFERROR(MATCH(U119,Tables!$C$260:$C$274,1),1),ROWS(Tables!$C$260:$C$274)-1))))*(INDEX(Tables!$D$260:$D$274,MAX(1,MIN(IFERROR(MATCH(U119,Tables!$C$260:$C$274,1),1),ROWS(Tables!$C$260:$C$274)-1))+1)-INDEX(Tables!$D$260:$D$274,MAX(1,MIN(IFERROR(MATCH(U119,Tables!$C$260:$C$274,1),1),ROWS(Tables!$C$260:$C$274)-1))))/(INDEX(Tables!$C$260:$C$274,MAX(1,MIN(IFERROR(MATCH(U119,Tables!$C$260:$C$274,1),1),ROWS(Tables!$C$260:$C$274)-1))+1)-INDEX(Tables!$C$260:$C$274,MAX(1,MIN(IFERROR(MATCH(U119,Tables!$C$260:$C$274,1),1),ROWS(Tables!$C$260:$C$274)-1))))),IF(P119&lt;10,(INDEX(Tables!$F$260:$F$274,MAX(1,MIN(IFERROR(MATCH(U119,Tables!$E$260:$E$274,1),1),ROWS(Tables!$E$260:$E$274)-1)))+(U119-INDEX(Tables!$E$260:$E$274,MAX(1,MIN(IFERROR(MATCH(U119,Tables!$E$260:$E$274,1),1),ROWS(Tables!$E$260:$E$274)-1))))*(INDEX(Tables!$F$260:$F$274,MAX(1,MIN(IFERROR(MATCH(U119,Tables!$E$260:$E$274,1),1),ROWS(Tables!$E$260:$E$274)-1))+1)-INDEX(Tables!$F$260:$F$274,MAX(1,MIN(IFERROR(MATCH(U119,Tables!$E$260:$E$274,1),1),ROWS(Tables!$E$260:$E$274)-1))))/(INDEX(Tables!$E$260:$E$274,MAX(1,MIN(IFERROR(MATCH(U119,Tables!$E$260:$E$274,1),1),ROWS(Tables!$E$260:$E$274)-1))+1)-INDEX(Tables!$E$260:$E$274,MAX(1,MIN(IFERROR(MATCH(U119,Tables!$E$260:$E$274,1),1),ROWS(Tables!$E$260:$E$274)-1))))),(INDEX(Tables!$H$260:$H$274,MAX(1,MIN(IFERROR(MATCH(U119,Tables!$G$260:$G$274,1),1),ROWS(Tables!$G$260:$G$274)-1)))+(U119-INDEX(Tables!$G$260:$G$274,MAX(1,MIN(IFERROR(MATCH(U119,Tables!$G$260:$G$274,1),1),ROWS(Tables!$G$260:$G$274)-1))))*(INDEX(Tables!$H$260:$H$274,MAX(1,MIN(IFERROR(MATCH(U119,Tables!$G$260:$G$274,1),1),ROWS(Tables!$G$260:$G$274)-1))+1)-INDEX(Tables!$H$260:$H$274,MAX(1,MIN(IFERROR(MATCH(U119,Tables!$G$260:$G$274,1),1),ROWS(Tables!$G$260:$G$274)-1))))/(INDEX(Tables!$G$260:$G$274,MAX(1,MIN(IFERROR(MATCH(U119,Tables!$G$260:$G$274,1),1),ROWS(Tables!$G$260:$G$274)-1))+1)-INDEX(Tables!$G$260:$G$274,MAX(1,MIN(IFERROR(MATCH(U119,Tables!$G$260:$G$274,1),1),ROWS(Tables!$G$260:$G$274)-1))))))))</f>
        <v>0.51828571428571424</v>
      </c>
      <c r="AW119" s="181">
        <f t="shared" si="105"/>
        <v>189.89999671907663</v>
      </c>
      <c r="AX119" s="181">
        <f t="shared" si="106"/>
        <v>343153.84615384613</v>
      </c>
      <c r="AY119" s="181">
        <f t="shared" si="107"/>
        <v>351084.49622980121</v>
      </c>
      <c r="AZ119" s="181">
        <f t="shared" si="108"/>
        <v>105464.85571139923</v>
      </c>
      <c r="BA119" s="181">
        <f t="shared" si="109"/>
        <v>-6000</v>
      </c>
      <c r="BB119" s="181">
        <f t="shared" si="110"/>
        <v>316435.42731088359</v>
      </c>
      <c r="BC119" s="181">
        <f t="shared" si="111"/>
        <v>46800</v>
      </c>
      <c r="BD119" s="181">
        <f>VLOOKUP(V119&amp;" "&amp;J119,Tables!$A$152:$E$239,4,FALSE)</f>
        <v>12000</v>
      </c>
      <c r="BE119" s="181">
        <f>VLOOKUP(V119&amp;" "&amp;J119,Tables!$A$152:$E$239,5,FALSE)</f>
        <v>23000</v>
      </c>
      <c r="BF119" s="181">
        <f t="shared" si="112"/>
        <v>8640</v>
      </c>
      <c r="BG119" s="181">
        <f t="shared" si="113"/>
        <v>16560</v>
      </c>
      <c r="BH119" s="181">
        <f t="shared" si="114"/>
        <v>346153.84615384613</v>
      </c>
      <c r="BI119" s="181">
        <f t="shared" si="115"/>
        <v>46800</v>
      </c>
      <c r="BJ119" s="181">
        <f t="shared" si="116"/>
        <v>316435.42731088359</v>
      </c>
      <c r="BK119" s="181">
        <f t="shared" si="117"/>
        <v>46800</v>
      </c>
      <c r="BL119" s="181">
        <f t="shared" si="118"/>
        <v>189.89999671907663</v>
      </c>
      <c r="BM119" s="181">
        <f t="shared" si="119"/>
        <v>8640</v>
      </c>
      <c r="BN119" s="181">
        <f t="shared" si="120"/>
        <v>167.97718086737808</v>
      </c>
      <c r="BO119" s="181">
        <f t="shared" si="121"/>
        <v>16560</v>
      </c>
      <c r="BP119" t="str">
        <f t="shared" si="122"/>
        <v>Fail</v>
      </c>
      <c r="BQ119" t="str">
        <f t="shared" si="123"/>
        <v>Fail</v>
      </c>
      <c r="BR119" t="str">
        <f t="shared" si="124"/>
        <v>Pass</v>
      </c>
      <c r="BS119" t="str">
        <f t="shared" si="125"/>
        <v>Pass</v>
      </c>
      <c r="BT119" t="str">
        <f t="shared" si="126"/>
        <v>Fail</v>
      </c>
      <c r="BU119" t="str">
        <f t="shared" si="127"/>
        <v>Barlow Stress</v>
      </c>
    </row>
    <row r="120" spans="1:73">
      <c r="A120" t="s">
        <v>712</v>
      </c>
      <c r="B120" s="181">
        <v>118</v>
      </c>
      <c r="C120" t="s">
        <v>594</v>
      </c>
      <c r="D120" s="181">
        <v>48</v>
      </c>
      <c r="E120" s="181">
        <v>0.375</v>
      </c>
      <c r="F120" t="s">
        <v>117</v>
      </c>
      <c r="G120" t="s">
        <v>119</v>
      </c>
      <c r="H120" t="s">
        <v>122</v>
      </c>
      <c r="I120" s="181">
        <v>1</v>
      </c>
      <c r="J120" t="s">
        <v>126</v>
      </c>
      <c r="K120" t="s">
        <v>129</v>
      </c>
      <c r="L120" s="181">
        <v>70</v>
      </c>
      <c r="M120" s="181">
        <v>6000</v>
      </c>
      <c r="N120" t="s">
        <v>392</v>
      </c>
      <c r="O120" s="181">
        <v>120</v>
      </c>
      <c r="P120" s="181">
        <v>30</v>
      </c>
      <c r="Q120" s="181">
        <v>50</v>
      </c>
      <c r="R120" t="s">
        <v>418</v>
      </c>
      <c r="S120" t="s">
        <v>420</v>
      </c>
      <c r="T120" s="181">
        <v>70</v>
      </c>
      <c r="U120" s="181">
        <f>HLOOKUP(D120,'Highway Loading'!$C$155:$AD$156,2,FALSE)</f>
        <v>48</v>
      </c>
      <c r="V120" s="181">
        <f>IF(ISBLANK(G120),"",INDEX('Highway Loading'!$C$216:$AG$216,1,MATCH(G120,'Highway Loading'!$C$215:$AG$215,0)))</f>
        <v>65000</v>
      </c>
      <c r="W120" s="181">
        <f>INDEX('Highway Loading'!$I$245:$L$253,MATCH(H120,'Highway Loading'!$H$245:$H$253,0),MATCH(I120,'Highway Loading'!$I$244:$L$244,0))</f>
        <v>0.72</v>
      </c>
      <c r="X120" s="181">
        <f t="shared" si="96"/>
        <v>1</v>
      </c>
      <c r="Y120" s="181">
        <f>VLOOKUP(K120,'Highway Loading'!$B$283:$E$292,2,FALSE)</f>
        <v>29000000</v>
      </c>
      <c r="Z120" s="181">
        <f>VLOOKUP(K120,'Highway Loading'!$B$283:$E$292,3,FALSE)</f>
        <v>0.3</v>
      </c>
      <c r="AA120" s="181">
        <f>VLOOKUP(K120,'Highway Loading'!$B$283:$E$292,4,FALSE)</f>
        <v>6.4999999999999996E-6</v>
      </c>
      <c r="AB120" s="181">
        <f t="shared" si="97"/>
        <v>1</v>
      </c>
      <c r="AC120" s="181">
        <f>VLOOKUP(N120,'Highway Loading'!$B$256:$D$261,2,FALSE)</f>
        <v>2000</v>
      </c>
      <c r="AD120" s="181">
        <f>VLOOKUP(N120,'Highway Loading'!$B$256:$D$261,3,FALSE)</f>
        <v>20000</v>
      </c>
      <c r="AE120" s="181">
        <f>VLOOKUP(S120,'Highway Loading'!$B$340:$C$341,2,FALSE)</f>
        <v>12000</v>
      </c>
      <c r="AF120" s="181">
        <f t="shared" si="98"/>
        <v>7.8125E-3</v>
      </c>
      <c r="AG120" s="181">
        <f t="shared" si="99"/>
        <v>7.2</v>
      </c>
      <c r="AH120" s="181">
        <f t="shared" si="100"/>
        <v>1.0416666666666667</v>
      </c>
      <c r="AI120" s="181">
        <f t="shared" si="101"/>
        <v>384000</v>
      </c>
      <c r="AJ120" s="181">
        <f t="shared" si="102"/>
        <v>46800</v>
      </c>
      <c r="AK120" s="181">
        <f>IF(AC120=200,(INDEX(Tables!$B$17:$B$38,MAX(1,MIN(IFERROR(MATCH(AF120,Tables!$A$17:$A$38,1),1),ROWS(Tables!$A$17:$A$38)-1)))+(AF120-INDEX(Tables!$A$17:$A$38,MAX(1,MIN(IFERROR(MATCH(AF120,Tables!$A$17:$A$38,1),1),ROWS(Tables!$A$17:$A$38)-1))))*(INDEX(Tables!$B$17:$B$38,MAX(1,MIN(IFERROR(MATCH(AF120,Tables!$A$17:$A$38,1),1),ROWS(Tables!$A$17:$A$38)-1))+1)-INDEX(Tables!$B$17:$B$38,MAX(1,MIN(IFERROR(MATCH(AF120,Tables!$A$17:$A$38,1),1),ROWS(Tables!$A$17:$A$38)-1))))/(INDEX(Tables!$A$17:$A$38,MAX(1,MIN(IFERROR(MATCH(AF120,Tables!$A$17:$A$38,1),1),ROWS(Tables!$A$17:$A$38)-1))+1)-INDEX(Tables!$A$17:$A$38,MAX(1,MIN(IFERROR(MATCH(AF120,Tables!$A$17:$A$38,1),1),ROWS(Tables!$A$17:$A$38)-1))))),IF(AC120=500,(INDEX(Tables!$D$17:$D$38,MAX(1,MIN(IFERROR(MATCH(AF120,Tables!$C$17:$C$38,1),1),ROWS(Tables!$C$17:$C$38)-1)))+(AF120-INDEX(Tables!$C$17:$C$38,MAX(1,MIN(IFERROR(MATCH(AF120,Tables!$C$17:$C$38,1),1),ROWS(Tables!$C$17:$C$38)-1))))*(INDEX(Tables!$D$17:$D$38,MAX(1,MIN(IFERROR(MATCH(AF120,Tables!$C$17:$C$38,1),1),ROWS(Tables!$C$17:$C$38)-1))+1)-INDEX(Tables!$D$17:$D$38,MAX(1,MIN(IFERROR(MATCH(AF120,Tables!$C$17:$C$38,1),1),ROWS(Tables!$C$17:$C$38)-1))))/(INDEX(Tables!$C$17:$C$38,MAX(1,MIN(IFERROR(MATCH(AF120,Tables!$C$17:$C$38,1),1),ROWS(Tables!$C$17:$C$38)-1))+1)-INDEX(Tables!$C$17:$C$38,MAX(1,MIN(IFERROR(MATCH(AF120,Tables!$C$17:$C$38,1),1),ROWS(Tables!$C$17:$C$38)-1))))),IF(AC120=1000,(INDEX(Tables!$F$17:$F$38,MAX(1,MIN(IFERROR(MATCH(AF120,Tables!$E$17:$E$38,1),1),ROWS(Tables!$E$17:$E$38)-1)))+(AF120-INDEX(Tables!$E$17:$E$38,MAX(1,MIN(IFERROR(MATCH(AF120,Tables!$E$17:$E$38,1),1),ROWS(Tables!$E$17:$E$38)-1))))*(INDEX(Tables!$F$17:$F$38,MAX(1,MIN(IFERROR(MATCH(AF120,Tables!$E$17:$E$38,1),1),ROWS(Tables!$E$17:$E$38)-1))+1)-INDEX(Tables!$F$17:$F$38,MAX(1,MIN(IFERROR(MATCH(AF120,Tables!$E$17:$E$38,1),1),ROWS(Tables!$E$17:$E$38)-1))))/(INDEX(Tables!$E$17:$E$38,MAX(1,MIN(IFERROR(MATCH(AF120,Tables!$E$17:$E$38,1),1),ROWS(Tables!$E$17:$E$38)-1))+1)-INDEX(Tables!$E$17:$E$38,MAX(1,MIN(IFERROR(MATCH(AF120,Tables!$E$17:$E$38,1),1),ROWS(Tables!$E$17:$E$38)-1))))),(INDEX(Tables!$H$17:$H$38,MAX(1,MIN(IFERROR(MATCH(AF120,Tables!$G$17:$G$38,1),1),ROWS(Tables!$G$17:$G$38)-1)))+(AF120-INDEX(Tables!$G$17:$G$38,MAX(1,MIN(IFERROR(MATCH(AF120,Tables!$G$17:$G$38,1),1),ROWS(Tables!$G$17:$G$38)-1))))*(INDEX(Tables!$H$17:$H$38,MAX(1,MIN(IFERROR(MATCH(AF120,Tables!$G$17:$G$38,1),1),ROWS(Tables!$G$17:$G$38)-1))+1)-INDEX(Tables!$H$17:$H$38,MAX(1,MIN(IFERROR(MATCH(AF120,Tables!$G$17:$G$38,1),1),ROWS(Tables!$G$17:$G$38)-1))))/(INDEX(Tables!$G$17:$G$38,MAX(1,MIN(IFERROR(MATCH(AF120,Tables!$G$17:$G$38,1),1),ROWS(Tables!$G$17:$G$38)-1))+1)-INDEX(Tables!$G$17:$G$38,MAX(1,MIN(IFERROR(MATCH(AF120,Tables!$G$17:$G$38,1),1),ROWS(Tables!$G$17:$G$38)-1))))))))</f>
        <v>3975.5</v>
      </c>
      <c r="AL120" s="181">
        <f>IF(AC120&lt;1000,(INDEX(Tables!$B$43:$B$76,MAX(1,MIN(IFERROR(MATCH(AG120,Tables!$A$43:$A$76,1),1),ROWS(Tables!$A$43:$A$76)-1)))+(AG120-INDEX(Tables!$A$43:$A$76,MAX(1,MIN(IFERROR(MATCH(AG120,Tables!$A$43:$A$76,1),1),ROWS(Tables!$A$43:$A$76)-1))))*(INDEX(Tables!$B$43:$B$76,MAX(1,MIN(IFERROR(MATCH(AG120,Tables!$A$43:$A$76,1),1),ROWS(Tables!$A$43:$A$76)-1))+1)-INDEX(Tables!$B$43:$B$76,MAX(1,MIN(IFERROR(MATCH(AG120,Tables!$A$43:$A$76,1),1),ROWS(Tables!$A$43:$A$76)-1))))/(INDEX(Tables!$A$43:$A$76,MAX(1,MIN(IFERROR(MATCH(AG120,Tables!$A$43:$A$76,1),1),ROWS(Tables!$A$43:$A$76)-1))+1)-INDEX(Tables!$A$43:$A$76,MAX(1,MIN(IFERROR(MATCH(AG120,Tables!$A$43:$A$76,1),1),ROWS(Tables!$A$43:$A$76)-1))))),(INDEX(Tables!$D$43:$D$76,MAX(1,MIN(IFERROR(MATCH(AG120,Tables!$C$43:$C$76,1),1),ROWS(Tables!$C$43:$C$76)-1)))+(AG120-INDEX(Tables!$C$43:$C$76,MAX(1,MIN(IFERROR(MATCH(AG120,Tables!$C$43:$C$76,1),1),ROWS(Tables!$C$43:$C$76)-1))))*(INDEX(Tables!$D$43:$D$76,MAX(1,MIN(IFERROR(MATCH(AG120,Tables!$C$43:$C$76,1),1),ROWS(Tables!$C$43:$C$76)-1))+1)-INDEX(Tables!$D$43:$D$76,MAX(1,MIN(IFERROR(MATCH(AG120,Tables!$C$43:$C$76,1),1),ROWS(Tables!$C$43:$C$76)-1))))/(INDEX(Tables!$C$43:$C$76,MAX(1,MIN(IFERROR(MATCH(AG120,Tables!$C$43:$C$76,1),1),ROWS(Tables!$C$43:$C$76)-1))+1)-INDEX(Tables!$C$43:$C$76,MAX(1,MIN(IFERROR(MATCH(AG120,Tables!$C$43:$C$76,1),1),ROWS(Tables!$C$43:$C$76)-1))))))</f>
        <v>1.0784</v>
      </c>
      <c r="AM120" s="181">
        <f>(INDEX(Tables!$B$80:$B$87,MAX(1,MIN(IFERROR(MATCH(AH120,Tables!$A$80:$A$87,1),1),ROWS(Tables!$A$80:$A$87)-1)))+(AH120-INDEX(Tables!$A$80:$A$87,MAX(1,MIN(IFERROR(MATCH(AH120,Tables!$A$80:$A$87,1),1),ROWS(Tables!$A$80:$A$87)-1))))*(INDEX(Tables!$B$80:$B$87,MAX(1,MIN(IFERROR(MATCH(AH120,Tables!$A$80:$A$87,1),1),ROWS(Tables!$A$80:$A$87)-1))+1)-INDEX(Tables!$B$80:$B$87,MAX(1,MIN(IFERROR(MATCH(AH120,Tables!$A$80:$A$87,1),1),ROWS(Tables!$A$80:$A$87)-1))))/(INDEX(Tables!$A$80:$A$87,MAX(1,MIN(IFERROR(MATCH(AH120,Tables!$A$80:$A$87,1),1),ROWS(Tables!$A$80:$A$87)-1))+1)-INDEX(Tables!$A$80:$A$87,MAX(1,MIN(IFERROR(MATCH(AH120,Tables!$A$80:$A$87,1),1),ROWS(Tables!$A$80:$A$87)-1)))))</f>
        <v>0.89595000000000002</v>
      </c>
      <c r="AN120" s="181">
        <f t="shared" si="103"/>
        <v>12803.660680800003</v>
      </c>
      <c r="AO120" s="181">
        <f>(INDEX(Tables!$B$91:$B$94,MAX(1,MIN(IFERROR(MATCH(P120,Tables!$A$91:$A$94,1),1),ROWS(Tables!$A$91:$A$94)-1)))+(P120-INDEX(Tables!$A$91:$A$94,MAX(1,MIN(IFERROR(MATCH(P120,Tables!$A$91:$A$94,1),1),ROWS(Tables!$A$91:$A$94)-1))))*(INDEX(Tables!$B$91:$B$94,MAX(1,MIN(IFERROR(MATCH(P120,Tables!$A$91:$A$94,1),1),ROWS(Tables!$A$91:$A$94)-1))+1)-INDEX(Tables!$B$91:$B$94,MAX(1,MIN(IFERROR(MATCH(P120,Tables!$A$91:$A$94,1),1),ROWS(Tables!$A$91:$A$94)-1))))/(INDEX(Tables!$A$91:$A$94,MAX(1,MIN(IFERROR(MATCH(P120,Tables!$A$91:$A$94,1),1),ROWS(Tables!$A$91:$A$94)-1))+1)-INDEX(Tables!$A$91:$A$94,MAX(1,MIN(IFERROR(MATCH(P120,Tables!$A$91:$A$94,1),1),ROWS(Tables!$A$91:$A$94)-1)))))</f>
        <v>1</v>
      </c>
      <c r="AP120" s="181">
        <f>IF(AD120=5000,(INDEX(Tables!$B$99:$B$118,MAX(1,MIN(IFERROR(MATCH(AF120,Tables!$A$99:$A$118,1),1),ROWS(Tables!$A$99:$A$118)-1)))+(AF120-INDEX(Tables!$A$99:$A$118,MAX(1,MIN(IFERROR(MATCH(AF120,Tables!$A$99:$A$118,1),1),ROWS(Tables!$A$99:$A$118)-1))))*(INDEX(Tables!$B$99:$B$118,MAX(1,MIN(IFERROR(MATCH(AF120,Tables!$A$99:$A$118,1),1),ROWS(Tables!$A$99:$A$118)-1))+1)-INDEX(Tables!$B$99:$B$118,MAX(1,MIN(IFERROR(MATCH(AF120,Tables!$A$99:$A$118,1),1),ROWS(Tables!$A$99:$A$118)-1))))/(INDEX(Tables!$A$99:$A$118,MAX(1,MIN(IFERROR(MATCH(AF120,Tables!$A$99:$A$118,1),1),ROWS(Tables!$A$99:$A$118)-1))+1)-INDEX(Tables!$A$99:$A$118,MAX(1,MIN(IFERROR(MATCH(AF120,Tables!$A$99:$A$118,1),1),ROWS(Tables!$A$99:$A$118)-1))))),IF(AD120=10000,(INDEX(Tables!$D$99:$D$118,MAX(1,MIN(IFERROR(MATCH(AF120,Tables!$C$99:$C$118,1),1),ROWS(Tables!$C$99:$C$118)-1)))+(AF120-INDEX(Tables!$C$99:$C$118,MAX(1,MIN(IFERROR(MATCH(AF120,Tables!$C$99:$C$118,1),1),ROWS(Tables!$C$99:$C$118)-1))))*(INDEX(Tables!$D$99:$D$118,MAX(1,MIN(IFERROR(MATCH(AF120,Tables!$C$99:$C$118,1),1),ROWS(Tables!$C$99:$C$118)-1))+1)-INDEX(Tables!$D$99:$D$118,MAX(1,MIN(IFERROR(MATCH(AF120,Tables!$C$99:$C$118,1),1),ROWS(Tables!$C$99:$C$118)-1))))/(INDEX(Tables!$C$99:$C$118,MAX(1,MIN(IFERROR(MATCH(AF120,Tables!$C$99:$C$118,1),1),ROWS(Tables!$C$99:$C$118)-1))+1)-INDEX(Tables!$C$99:$C$118,MAX(1,MIN(IFERROR(MATCH(AF120,Tables!$C$99:$C$118,1),1),ROWS(Tables!$C$99:$C$118)-1))))),(INDEX(Tables!$F$99:$F$118,MAX(1,MIN(IFERROR(MATCH(AF120,Tables!$E$99:$E$118,1),1),ROWS(Tables!$E$99:$E$118)-1)))+(AF120-INDEX(Tables!$E$99:$E$118,MAX(1,MIN(IFERROR(MATCH(AF120,Tables!$E$99:$E$118,1),1),ROWS(Tables!$E$99:$E$118)-1))))*(INDEX(Tables!$F$99:$F$118,MAX(1,MIN(IFERROR(MATCH(AF120,Tables!$E$99:$E$118,1),1),ROWS(Tables!$E$99:$E$118)-1))+1)-INDEX(Tables!$F$99:$F$118,MAX(1,MIN(IFERROR(MATCH(AF120,Tables!$E$99:$E$118,1),1),ROWS(Tables!$E$99:$E$118)-1))))/(INDEX(Tables!$E$99:$E$118,MAX(1,MIN(IFERROR(MATCH(AF120,Tables!$E$99:$E$118,1),1),ROWS(Tables!$E$99:$E$118)-1))+1)-INDEX(Tables!$E$99:$E$118,MAX(1,MIN(IFERROR(MATCH(AF120,Tables!$E$99:$E$118,1),1),ROWS(Tables!$E$99:$E$118)-1)))))))</f>
        <v>4.8684011627906987</v>
      </c>
      <c r="AQ120" s="181">
        <f>IF(P120&lt;6,(INDEX(Tables!$B$123:$B$138,MAX(1,MIN(IFERROR(MATCH(U120,Tables!$A$123:$A$138,1),1),ROWS(Tables!$A$123:$A$138)-1)))+(U120-INDEX(Tables!$A$123:$A$138,MAX(1,MIN(IFERROR(MATCH(U120,Tables!$A$123:$A$138,1),1),ROWS(Tables!$A$123:$A$138)-1))))*(INDEX(Tables!$B$123:$B$138,MAX(1,MIN(IFERROR(MATCH(U120,Tables!$A$123:$A$138,1),1),ROWS(Tables!$A$123:$A$138)-1))+1)-INDEX(Tables!$B$123:$B$138,MAX(1,MIN(IFERROR(MATCH(U120,Tables!$A$123:$A$138,1),1),ROWS(Tables!$A$123:$A$138)-1))))/(INDEX(Tables!$A$123:$A$138,MAX(1,MIN(IFERROR(MATCH(U120,Tables!$A$123:$A$138,1),1),ROWS(Tables!$A$123:$A$138)-1))+1)-INDEX(Tables!$A$123:$A$138,MAX(1,MIN(IFERROR(MATCH(U120,Tables!$A$123:$A$138,1),1),ROWS(Tables!$A$123:$A$138)-1))))),IF(P120&lt;8,(INDEX(Tables!$D$123:$D$138,MAX(1,MIN(IFERROR(MATCH(U120,Tables!$C$123:$C$138,1),1),ROWS(Tables!$C$123:$C$138)-1)))+(U120-INDEX(Tables!$C$123:$C$138,MAX(1,MIN(IFERROR(MATCH(U120,Tables!$C$123:$C$138,1),1),ROWS(Tables!$C$123:$C$138)-1))))*(INDEX(Tables!$D$123:$D$138,MAX(1,MIN(IFERROR(MATCH(U120,Tables!$C$123:$C$138,1),1),ROWS(Tables!$C$123:$C$138)-1))+1)-INDEX(Tables!$D$123:$D$138,MAX(1,MIN(IFERROR(MATCH(U120,Tables!$C$123:$C$138,1),1),ROWS(Tables!$C$123:$C$138)-1))))/(INDEX(Tables!$C$123:$C$138,MAX(1,MIN(IFERROR(MATCH(U120,Tables!$C$123:$C$138,1),1),ROWS(Tables!$C$123:$C$138)-1))+1)-INDEX(Tables!$C$123:$C$138,MAX(1,MIN(IFERROR(MATCH(U120,Tables!$C$123:$C$138,1),1),ROWS(Tables!$C$123:$C$138)-1))))),IF(P120&lt;10,(INDEX(Tables!$F$123:$F$138,MAX(1,MIN(IFERROR(MATCH(U120,Tables!$E$123:$E$138,1),1),ROWS(Tables!$E$123:$E$138)-1)))+(U120-INDEX(Tables!$E$123:$E$138,MAX(1,MIN(IFERROR(MATCH(U120,Tables!$E$123:$E$138,1),1),ROWS(Tables!$E$123:$E$138)-1))))*(INDEX(Tables!$F$123:$F$138,MAX(1,MIN(IFERROR(MATCH(U120,Tables!$E$123:$E$138,1),1),ROWS(Tables!$E$123:$E$138)-1))+1)-INDEX(Tables!$F$123:$F$138,MAX(1,MIN(IFERROR(MATCH(U120,Tables!$E$123:$E$138,1),1),ROWS(Tables!$E$123:$E$138)-1))))/(INDEX(Tables!$E$123:$E$138,MAX(1,MIN(IFERROR(MATCH(U120,Tables!$E$123:$E$138,1),1),ROWS(Tables!$E$123:$E$138)-1))+1)-INDEX(Tables!$E$123:$E$138,MAX(1,MIN(IFERROR(MATCH(U120,Tables!$E$123:$E$138,1),1),ROWS(Tables!$E$123:$E$138)-1))))),(INDEX(Tables!$H$123:$H$138,MAX(1,MIN(IFERROR(MATCH(U120,Tables!$G$123:$G$138,1),1),ROWS(Tables!$G$123:$G$138)-1)))+(U120-INDEX(Tables!$G$123:$G$138,MAX(1,MIN(IFERROR(MATCH(U120,Tables!$G$123:$G$138,1),1),ROWS(Tables!$G$123:$G$138)-1))))*(INDEX(Tables!$H$123:$H$138,MAX(1,MIN(IFERROR(MATCH(U120,Tables!$G$123:$G$138,1),1),ROWS(Tables!$G$123:$G$138)-1))+1)-INDEX(Tables!$H$123:$H$138,MAX(1,MIN(IFERROR(MATCH(U120,Tables!$G$123:$G$138,1),1),ROWS(Tables!$G$123:$G$138)-1))))/(INDEX(Tables!$G$123:$G$138,MAX(1,MIN(IFERROR(MATCH(U120,Tables!$G$123:$G$138,1),1),ROWS(Tables!$G$123:$G$138)-1))+1)-INDEX(Tables!$G$123:$G$138,MAX(1,MIN(IFERROR(MATCH(U120,Tables!$G$123:$G$138,1),1),ROWS(Tables!$G$123:$G$138)-1))))))))</f>
        <v>0.46899999999999997</v>
      </c>
      <c r="AR120" s="181">
        <f>IF(OR(P120&gt;=4,U120&gt;12),VLOOKUP(R120&amp;" "&amp;S120,Tables!$D$143:$F$148,2,FALSE),VLOOKUP(R120&amp;" "&amp;S120,Tables!$A$143:$C$148,2,FALSE))</f>
        <v>0.9</v>
      </c>
      <c r="AS120" s="181">
        <f>IF(OR(P120&gt;=4,U120&gt;12),VLOOKUP(R120&amp;" "&amp;S120,Tables!$D$143:$F$148,3,FALSE),VLOOKUP(R120&amp;" "&amp;S120,Tables!$A$143:$C$148,3,FALSE))</f>
        <v>0.65</v>
      </c>
      <c r="AT120" s="181">
        <f t="shared" si="104"/>
        <v>111.30990708575581</v>
      </c>
      <c r="AU120" s="181">
        <f>IF(AD120=5000,(INDEX(Tables!$B$244:$B$263,MAX(1,MIN(IFERROR(MATCH(AF120,Tables!$A$244:$A$263,1),1),ROWS(Tables!$A$244:$A$263)-1)))+(AF120-INDEX(Tables!$A$244:$A$263,MAX(1,MIN(IFERROR(MATCH(AF120,Tables!$A$244:$A$263,1),1),ROWS(Tables!$A$244:$A$263)-1))))*(INDEX(Tables!$B$244:$B$263,MAX(1,MIN(IFERROR(MATCH(AF120,Tables!$A$244:$A$263,1),1),ROWS(Tables!$A$244:$A$263)-1))+1)-INDEX(Tables!$B$244:$B$263,MAX(1,MIN(IFERROR(MATCH(AF120,Tables!$A$244:$A$263,1),1),ROWS(Tables!$A$244:$A$263)-1))))/(INDEX(Tables!$A$244:$A$263,MAX(1,MIN(IFERROR(MATCH(AF120,Tables!$A$244:$A$263,1),1),ROWS(Tables!$A$244:$A$263)-1))+1)-INDEX(Tables!$A$244:$A$263,MAX(1,MIN(IFERROR(MATCH(AF120,Tables!$A$244:$A$263,1),1),ROWS(Tables!$A$244:$A$263)-1))))),IF(AD120=10000,(INDEX(Tables!$D$244:$D$263,MAX(1,MIN(IFERROR(MATCH(AF120,Tables!$C$244:$C$263,1),1),ROWS(Tables!$C$244:$C$263)-1)))+(AF120-INDEX(Tables!$C$244:$C$263,MAX(1,MIN(IFERROR(MATCH(AF120,Tables!$C$244:$C$263,1),1),ROWS(Tables!$C$244:$C$263)-1))))*(INDEX(Tables!$D$244:$D$263,MAX(1,MIN(IFERROR(MATCH(AF120,Tables!$C$244:$C$263,1),1),ROWS(Tables!$C$244:$C$263)-1))+1)-INDEX(Tables!$D$244:$D$263,MAX(1,MIN(IFERROR(MATCH(AF120,Tables!$C$244:$C$263,1),1),ROWS(Tables!$C$244:$C$263)-1))))/(INDEX(Tables!$C$244:$C$263,MAX(1,MIN(IFERROR(MATCH(AF120,Tables!$C$244:$C$263,1),1),ROWS(Tables!$C$244:$C$263)-1))+1)-INDEX(Tables!$C$244:$C$263,MAX(1,MIN(IFERROR(MATCH(AF120,Tables!$C$244:$C$263,1),1),ROWS(Tables!$C$244:$C$263)-1))))),(INDEX(Tables!$F$244:$F$263,MAX(1,MIN(IFERROR(MATCH(AF120,Tables!$E$244:$E$263,1),1),ROWS(Tables!$E$244:$E$263)-1)))+(AF120-INDEX(Tables!$E$244:$E$263,MAX(1,MIN(IFERROR(MATCH(AF120,Tables!$E$244:$E$263,1),1),ROWS(Tables!$E$244:$E$263)-1))))*(INDEX(Tables!$F$244:$F$263,MAX(1,MIN(IFERROR(MATCH(AF120,Tables!$E$244:$E$263,1),1),ROWS(Tables!$E$244:$E$263)-1))+1)-INDEX(Tables!$F$244:$F$263,MAX(1,MIN(IFERROR(MATCH(AF120,Tables!$E$244:$E$263,1),1),ROWS(Tables!$E$244:$E$263)-1))))/(INDEX(Tables!$E$244:$E$263,MAX(1,MIN(IFERROR(MATCH(AF120,Tables!$E$244:$E$263,1),1),ROWS(Tables!$E$244:$E$263)-1))+1)-INDEX(Tables!$E$244:$E$263,MAX(1,MIN(IFERROR(MATCH(AF120,Tables!$E$244:$E$263,1),1),ROWS(Tables!$E$244:$E$263)-1)))))))</f>
        <v>6.0990000000000002</v>
      </c>
      <c r="AV120" s="181">
        <f>IF(P120&lt;6,(INDEX(Tables!$B$260:$B$274,MAX(1,MIN(IFERROR(MATCH(U120,Tables!$A$260:$A$274,1),1),ROWS(Tables!$A$260:$A$274)-1)))+(U120-INDEX(Tables!$A$260:$A$274,MAX(1,MIN(IFERROR(MATCH(U120,Tables!$A$260:$A$274,1),1),ROWS(Tables!$A$260:$A$274)-1))))*(INDEX(Tables!$B$260:$B$274,MAX(1,MIN(IFERROR(MATCH(U120,Tables!$A$260:$A$274,1),1),ROWS(Tables!$A$260:$A$274)-1))+1)-INDEX(Tables!$B$260:$B$274,MAX(1,MIN(IFERROR(MATCH(U120,Tables!$A$260:$A$274,1),1),ROWS(Tables!$A$260:$A$274)-1))))/(INDEX(Tables!$A$260:$A$274,MAX(1,MIN(IFERROR(MATCH(U120,Tables!$A$260:$A$274,1),1),ROWS(Tables!$A$260:$A$274)-1))+1)-INDEX(Tables!$A$260:$A$274,MAX(1,MIN(IFERROR(MATCH(U120,Tables!$A$260:$A$274,1),1),ROWS(Tables!$A$260:$A$274)-1))))),IF(P120&lt;8,(INDEX(Tables!$D$260:$D$274,MAX(1,MIN(IFERROR(MATCH(U120,Tables!$C$260:$C$274,1),1),ROWS(Tables!$C$260:$C$274)-1)))+(U120-INDEX(Tables!$C$260:$C$274,MAX(1,MIN(IFERROR(MATCH(U120,Tables!$C$260:$C$274,1),1),ROWS(Tables!$C$260:$C$274)-1))))*(INDEX(Tables!$D$260:$D$274,MAX(1,MIN(IFERROR(MATCH(U120,Tables!$C$260:$C$274,1),1),ROWS(Tables!$C$260:$C$274)-1))+1)-INDEX(Tables!$D$260:$D$274,MAX(1,MIN(IFERROR(MATCH(U120,Tables!$C$260:$C$274,1),1),ROWS(Tables!$C$260:$C$274)-1))))/(INDEX(Tables!$C$260:$C$274,MAX(1,MIN(IFERROR(MATCH(U120,Tables!$C$260:$C$274,1),1),ROWS(Tables!$C$260:$C$274)-1))+1)-INDEX(Tables!$C$260:$C$274,MAX(1,MIN(IFERROR(MATCH(U120,Tables!$C$260:$C$274,1),1),ROWS(Tables!$C$260:$C$274)-1))))),IF(P120&lt;10,(INDEX(Tables!$F$260:$F$274,MAX(1,MIN(IFERROR(MATCH(U120,Tables!$E$260:$E$274,1),1),ROWS(Tables!$E$260:$E$274)-1)))+(U120-INDEX(Tables!$E$260:$E$274,MAX(1,MIN(IFERROR(MATCH(U120,Tables!$E$260:$E$274,1),1),ROWS(Tables!$E$260:$E$274)-1))))*(INDEX(Tables!$F$260:$F$274,MAX(1,MIN(IFERROR(MATCH(U120,Tables!$E$260:$E$274,1),1),ROWS(Tables!$E$260:$E$274)-1))+1)-INDEX(Tables!$F$260:$F$274,MAX(1,MIN(IFERROR(MATCH(U120,Tables!$E$260:$E$274,1),1),ROWS(Tables!$E$260:$E$274)-1))))/(INDEX(Tables!$E$260:$E$274,MAX(1,MIN(IFERROR(MATCH(U120,Tables!$E$260:$E$274,1),1),ROWS(Tables!$E$260:$E$274)-1))+1)-INDEX(Tables!$E$260:$E$274,MAX(1,MIN(IFERROR(MATCH(U120,Tables!$E$260:$E$274,1),1),ROWS(Tables!$E$260:$E$274)-1))))),(INDEX(Tables!$H$260:$H$274,MAX(1,MIN(IFERROR(MATCH(U120,Tables!$G$260:$G$274,1),1),ROWS(Tables!$G$260:$G$274)-1)))+(U120-INDEX(Tables!$G$260:$G$274,MAX(1,MIN(IFERROR(MATCH(U120,Tables!$G$260:$G$274,1),1),ROWS(Tables!$G$260:$G$274)-1))))*(INDEX(Tables!$H$260:$H$274,MAX(1,MIN(IFERROR(MATCH(U120,Tables!$G$260:$G$274,1),1),ROWS(Tables!$G$260:$G$274)-1))+1)-INDEX(Tables!$H$260:$H$274,MAX(1,MIN(IFERROR(MATCH(U120,Tables!$G$260:$G$274,1),1),ROWS(Tables!$G$260:$G$274)-1))))/(INDEX(Tables!$G$260:$G$274,MAX(1,MIN(IFERROR(MATCH(U120,Tables!$G$260:$G$274,1),1),ROWS(Tables!$G$260:$G$274)-1))+1)-INDEX(Tables!$G$260:$G$274,MAX(1,MIN(IFERROR(MATCH(U120,Tables!$G$260:$G$274,1),1),ROWS(Tables!$G$260:$G$274)-1))))))))</f>
        <v>0.45700000000000002</v>
      </c>
      <c r="AW120" s="181">
        <f t="shared" si="105"/>
        <v>135.87809625000003</v>
      </c>
      <c r="AX120" s="181">
        <f t="shared" si="106"/>
        <v>381000</v>
      </c>
      <c r="AY120" s="181">
        <f t="shared" si="107"/>
        <v>393914.97058788576</v>
      </c>
      <c r="AZ120" s="181">
        <f t="shared" si="108"/>
        <v>118276.97630048999</v>
      </c>
      <c r="BA120" s="181">
        <f t="shared" si="109"/>
        <v>-6000</v>
      </c>
      <c r="BB120" s="181">
        <f t="shared" si="110"/>
        <v>354508.85350966942</v>
      </c>
      <c r="BC120" s="181">
        <f t="shared" si="111"/>
        <v>46800</v>
      </c>
      <c r="BD120" s="181">
        <f>VLOOKUP(V120&amp;" "&amp;J120,Tables!$A$152:$E$239,4,FALSE)</f>
        <v>12000</v>
      </c>
      <c r="BE120" s="181">
        <f>VLOOKUP(V120&amp;" "&amp;J120,Tables!$A$152:$E$239,5,FALSE)</f>
        <v>23000</v>
      </c>
      <c r="BF120" s="181">
        <f t="shared" si="112"/>
        <v>8640</v>
      </c>
      <c r="BG120" s="181">
        <f t="shared" si="113"/>
        <v>16560</v>
      </c>
      <c r="BH120" s="181">
        <f t="shared" si="114"/>
        <v>384000</v>
      </c>
      <c r="BI120" s="181">
        <f t="shared" si="115"/>
        <v>46800</v>
      </c>
      <c r="BJ120" s="181">
        <f t="shared" si="116"/>
        <v>354508.85350966942</v>
      </c>
      <c r="BK120" s="181">
        <f t="shared" si="117"/>
        <v>46800</v>
      </c>
      <c r="BL120" s="181">
        <f t="shared" si="118"/>
        <v>135.87809625000003</v>
      </c>
      <c r="BM120" s="181">
        <f t="shared" si="119"/>
        <v>8640</v>
      </c>
      <c r="BN120" s="181">
        <f t="shared" si="120"/>
        <v>111.30990708575581</v>
      </c>
      <c r="BO120" s="181">
        <f t="shared" si="121"/>
        <v>16560</v>
      </c>
      <c r="BP120" t="str">
        <f t="shared" si="122"/>
        <v>Fail</v>
      </c>
      <c r="BQ120" t="str">
        <f t="shared" si="123"/>
        <v>Fail</v>
      </c>
      <c r="BR120" t="str">
        <f t="shared" si="124"/>
        <v>Pass</v>
      </c>
      <c r="BS120" t="str">
        <f t="shared" si="125"/>
        <v>Pass</v>
      </c>
      <c r="BT120" t="str">
        <f t="shared" si="126"/>
        <v>Fail</v>
      </c>
      <c r="BU120" t="str">
        <f t="shared" si="127"/>
        <v>Barlow Stress</v>
      </c>
    </row>
    <row r="121" spans="1:73">
      <c r="A121" t="s">
        <v>713</v>
      </c>
      <c r="B121" s="181">
        <v>119</v>
      </c>
      <c r="C121" t="s">
        <v>594</v>
      </c>
      <c r="D121" s="181">
        <v>6</v>
      </c>
      <c r="E121" s="181">
        <v>0.34399999999999997</v>
      </c>
      <c r="F121" t="s">
        <v>117</v>
      </c>
      <c r="G121" t="s">
        <v>119</v>
      </c>
      <c r="H121" t="s">
        <v>122</v>
      </c>
      <c r="I121" s="181">
        <v>1</v>
      </c>
      <c r="J121" t="s">
        <v>126</v>
      </c>
      <c r="K121" t="s">
        <v>129</v>
      </c>
      <c r="L121" s="181">
        <v>70</v>
      </c>
      <c r="M121" s="181">
        <v>6000</v>
      </c>
      <c r="N121" t="s">
        <v>392</v>
      </c>
      <c r="O121" s="181">
        <v>120</v>
      </c>
      <c r="P121" s="181">
        <v>1</v>
      </c>
      <c r="Q121" s="181">
        <v>8.625</v>
      </c>
      <c r="R121" t="s">
        <v>417</v>
      </c>
      <c r="S121" t="s">
        <v>420</v>
      </c>
      <c r="T121" s="181">
        <v>70</v>
      </c>
      <c r="U121" s="181">
        <f>HLOOKUP(D121,'Highway Loading'!$C$155:$AD$156,2,FALSE)</f>
        <v>6.625</v>
      </c>
      <c r="V121" s="181">
        <f>IF(ISBLANK(G121),"",INDEX('Highway Loading'!$C$216:$AG$216,1,MATCH(G121,'Highway Loading'!$C$215:$AG$215,0)))</f>
        <v>65000</v>
      </c>
      <c r="W121" s="181">
        <f>INDEX('Highway Loading'!$I$245:$L$253,MATCH(H121,'Highway Loading'!$H$245:$H$253,0),MATCH(I121,'Highway Loading'!$I$244:$L$244,0))</f>
        <v>0.72</v>
      </c>
      <c r="X121" s="181">
        <f t="shared" si="96"/>
        <v>1</v>
      </c>
      <c r="Y121" s="181">
        <f>VLOOKUP(K121,'Highway Loading'!$B$283:$E$292,2,FALSE)</f>
        <v>29000000</v>
      </c>
      <c r="Z121" s="181">
        <f>VLOOKUP(K121,'Highway Loading'!$B$283:$E$292,3,FALSE)</f>
        <v>0.3</v>
      </c>
      <c r="AA121" s="181">
        <f>VLOOKUP(K121,'Highway Loading'!$B$283:$E$292,4,FALSE)</f>
        <v>6.4999999999999996E-6</v>
      </c>
      <c r="AB121" s="181">
        <f t="shared" si="97"/>
        <v>1</v>
      </c>
      <c r="AC121" s="181">
        <f>VLOOKUP(N121,'Highway Loading'!$B$256:$D$261,2,FALSE)</f>
        <v>2000</v>
      </c>
      <c r="AD121" s="181">
        <f>VLOOKUP(N121,'Highway Loading'!$B$256:$D$261,3,FALSE)</f>
        <v>20000</v>
      </c>
      <c r="AE121" s="181">
        <f>VLOOKUP(S121,'Highway Loading'!$B$340:$C$341,2,FALSE)</f>
        <v>12000</v>
      </c>
      <c r="AF121" s="181">
        <f t="shared" si="98"/>
        <v>5.1924528301886791E-2</v>
      </c>
      <c r="AG121" s="181">
        <f t="shared" si="99"/>
        <v>1.3913043478260869</v>
      </c>
      <c r="AH121" s="181">
        <f t="shared" si="100"/>
        <v>1.3018867924528301</v>
      </c>
      <c r="AI121" s="181">
        <f t="shared" si="101"/>
        <v>57776.162790697679</v>
      </c>
      <c r="AJ121" s="181">
        <f t="shared" si="102"/>
        <v>46800</v>
      </c>
      <c r="AK121" s="181">
        <f>IF(AC121=200,(INDEX(Tables!$B$17:$B$38,MAX(1,MIN(IFERROR(MATCH(AF121,Tables!$A$17:$A$38,1),1),ROWS(Tables!$A$17:$A$38)-1)))+(AF121-INDEX(Tables!$A$17:$A$38,MAX(1,MIN(IFERROR(MATCH(AF121,Tables!$A$17:$A$38,1),1),ROWS(Tables!$A$17:$A$38)-1))))*(INDEX(Tables!$B$17:$B$38,MAX(1,MIN(IFERROR(MATCH(AF121,Tables!$A$17:$A$38,1),1),ROWS(Tables!$A$17:$A$38)-1))+1)-INDEX(Tables!$B$17:$B$38,MAX(1,MIN(IFERROR(MATCH(AF121,Tables!$A$17:$A$38,1),1),ROWS(Tables!$A$17:$A$38)-1))))/(INDEX(Tables!$A$17:$A$38,MAX(1,MIN(IFERROR(MATCH(AF121,Tables!$A$17:$A$38,1),1),ROWS(Tables!$A$17:$A$38)-1))+1)-INDEX(Tables!$A$17:$A$38,MAX(1,MIN(IFERROR(MATCH(AF121,Tables!$A$17:$A$38,1),1),ROWS(Tables!$A$17:$A$38)-1))))),IF(AC121=500,(INDEX(Tables!$D$17:$D$38,MAX(1,MIN(IFERROR(MATCH(AF121,Tables!$C$17:$C$38,1),1),ROWS(Tables!$C$17:$C$38)-1)))+(AF121-INDEX(Tables!$C$17:$C$38,MAX(1,MIN(IFERROR(MATCH(AF121,Tables!$C$17:$C$38,1),1),ROWS(Tables!$C$17:$C$38)-1))))*(INDEX(Tables!$D$17:$D$38,MAX(1,MIN(IFERROR(MATCH(AF121,Tables!$C$17:$C$38,1),1),ROWS(Tables!$C$17:$C$38)-1))+1)-INDEX(Tables!$D$17:$D$38,MAX(1,MIN(IFERROR(MATCH(AF121,Tables!$C$17:$C$38,1),1),ROWS(Tables!$C$17:$C$38)-1))))/(INDEX(Tables!$C$17:$C$38,MAX(1,MIN(IFERROR(MATCH(AF121,Tables!$C$17:$C$38,1),1),ROWS(Tables!$C$17:$C$38)-1))+1)-INDEX(Tables!$C$17:$C$38,MAX(1,MIN(IFERROR(MATCH(AF121,Tables!$C$17:$C$38,1),1),ROWS(Tables!$C$17:$C$38)-1))))),IF(AC121=1000,(INDEX(Tables!$F$17:$F$38,MAX(1,MIN(IFERROR(MATCH(AF121,Tables!$E$17:$E$38,1),1),ROWS(Tables!$E$17:$E$38)-1)))+(AF121-INDEX(Tables!$E$17:$E$38,MAX(1,MIN(IFERROR(MATCH(AF121,Tables!$E$17:$E$38,1),1),ROWS(Tables!$E$17:$E$38)-1))))*(INDEX(Tables!$F$17:$F$38,MAX(1,MIN(IFERROR(MATCH(AF121,Tables!$E$17:$E$38,1),1),ROWS(Tables!$E$17:$E$38)-1))+1)-INDEX(Tables!$F$17:$F$38,MAX(1,MIN(IFERROR(MATCH(AF121,Tables!$E$17:$E$38,1),1),ROWS(Tables!$E$17:$E$38)-1))))/(INDEX(Tables!$E$17:$E$38,MAX(1,MIN(IFERROR(MATCH(AF121,Tables!$E$17:$E$38,1),1),ROWS(Tables!$E$17:$E$38)-1))+1)-INDEX(Tables!$E$17:$E$38,MAX(1,MIN(IFERROR(MATCH(AF121,Tables!$E$17:$E$38,1),1),ROWS(Tables!$E$17:$E$38)-1))))),(INDEX(Tables!$H$17:$H$38,MAX(1,MIN(IFERROR(MATCH(AF121,Tables!$G$17:$G$38,1),1),ROWS(Tables!$G$17:$G$38)-1)))+(AF121-INDEX(Tables!$G$17:$G$38,MAX(1,MIN(IFERROR(MATCH(AF121,Tables!$G$17:$G$38,1),1),ROWS(Tables!$G$17:$G$38)-1))))*(INDEX(Tables!$H$17:$H$38,MAX(1,MIN(IFERROR(MATCH(AF121,Tables!$G$17:$G$38,1),1),ROWS(Tables!$G$17:$G$38)-1))+1)-INDEX(Tables!$H$17:$H$38,MAX(1,MIN(IFERROR(MATCH(AF121,Tables!$G$17:$G$38,1),1),ROWS(Tables!$G$17:$G$38)-1))))/(INDEX(Tables!$G$17:$G$38,MAX(1,MIN(IFERROR(MATCH(AF121,Tables!$G$17:$G$38,1),1),ROWS(Tables!$G$17:$G$38)-1))+1)-INDEX(Tables!$G$17:$G$38,MAX(1,MIN(IFERROR(MATCH(AF121,Tables!$G$17:$G$38,1),1),ROWS(Tables!$G$17:$G$38)-1))))))))</f>
        <v>434.21132075471701</v>
      </c>
      <c r="AL121" s="181">
        <f>IF(AC121&lt;1000,(INDEX(Tables!$B$43:$B$76,MAX(1,MIN(IFERROR(MATCH(AG121,Tables!$A$43:$A$76,1),1),ROWS(Tables!$A$43:$A$76)-1)))+(AG121-INDEX(Tables!$A$43:$A$76,MAX(1,MIN(IFERROR(MATCH(AG121,Tables!$A$43:$A$76,1),1),ROWS(Tables!$A$43:$A$76)-1))))*(INDEX(Tables!$B$43:$B$76,MAX(1,MIN(IFERROR(MATCH(AG121,Tables!$A$43:$A$76,1),1),ROWS(Tables!$A$43:$A$76)-1))+1)-INDEX(Tables!$B$43:$B$76,MAX(1,MIN(IFERROR(MATCH(AG121,Tables!$A$43:$A$76,1),1),ROWS(Tables!$A$43:$A$76)-1))))/(INDEX(Tables!$A$43:$A$76,MAX(1,MIN(IFERROR(MATCH(AG121,Tables!$A$43:$A$76,1),1),ROWS(Tables!$A$43:$A$76)-1))+1)-INDEX(Tables!$A$43:$A$76,MAX(1,MIN(IFERROR(MATCH(AG121,Tables!$A$43:$A$76,1),1),ROWS(Tables!$A$43:$A$76)-1))))),(INDEX(Tables!$D$43:$D$76,MAX(1,MIN(IFERROR(MATCH(AG121,Tables!$C$43:$C$76,1),1),ROWS(Tables!$C$43:$C$76)-1)))+(AG121-INDEX(Tables!$C$43:$C$76,MAX(1,MIN(IFERROR(MATCH(AG121,Tables!$C$43:$C$76,1),1),ROWS(Tables!$C$43:$C$76)-1))))*(INDEX(Tables!$D$43:$D$76,MAX(1,MIN(IFERROR(MATCH(AG121,Tables!$C$43:$C$76,1),1),ROWS(Tables!$C$43:$C$76)-1))+1)-INDEX(Tables!$D$43:$D$76,MAX(1,MIN(IFERROR(MATCH(AG121,Tables!$C$43:$C$76,1),1),ROWS(Tables!$C$43:$C$76)-1))))/(INDEX(Tables!$C$43:$C$76,MAX(1,MIN(IFERROR(MATCH(AG121,Tables!$C$43:$C$76,1),1),ROWS(Tables!$C$43:$C$76)-1))+1)-INDEX(Tables!$C$43:$C$76,MAX(1,MIN(IFERROR(MATCH(AG121,Tables!$C$43:$C$76,1),1),ROWS(Tables!$C$43:$C$76)-1))))))</f>
        <v>0.44230434782608696</v>
      </c>
      <c r="AM121" s="181">
        <f>(INDEX(Tables!$B$80:$B$87,MAX(1,MIN(IFERROR(MATCH(AH121,Tables!$A$80:$A$87,1),1),ROWS(Tables!$A$80:$A$87)-1)))+(AH121-INDEX(Tables!$A$80:$A$87,MAX(1,MIN(IFERROR(MATCH(AH121,Tables!$A$80:$A$87,1),1),ROWS(Tables!$A$80:$A$87)-1))))*(INDEX(Tables!$B$80:$B$87,MAX(1,MIN(IFERROR(MATCH(AH121,Tables!$A$80:$A$87,1),1),ROWS(Tables!$A$80:$A$87)-1))+1)-INDEX(Tables!$B$80:$B$87,MAX(1,MIN(IFERROR(MATCH(AH121,Tables!$A$80:$A$87,1),1),ROWS(Tables!$A$80:$A$87)-1))))/(INDEX(Tables!$A$80:$A$87,MAX(1,MIN(IFERROR(MATCH(AH121,Tables!$A$80:$A$87,1),1),ROWS(Tables!$A$80:$A$87)-1))+1)-INDEX(Tables!$A$80:$A$87,MAX(1,MIN(IFERROR(MATCH(AH121,Tables!$A$80:$A$87,1),1),ROWS(Tables!$A$80:$A$87)-1)))))</f>
        <v>1.403996226415094</v>
      </c>
      <c r="AN121" s="181">
        <f t="shared" si="103"/>
        <v>124.05425978564566</v>
      </c>
      <c r="AO121" s="181">
        <f>(INDEX(Tables!$B$91:$B$94,MAX(1,MIN(IFERROR(MATCH(P121,Tables!$A$91:$A$94,1),1),ROWS(Tables!$A$91:$A$94)-1)))+(P121-INDEX(Tables!$A$91:$A$94,MAX(1,MIN(IFERROR(MATCH(P121,Tables!$A$91:$A$94,1),1),ROWS(Tables!$A$91:$A$94)-1))))*(INDEX(Tables!$B$91:$B$94,MAX(1,MIN(IFERROR(MATCH(P121,Tables!$A$91:$A$94,1),1),ROWS(Tables!$A$91:$A$94)-1))+1)-INDEX(Tables!$B$91:$B$94,MAX(1,MIN(IFERROR(MATCH(P121,Tables!$A$91:$A$94,1),1),ROWS(Tables!$A$91:$A$94)-1))))/(INDEX(Tables!$A$91:$A$94,MAX(1,MIN(IFERROR(MATCH(P121,Tables!$A$91:$A$94,1),1),ROWS(Tables!$A$91:$A$94)-1))+1)-INDEX(Tables!$A$91:$A$94,MAX(1,MIN(IFERROR(MATCH(P121,Tables!$A$91:$A$94,1),1),ROWS(Tables!$A$91:$A$94)-1)))))</f>
        <v>1.5</v>
      </c>
      <c r="AP121" s="181">
        <f>IF(AD121=5000,(INDEX(Tables!$B$99:$B$118,MAX(1,MIN(IFERROR(MATCH(AF121,Tables!$A$99:$A$118,1),1),ROWS(Tables!$A$99:$A$118)-1)))+(AF121-INDEX(Tables!$A$99:$A$118,MAX(1,MIN(IFERROR(MATCH(AF121,Tables!$A$99:$A$118,1),1),ROWS(Tables!$A$99:$A$118)-1))))*(INDEX(Tables!$B$99:$B$118,MAX(1,MIN(IFERROR(MATCH(AF121,Tables!$A$99:$A$118,1),1),ROWS(Tables!$A$99:$A$118)-1))+1)-INDEX(Tables!$B$99:$B$118,MAX(1,MIN(IFERROR(MATCH(AF121,Tables!$A$99:$A$118,1),1),ROWS(Tables!$A$99:$A$118)-1))))/(INDEX(Tables!$A$99:$A$118,MAX(1,MIN(IFERROR(MATCH(AF121,Tables!$A$99:$A$118,1),1),ROWS(Tables!$A$99:$A$118)-1))+1)-INDEX(Tables!$A$99:$A$118,MAX(1,MIN(IFERROR(MATCH(AF121,Tables!$A$99:$A$118,1),1),ROWS(Tables!$A$99:$A$118)-1))))),IF(AD121=10000,(INDEX(Tables!$D$99:$D$118,MAX(1,MIN(IFERROR(MATCH(AF121,Tables!$C$99:$C$118,1),1),ROWS(Tables!$C$99:$C$118)-1)))+(AF121-INDEX(Tables!$C$99:$C$118,MAX(1,MIN(IFERROR(MATCH(AF121,Tables!$C$99:$C$118,1),1),ROWS(Tables!$C$99:$C$118)-1))))*(INDEX(Tables!$D$99:$D$118,MAX(1,MIN(IFERROR(MATCH(AF121,Tables!$C$99:$C$118,1),1),ROWS(Tables!$C$99:$C$118)-1))+1)-INDEX(Tables!$D$99:$D$118,MAX(1,MIN(IFERROR(MATCH(AF121,Tables!$C$99:$C$118,1),1),ROWS(Tables!$C$99:$C$118)-1))))/(INDEX(Tables!$C$99:$C$118,MAX(1,MIN(IFERROR(MATCH(AF121,Tables!$C$99:$C$118,1),1),ROWS(Tables!$C$99:$C$118)-1))+1)-INDEX(Tables!$C$99:$C$118,MAX(1,MIN(IFERROR(MATCH(AF121,Tables!$C$99:$C$118,1),1),ROWS(Tables!$C$99:$C$118)-1))))),(INDEX(Tables!$F$99:$F$118,MAX(1,MIN(IFERROR(MATCH(AF121,Tables!$E$99:$E$118,1),1),ROWS(Tables!$E$99:$E$118)-1)))+(AF121-INDEX(Tables!$E$99:$E$118,MAX(1,MIN(IFERROR(MATCH(AF121,Tables!$E$99:$E$118,1),1),ROWS(Tables!$E$99:$E$118)-1))))*(INDEX(Tables!$F$99:$F$118,MAX(1,MIN(IFERROR(MATCH(AF121,Tables!$E$99:$E$118,1),1),ROWS(Tables!$E$99:$E$118)-1))+1)-INDEX(Tables!$F$99:$F$118,MAX(1,MIN(IFERROR(MATCH(AF121,Tables!$E$99:$E$118,1),1),ROWS(Tables!$E$99:$E$118)-1))))/(INDEX(Tables!$E$99:$E$118,MAX(1,MIN(IFERROR(MATCH(AF121,Tables!$E$99:$E$118,1),1),ROWS(Tables!$E$99:$E$118)-1))+1)-INDEX(Tables!$E$99:$E$118,MAX(1,MIN(IFERROR(MATCH(AF121,Tables!$E$99:$E$118,1),1),ROWS(Tables!$E$99:$E$118)-1)))))))</f>
        <v>4.4737601746452516</v>
      </c>
      <c r="AQ121" s="181">
        <f>IF(P121&lt;6,(INDEX(Tables!$B$123:$B$138,MAX(1,MIN(IFERROR(MATCH(U121,Tables!$A$123:$A$138,1),1),ROWS(Tables!$A$123:$A$138)-1)))+(U121-INDEX(Tables!$A$123:$A$138,MAX(1,MIN(IFERROR(MATCH(U121,Tables!$A$123:$A$138,1),1),ROWS(Tables!$A$123:$A$138)-1))))*(INDEX(Tables!$B$123:$B$138,MAX(1,MIN(IFERROR(MATCH(U121,Tables!$A$123:$A$138,1),1),ROWS(Tables!$A$123:$A$138)-1))+1)-INDEX(Tables!$B$123:$B$138,MAX(1,MIN(IFERROR(MATCH(U121,Tables!$A$123:$A$138,1),1),ROWS(Tables!$A$123:$A$138)-1))))/(INDEX(Tables!$A$123:$A$138,MAX(1,MIN(IFERROR(MATCH(U121,Tables!$A$123:$A$138,1),1),ROWS(Tables!$A$123:$A$138)-1))+1)-INDEX(Tables!$A$123:$A$138,MAX(1,MIN(IFERROR(MATCH(U121,Tables!$A$123:$A$138,1),1),ROWS(Tables!$A$123:$A$138)-1))))),IF(P121&lt;8,(INDEX(Tables!$D$123:$D$138,MAX(1,MIN(IFERROR(MATCH(U121,Tables!$C$123:$C$138,1),1),ROWS(Tables!$C$123:$C$138)-1)))+(U121-INDEX(Tables!$C$123:$C$138,MAX(1,MIN(IFERROR(MATCH(U121,Tables!$C$123:$C$138,1),1),ROWS(Tables!$C$123:$C$138)-1))))*(INDEX(Tables!$D$123:$D$138,MAX(1,MIN(IFERROR(MATCH(U121,Tables!$C$123:$C$138,1),1),ROWS(Tables!$C$123:$C$138)-1))+1)-INDEX(Tables!$D$123:$D$138,MAX(1,MIN(IFERROR(MATCH(U121,Tables!$C$123:$C$138,1),1),ROWS(Tables!$C$123:$C$138)-1))))/(INDEX(Tables!$C$123:$C$138,MAX(1,MIN(IFERROR(MATCH(U121,Tables!$C$123:$C$138,1),1),ROWS(Tables!$C$123:$C$138)-1))+1)-INDEX(Tables!$C$123:$C$138,MAX(1,MIN(IFERROR(MATCH(U121,Tables!$C$123:$C$138,1),1),ROWS(Tables!$C$123:$C$138)-1))))),IF(P121&lt;10,(INDEX(Tables!$F$123:$F$138,MAX(1,MIN(IFERROR(MATCH(U121,Tables!$E$123:$E$138,1),1),ROWS(Tables!$E$123:$E$138)-1)))+(U121-INDEX(Tables!$E$123:$E$138,MAX(1,MIN(IFERROR(MATCH(U121,Tables!$E$123:$E$138,1),1),ROWS(Tables!$E$123:$E$138)-1))))*(INDEX(Tables!$F$123:$F$138,MAX(1,MIN(IFERROR(MATCH(U121,Tables!$E$123:$E$138,1),1),ROWS(Tables!$E$123:$E$138)-1))+1)-INDEX(Tables!$F$123:$F$138,MAX(1,MIN(IFERROR(MATCH(U121,Tables!$E$123:$E$138,1),1),ROWS(Tables!$E$123:$E$138)-1))))/(INDEX(Tables!$E$123:$E$138,MAX(1,MIN(IFERROR(MATCH(U121,Tables!$E$123:$E$138,1),1),ROWS(Tables!$E$123:$E$138)-1))+1)-INDEX(Tables!$E$123:$E$138,MAX(1,MIN(IFERROR(MATCH(U121,Tables!$E$123:$E$138,1),1),ROWS(Tables!$E$123:$E$138)-1))))),(INDEX(Tables!$H$123:$H$138,MAX(1,MIN(IFERROR(MATCH(U121,Tables!$G$123:$G$138,1),1),ROWS(Tables!$G$123:$G$138)-1)))+(U121-INDEX(Tables!$G$123:$G$138,MAX(1,MIN(IFERROR(MATCH(U121,Tables!$G$123:$G$138,1),1),ROWS(Tables!$G$123:$G$138)-1))))*(INDEX(Tables!$H$123:$H$138,MAX(1,MIN(IFERROR(MATCH(U121,Tables!$G$123:$G$138,1),1),ROWS(Tables!$G$123:$G$138)-1))+1)-INDEX(Tables!$H$123:$H$138,MAX(1,MIN(IFERROR(MATCH(U121,Tables!$G$123:$G$138,1),1),ROWS(Tables!$G$123:$G$138)-1))))/(INDEX(Tables!$G$123:$G$138,MAX(1,MIN(IFERROR(MATCH(U121,Tables!$G$123:$G$138,1),1),ROWS(Tables!$G$123:$G$138)-1))+1)-INDEX(Tables!$G$123:$G$138,MAX(1,MIN(IFERROR(MATCH(U121,Tables!$G$123:$G$138,1),1),ROWS(Tables!$G$123:$G$138)-1))))))))</f>
        <v>1.4501250000000001</v>
      </c>
      <c r="AR121" s="181">
        <f>IF(OR(P121&gt;=4,U121&gt;12),VLOOKUP(R121&amp;" "&amp;S121,Tables!$D$143:$F$148,2,FALSE),VLOOKUP(R121&amp;" "&amp;S121,Tables!$A$143:$C$148,2,FALSE))</f>
        <v>1.2</v>
      </c>
      <c r="AS121" s="181">
        <f>IF(OR(P121&gt;=4,U121&gt;12),VLOOKUP(R121&amp;" "&amp;S121,Tables!$D$143:$F$148,3,FALSE),VLOOKUP(R121&amp;" "&amp;S121,Tables!$A$143:$C$148,3,FALSE))</f>
        <v>0.8</v>
      </c>
      <c r="AT121" s="181">
        <f t="shared" si="104"/>
        <v>778.50137679089357</v>
      </c>
      <c r="AU121" s="181">
        <f>IF(AD121=5000,(INDEX(Tables!$B$244:$B$263,MAX(1,MIN(IFERROR(MATCH(AF121,Tables!$A$244:$A$263,1),1),ROWS(Tables!$A$244:$A$263)-1)))+(AF121-INDEX(Tables!$A$244:$A$263,MAX(1,MIN(IFERROR(MATCH(AF121,Tables!$A$244:$A$263,1),1),ROWS(Tables!$A$244:$A$263)-1))))*(INDEX(Tables!$B$244:$B$263,MAX(1,MIN(IFERROR(MATCH(AF121,Tables!$A$244:$A$263,1),1),ROWS(Tables!$A$244:$A$263)-1))+1)-INDEX(Tables!$B$244:$B$263,MAX(1,MIN(IFERROR(MATCH(AF121,Tables!$A$244:$A$263,1),1),ROWS(Tables!$A$244:$A$263)-1))))/(INDEX(Tables!$A$244:$A$263,MAX(1,MIN(IFERROR(MATCH(AF121,Tables!$A$244:$A$263,1),1),ROWS(Tables!$A$244:$A$263)-1))+1)-INDEX(Tables!$A$244:$A$263,MAX(1,MIN(IFERROR(MATCH(AF121,Tables!$A$244:$A$263,1),1),ROWS(Tables!$A$244:$A$263)-1))))),IF(AD121=10000,(INDEX(Tables!$D$244:$D$263,MAX(1,MIN(IFERROR(MATCH(AF121,Tables!$C$244:$C$263,1),1),ROWS(Tables!$C$244:$C$263)-1)))+(AF121-INDEX(Tables!$C$244:$C$263,MAX(1,MIN(IFERROR(MATCH(AF121,Tables!$C$244:$C$263,1),1),ROWS(Tables!$C$244:$C$263)-1))))*(INDEX(Tables!$D$244:$D$263,MAX(1,MIN(IFERROR(MATCH(AF121,Tables!$C$244:$C$263,1),1),ROWS(Tables!$C$244:$C$263)-1))+1)-INDEX(Tables!$D$244:$D$263,MAX(1,MIN(IFERROR(MATCH(AF121,Tables!$C$244:$C$263,1),1),ROWS(Tables!$C$244:$C$263)-1))))/(INDEX(Tables!$C$244:$C$263,MAX(1,MIN(IFERROR(MATCH(AF121,Tables!$C$244:$C$263,1),1),ROWS(Tables!$C$244:$C$263)-1))+1)-INDEX(Tables!$C$244:$C$263,MAX(1,MIN(IFERROR(MATCH(AF121,Tables!$C$244:$C$263,1),1),ROWS(Tables!$C$244:$C$263)-1))))),(INDEX(Tables!$F$244:$F$263,MAX(1,MIN(IFERROR(MATCH(AF121,Tables!$E$244:$E$263,1),1),ROWS(Tables!$E$244:$E$263)-1)))+(AF121-INDEX(Tables!$E$244:$E$263,MAX(1,MIN(IFERROR(MATCH(AF121,Tables!$E$244:$E$263,1),1),ROWS(Tables!$E$244:$E$263)-1))))*(INDEX(Tables!$F$244:$F$263,MAX(1,MIN(IFERROR(MATCH(AF121,Tables!$E$244:$E$263,1),1),ROWS(Tables!$E$244:$E$263)-1))+1)-INDEX(Tables!$F$244:$F$263,MAX(1,MIN(IFERROR(MATCH(AF121,Tables!$E$244:$E$263,1),1),ROWS(Tables!$E$244:$E$263)-1))))/(INDEX(Tables!$E$244:$E$263,MAX(1,MIN(IFERROR(MATCH(AF121,Tables!$E$244:$E$263,1),1),ROWS(Tables!$E$244:$E$263)-1))+1)-INDEX(Tables!$E$244:$E$263,MAX(1,MIN(IFERROR(MATCH(AF121,Tables!$E$244:$E$263,1),1),ROWS(Tables!$E$244:$E$263)-1)))))))</f>
        <v>3.8508792452830192</v>
      </c>
      <c r="AV121" s="181">
        <f>IF(P121&lt;6,(INDEX(Tables!$B$260:$B$274,MAX(1,MIN(IFERROR(MATCH(U121,Tables!$A$260:$A$274,1),1),ROWS(Tables!$A$260:$A$274)-1)))+(U121-INDEX(Tables!$A$260:$A$274,MAX(1,MIN(IFERROR(MATCH(U121,Tables!$A$260:$A$274,1),1),ROWS(Tables!$A$260:$A$274)-1))))*(INDEX(Tables!$B$260:$B$274,MAX(1,MIN(IFERROR(MATCH(U121,Tables!$A$260:$A$274,1),1),ROWS(Tables!$A$260:$A$274)-1))+1)-INDEX(Tables!$B$260:$B$274,MAX(1,MIN(IFERROR(MATCH(U121,Tables!$A$260:$A$274,1),1),ROWS(Tables!$A$260:$A$274)-1))))/(INDEX(Tables!$A$260:$A$274,MAX(1,MIN(IFERROR(MATCH(U121,Tables!$A$260:$A$274,1),1),ROWS(Tables!$A$260:$A$274)-1))+1)-INDEX(Tables!$A$260:$A$274,MAX(1,MIN(IFERROR(MATCH(U121,Tables!$A$260:$A$274,1),1),ROWS(Tables!$A$260:$A$274)-1))))),IF(P121&lt;8,(INDEX(Tables!$D$260:$D$274,MAX(1,MIN(IFERROR(MATCH(U121,Tables!$C$260:$C$274,1),1),ROWS(Tables!$C$260:$C$274)-1)))+(U121-INDEX(Tables!$C$260:$C$274,MAX(1,MIN(IFERROR(MATCH(U121,Tables!$C$260:$C$274,1),1),ROWS(Tables!$C$260:$C$274)-1))))*(INDEX(Tables!$D$260:$D$274,MAX(1,MIN(IFERROR(MATCH(U121,Tables!$C$260:$C$274,1),1),ROWS(Tables!$C$260:$C$274)-1))+1)-INDEX(Tables!$D$260:$D$274,MAX(1,MIN(IFERROR(MATCH(U121,Tables!$C$260:$C$274,1),1),ROWS(Tables!$C$260:$C$274)-1))))/(INDEX(Tables!$C$260:$C$274,MAX(1,MIN(IFERROR(MATCH(U121,Tables!$C$260:$C$274,1),1),ROWS(Tables!$C$260:$C$274)-1))+1)-INDEX(Tables!$C$260:$C$274,MAX(1,MIN(IFERROR(MATCH(U121,Tables!$C$260:$C$274,1),1),ROWS(Tables!$C$260:$C$274)-1))))),IF(P121&lt;10,(INDEX(Tables!$F$260:$F$274,MAX(1,MIN(IFERROR(MATCH(U121,Tables!$E$260:$E$274,1),1),ROWS(Tables!$E$260:$E$274)-1)))+(U121-INDEX(Tables!$E$260:$E$274,MAX(1,MIN(IFERROR(MATCH(U121,Tables!$E$260:$E$274,1),1),ROWS(Tables!$E$260:$E$274)-1))))*(INDEX(Tables!$F$260:$F$274,MAX(1,MIN(IFERROR(MATCH(U121,Tables!$E$260:$E$274,1),1),ROWS(Tables!$E$260:$E$274)-1))+1)-INDEX(Tables!$F$260:$F$274,MAX(1,MIN(IFERROR(MATCH(U121,Tables!$E$260:$E$274,1),1),ROWS(Tables!$E$260:$E$274)-1))))/(INDEX(Tables!$E$260:$E$274,MAX(1,MIN(IFERROR(MATCH(U121,Tables!$E$260:$E$274,1),1),ROWS(Tables!$E$260:$E$274)-1))+1)-INDEX(Tables!$E$260:$E$274,MAX(1,MIN(IFERROR(MATCH(U121,Tables!$E$260:$E$274,1),1),ROWS(Tables!$E$260:$E$274)-1))))),(INDEX(Tables!$H$260:$H$274,MAX(1,MIN(IFERROR(MATCH(U121,Tables!$G$260:$G$274,1),1),ROWS(Tables!$G$260:$G$274)-1)))+(U121-INDEX(Tables!$G$260:$G$274,MAX(1,MIN(IFERROR(MATCH(U121,Tables!$G$260:$G$274,1),1),ROWS(Tables!$G$260:$G$274)-1))))*(INDEX(Tables!$H$260:$H$274,MAX(1,MIN(IFERROR(MATCH(U121,Tables!$G$260:$G$274,1),1),ROWS(Tables!$G$260:$G$274)-1))+1)-INDEX(Tables!$H$260:$H$274,MAX(1,MIN(IFERROR(MATCH(U121,Tables!$G$260:$G$274,1),1),ROWS(Tables!$G$260:$G$274)-1))))/(INDEX(Tables!$G$260:$G$274,MAX(1,MIN(IFERROR(MATCH(U121,Tables!$G$260:$G$274,1),1),ROWS(Tables!$G$260:$G$274)-1))+1)-INDEX(Tables!$G$260:$G$274,MAX(1,MIN(IFERROR(MATCH(U121,Tables!$G$260:$G$274,1),1),ROWS(Tables!$G$260:$G$274)-1))))))))</f>
        <v>1.4965000000000002</v>
      </c>
      <c r="AW121" s="181">
        <f t="shared" si="105"/>
        <v>691.54089486792475</v>
      </c>
      <c r="AX121" s="181">
        <f t="shared" si="106"/>
        <v>54776.162790697679</v>
      </c>
      <c r="AY121" s="181">
        <f t="shared" si="107"/>
        <v>55678.718427274216</v>
      </c>
      <c r="AZ121" s="181">
        <f t="shared" si="108"/>
        <v>17161.606010012922</v>
      </c>
      <c r="BA121" s="181">
        <f t="shared" si="109"/>
        <v>-6000</v>
      </c>
      <c r="BB121" s="181">
        <f t="shared" si="110"/>
        <v>53964.304168394432</v>
      </c>
      <c r="BC121" s="181">
        <f t="shared" si="111"/>
        <v>46800</v>
      </c>
      <c r="BD121" s="181">
        <f>VLOOKUP(V121&amp;" "&amp;J121,Tables!$A$152:$E$239,4,FALSE)</f>
        <v>12000</v>
      </c>
      <c r="BE121" s="181">
        <f>VLOOKUP(V121&amp;" "&amp;J121,Tables!$A$152:$E$239,5,FALSE)</f>
        <v>23000</v>
      </c>
      <c r="BF121" s="181">
        <f t="shared" si="112"/>
        <v>8640</v>
      </c>
      <c r="BG121" s="181">
        <f t="shared" si="113"/>
        <v>16560</v>
      </c>
      <c r="BH121" s="181">
        <f t="shared" si="114"/>
        <v>57776.162790697679</v>
      </c>
      <c r="BI121" s="181">
        <f t="shared" si="115"/>
        <v>46800</v>
      </c>
      <c r="BJ121" s="181">
        <f t="shared" si="116"/>
        <v>53964.304168394432</v>
      </c>
      <c r="BK121" s="181">
        <f t="shared" si="117"/>
        <v>46800</v>
      </c>
      <c r="BL121" s="181">
        <f t="shared" si="118"/>
        <v>691.54089486792475</v>
      </c>
      <c r="BM121" s="181">
        <f t="shared" si="119"/>
        <v>8640</v>
      </c>
      <c r="BN121" s="181">
        <f t="shared" si="120"/>
        <v>778.50137679089357</v>
      </c>
      <c r="BO121" s="181">
        <f t="shared" si="121"/>
        <v>16560</v>
      </c>
      <c r="BP121" t="str">
        <f t="shared" si="122"/>
        <v>Fail</v>
      </c>
      <c r="BQ121" t="str">
        <f t="shared" si="123"/>
        <v>Fail</v>
      </c>
      <c r="BR121" t="str">
        <f t="shared" si="124"/>
        <v>Pass</v>
      </c>
      <c r="BS121" t="str">
        <f t="shared" si="125"/>
        <v>Pass</v>
      </c>
      <c r="BT121" t="str">
        <f t="shared" si="126"/>
        <v>Fail</v>
      </c>
      <c r="BU121" t="str">
        <f t="shared" si="127"/>
        <v>Barlow Stress</v>
      </c>
    </row>
    <row r="122" spans="1:73">
      <c r="A122" t="s">
        <v>714</v>
      </c>
      <c r="B122" s="181">
        <v>120</v>
      </c>
      <c r="C122" t="s">
        <v>594</v>
      </c>
      <c r="D122" s="181">
        <v>8</v>
      </c>
      <c r="E122" s="181">
        <v>0.375</v>
      </c>
      <c r="F122" t="s">
        <v>117</v>
      </c>
      <c r="G122" t="s">
        <v>119</v>
      </c>
      <c r="H122" t="s">
        <v>122</v>
      </c>
      <c r="I122" s="181">
        <v>1</v>
      </c>
      <c r="J122" t="s">
        <v>126</v>
      </c>
      <c r="K122" t="s">
        <v>129</v>
      </c>
      <c r="L122" s="181">
        <v>70</v>
      </c>
      <c r="M122" s="181">
        <v>-14.73</v>
      </c>
      <c r="N122" t="s">
        <v>388</v>
      </c>
      <c r="O122" s="181">
        <v>120</v>
      </c>
      <c r="P122" s="181">
        <v>3</v>
      </c>
      <c r="Q122" s="181">
        <v>10.625</v>
      </c>
      <c r="R122" t="s">
        <v>417</v>
      </c>
      <c r="S122" t="s">
        <v>420</v>
      </c>
      <c r="T122" s="181">
        <v>70</v>
      </c>
      <c r="U122" s="181">
        <f>HLOOKUP(D122,'Highway Loading'!$C$155:$AD$156,2,FALSE)</f>
        <v>8.625</v>
      </c>
      <c r="V122" s="181">
        <f>IF(ISBLANK(G122),"",INDEX('Highway Loading'!$C$216:$AG$216,1,MATCH(G122,'Highway Loading'!$C$215:$AG$215,0)))</f>
        <v>65000</v>
      </c>
      <c r="W122" s="181">
        <f>INDEX('Highway Loading'!$I$245:$L$253,MATCH(H122,'Highway Loading'!$H$245:$H$253,0),MATCH(I122,'Highway Loading'!$I$244:$L$244,0))</f>
        <v>0.72</v>
      </c>
      <c r="X122" s="181">
        <f t="shared" si="96"/>
        <v>1</v>
      </c>
      <c r="Y122" s="181">
        <f>VLOOKUP(K122,'Highway Loading'!$B$283:$E$292,2,FALSE)</f>
        <v>29000000</v>
      </c>
      <c r="Z122" s="181">
        <f>VLOOKUP(K122,'Highway Loading'!$B$283:$E$292,3,FALSE)</f>
        <v>0.3</v>
      </c>
      <c r="AA122" s="181">
        <f>VLOOKUP(K122,'Highway Loading'!$B$283:$E$292,4,FALSE)</f>
        <v>6.4999999999999996E-6</v>
      </c>
      <c r="AB122" s="181">
        <f t="shared" si="97"/>
        <v>1</v>
      </c>
      <c r="AC122" s="181">
        <f>VLOOKUP(N122,'Highway Loading'!$B$256:$D$261,2,FALSE)</f>
        <v>200</v>
      </c>
      <c r="AD122" s="181">
        <f>VLOOKUP(N122,'Highway Loading'!$B$256:$D$261,3,FALSE)</f>
        <v>5000</v>
      </c>
      <c r="AE122" s="181">
        <f>VLOOKUP(S122,'Highway Loading'!$B$340:$C$341,2,FALSE)</f>
        <v>12000</v>
      </c>
      <c r="AF122" s="181">
        <f t="shared" si="98"/>
        <v>4.3478260869565216E-2</v>
      </c>
      <c r="AG122" s="181">
        <f t="shared" si="99"/>
        <v>3.388235294117647</v>
      </c>
      <c r="AH122" s="181">
        <f t="shared" si="100"/>
        <v>1.2318840579710144</v>
      </c>
      <c r="AI122" s="181">
        <f t="shared" si="101"/>
        <v>-169.39500000000001</v>
      </c>
      <c r="AJ122" s="181">
        <f t="shared" si="102"/>
        <v>46800</v>
      </c>
      <c r="AK122" s="181">
        <f>IF(AC122=200,(INDEX(Tables!$B$17:$B$38,MAX(1,MIN(IFERROR(MATCH(AF122,Tables!$A$17:$A$38,1),1),ROWS(Tables!$A$17:$A$38)-1)))+(AF122-INDEX(Tables!$A$17:$A$38,MAX(1,MIN(IFERROR(MATCH(AF122,Tables!$A$17:$A$38,1),1),ROWS(Tables!$A$17:$A$38)-1))))*(INDEX(Tables!$B$17:$B$38,MAX(1,MIN(IFERROR(MATCH(AF122,Tables!$A$17:$A$38,1),1),ROWS(Tables!$A$17:$A$38)-1))+1)-INDEX(Tables!$B$17:$B$38,MAX(1,MIN(IFERROR(MATCH(AF122,Tables!$A$17:$A$38,1),1),ROWS(Tables!$A$17:$A$38)-1))))/(INDEX(Tables!$A$17:$A$38,MAX(1,MIN(IFERROR(MATCH(AF122,Tables!$A$17:$A$38,1),1),ROWS(Tables!$A$17:$A$38)-1))+1)-INDEX(Tables!$A$17:$A$38,MAX(1,MIN(IFERROR(MATCH(AF122,Tables!$A$17:$A$38,1),1),ROWS(Tables!$A$17:$A$38)-1))))),IF(AC122=500,(INDEX(Tables!$D$17:$D$38,MAX(1,MIN(IFERROR(MATCH(AF122,Tables!$C$17:$C$38,1),1),ROWS(Tables!$C$17:$C$38)-1)))+(AF122-INDEX(Tables!$C$17:$C$38,MAX(1,MIN(IFERROR(MATCH(AF122,Tables!$C$17:$C$38,1),1),ROWS(Tables!$C$17:$C$38)-1))))*(INDEX(Tables!$D$17:$D$38,MAX(1,MIN(IFERROR(MATCH(AF122,Tables!$C$17:$C$38,1),1),ROWS(Tables!$C$17:$C$38)-1))+1)-INDEX(Tables!$D$17:$D$38,MAX(1,MIN(IFERROR(MATCH(AF122,Tables!$C$17:$C$38,1),1),ROWS(Tables!$C$17:$C$38)-1))))/(INDEX(Tables!$C$17:$C$38,MAX(1,MIN(IFERROR(MATCH(AF122,Tables!$C$17:$C$38,1),1),ROWS(Tables!$C$17:$C$38)-1))+1)-INDEX(Tables!$C$17:$C$38,MAX(1,MIN(IFERROR(MATCH(AF122,Tables!$C$17:$C$38,1),1),ROWS(Tables!$C$17:$C$38)-1))))),IF(AC122=1000,(INDEX(Tables!$F$17:$F$38,MAX(1,MIN(IFERROR(MATCH(AF122,Tables!$E$17:$E$38,1),1),ROWS(Tables!$E$17:$E$38)-1)))+(AF122-INDEX(Tables!$E$17:$E$38,MAX(1,MIN(IFERROR(MATCH(AF122,Tables!$E$17:$E$38,1),1),ROWS(Tables!$E$17:$E$38)-1))))*(INDEX(Tables!$F$17:$F$38,MAX(1,MIN(IFERROR(MATCH(AF122,Tables!$E$17:$E$38,1),1),ROWS(Tables!$E$17:$E$38)-1))+1)-INDEX(Tables!$F$17:$F$38,MAX(1,MIN(IFERROR(MATCH(AF122,Tables!$E$17:$E$38,1),1),ROWS(Tables!$E$17:$E$38)-1))))/(INDEX(Tables!$E$17:$E$38,MAX(1,MIN(IFERROR(MATCH(AF122,Tables!$E$17:$E$38,1),1),ROWS(Tables!$E$17:$E$38)-1))+1)-INDEX(Tables!$E$17:$E$38,MAX(1,MIN(IFERROR(MATCH(AF122,Tables!$E$17:$E$38,1),1),ROWS(Tables!$E$17:$E$38)-1))))),(INDEX(Tables!$H$17:$H$38,MAX(1,MIN(IFERROR(MATCH(AF122,Tables!$G$17:$G$38,1),1),ROWS(Tables!$G$17:$G$38)-1)))+(AF122-INDEX(Tables!$G$17:$G$38,MAX(1,MIN(IFERROR(MATCH(AF122,Tables!$G$17:$G$38,1),1),ROWS(Tables!$G$17:$G$38)-1))))*(INDEX(Tables!$H$17:$H$38,MAX(1,MIN(IFERROR(MATCH(AF122,Tables!$G$17:$G$38,1),1),ROWS(Tables!$G$17:$G$38)-1))+1)-INDEX(Tables!$H$17:$H$38,MAX(1,MIN(IFERROR(MATCH(AF122,Tables!$G$17:$G$38,1),1),ROWS(Tables!$G$17:$G$38)-1))))/(INDEX(Tables!$G$17:$G$38,MAX(1,MIN(IFERROR(MATCH(AF122,Tables!$G$17:$G$38,1),1),ROWS(Tables!$G$17:$G$38)-1))+1)-INDEX(Tables!$G$17:$G$38,MAX(1,MIN(IFERROR(MATCH(AF122,Tables!$G$17:$G$38,1),1),ROWS(Tables!$G$17:$G$38)-1))))))))</f>
        <v>560.60869565217388</v>
      </c>
      <c r="AL122" s="181">
        <f>IF(AC122&lt;1000,(INDEX(Tables!$B$43:$B$76,MAX(1,MIN(IFERROR(MATCH(AG122,Tables!$A$43:$A$76,1),1),ROWS(Tables!$A$43:$A$76)-1)))+(AG122-INDEX(Tables!$A$43:$A$76,MAX(1,MIN(IFERROR(MATCH(AG122,Tables!$A$43:$A$76,1),1),ROWS(Tables!$A$43:$A$76)-1))))*(INDEX(Tables!$B$43:$B$76,MAX(1,MIN(IFERROR(MATCH(AG122,Tables!$A$43:$A$76,1),1),ROWS(Tables!$A$43:$A$76)-1))+1)-INDEX(Tables!$B$43:$B$76,MAX(1,MIN(IFERROR(MATCH(AG122,Tables!$A$43:$A$76,1),1),ROWS(Tables!$A$43:$A$76)-1))))/(INDEX(Tables!$A$43:$A$76,MAX(1,MIN(IFERROR(MATCH(AG122,Tables!$A$43:$A$76,1),1),ROWS(Tables!$A$43:$A$76)-1))+1)-INDEX(Tables!$A$43:$A$76,MAX(1,MIN(IFERROR(MATCH(AG122,Tables!$A$43:$A$76,1),1),ROWS(Tables!$A$43:$A$76)-1))))),(INDEX(Tables!$D$43:$D$76,MAX(1,MIN(IFERROR(MATCH(AG122,Tables!$C$43:$C$76,1),1),ROWS(Tables!$C$43:$C$76)-1)))+(AG122-INDEX(Tables!$C$43:$C$76,MAX(1,MIN(IFERROR(MATCH(AG122,Tables!$C$43:$C$76,1),1),ROWS(Tables!$C$43:$C$76)-1))))*(INDEX(Tables!$D$43:$D$76,MAX(1,MIN(IFERROR(MATCH(AG122,Tables!$C$43:$C$76,1),1),ROWS(Tables!$C$43:$C$76)-1))+1)-INDEX(Tables!$D$43:$D$76,MAX(1,MIN(IFERROR(MATCH(AG122,Tables!$C$43:$C$76,1),1),ROWS(Tables!$C$43:$C$76)-1))))/(INDEX(Tables!$C$43:$C$76,MAX(1,MIN(IFERROR(MATCH(AG122,Tables!$C$43:$C$76,1),1),ROWS(Tables!$C$43:$C$76)-1))+1)-INDEX(Tables!$C$43:$C$76,MAX(1,MIN(IFERROR(MATCH(AG122,Tables!$C$43:$C$76,1),1),ROWS(Tables!$C$43:$C$76)-1))))))</f>
        <v>0.89796470588235289</v>
      </c>
      <c r="AM122" s="181">
        <f>(INDEX(Tables!$B$80:$B$87,MAX(1,MIN(IFERROR(MATCH(AH122,Tables!$A$80:$A$87,1),1),ROWS(Tables!$A$80:$A$87)-1)))+(AH122-INDEX(Tables!$A$80:$A$87,MAX(1,MIN(IFERROR(MATCH(AH122,Tables!$A$80:$A$87,1),1),ROWS(Tables!$A$80:$A$87)-1))))*(INDEX(Tables!$B$80:$B$87,MAX(1,MIN(IFERROR(MATCH(AH122,Tables!$A$80:$A$87,1),1),ROWS(Tables!$A$80:$A$87)-1))+1)-INDEX(Tables!$B$80:$B$87,MAX(1,MIN(IFERROR(MATCH(AH122,Tables!$A$80:$A$87,1),1),ROWS(Tables!$A$80:$A$87)-1))))/(INDEX(Tables!$A$80:$A$87,MAX(1,MIN(IFERROR(MATCH(AH122,Tables!$A$80:$A$87,1),1),ROWS(Tables!$A$80:$A$87)-1))+1)-INDEX(Tables!$A$80:$A$87,MAX(1,MIN(IFERROR(MATCH(AH122,Tables!$A$80:$A$87,1),1),ROWS(Tables!$A$80:$A$87)-1)))))</f>
        <v>1.2567086956521738</v>
      </c>
      <c r="AN122" s="181">
        <f t="shared" si="103"/>
        <v>378.92244322321761</v>
      </c>
      <c r="AO122" s="181">
        <f>(INDEX(Tables!$B$91:$B$94,MAX(1,MIN(IFERROR(MATCH(P122,Tables!$A$91:$A$94,1),1),ROWS(Tables!$A$91:$A$94)-1)))+(P122-INDEX(Tables!$A$91:$A$94,MAX(1,MIN(IFERROR(MATCH(P122,Tables!$A$91:$A$94,1),1),ROWS(Tables!$A$91:$A$94)-1))))*(INDEX(Tables!$B$91:$B$94,MAX(1,MIN(IFERROR(MATCH(P122,Tables!$A$91:$A$94,1),1),ROWS(Tables!$A$91:$A$94)-1))+1)-INDEX(Tables!$B$91:$B$94,MAX(1,MIN(IFERROR(MATCH(P122,Tables!$A$91:$A$94,1),1),ROWS(Tables!$A$91:$A$94)-1))))/(INDEX(Tables!$A$91:$A$94,MAX(1,MIN(IFERROR(MATCH(P122,Tables!$A$91:$A$94,1),1),ROWS(Tables!$A$91:$A$94)-1))+1)-INDEX(Tables!$A$91:$A$94,MAX(1,MIN(IFERROR(MATCH(P122,Tables!$A$91:$A$94,1),1),ROWS(Tables!$A$91:$A$94)-1)))))</f>
        <v>1.5</v>
      </c>
      <c r="AP122" s="181">
        <f>IF(AD122=5000,(INDEX(Tables!$B$99:$B$118,MAX(1,MIN(IFERROR(MATCH(AF122,Tables!$A$99:$A$118,1),1),ROWS(Tables!$A$99:$A$118)-1)))+(AF122-INDEX(Tables!$A$99:$A$118,MAX(1,MIN(IFERROR(MATCH(AF122,Tables!$A$99:$A$118,1),1),ROWS(Tables!$A$99:$A$118)-1))))*(INDEX(Tables!$B$99:$B$118,MAX(1,MIN(IFERROR(MATCH(AF122,Tables!$A$99:$A$118,1),1),ROWS(Tables!$A$99:$A$118)-1))+1)-INDEX(Tables!$B$99:$B$118,MAX(1,MIN(IFERROR(MATCH(AF122,Tables!$A$99:$A$118,1),1),ROWS(Tables!$A$99:$A$118)-1))))/(INDEX(Tables!$A$99:$A$118,MAX(1,MIN(IFERROR(MATCH(AF122,Tables!$A$99:$A$118,1),1),ROWS(Tables!$A$99:$A$118)-1))+1)-INDEX(Tables!$A$99:$A$118,MAX(1,MIN(IFERROR(MATCH(AF122,Tables!$A$99:$A$118,1),1),ROWS(Tables!$A$99:$A$118)-1))))),IF(AD122=10000,(INDEX(Tables!$D$99:$D$118,MAX(1,MIN(IFERROR(MATCH(AF122,Tables!$C$99:$C$118,1),1),ROWS(Tables!$C$99:$C$118)-1)))+(AF122-INDEX(Tables!$C$99:$C$118,MAX(1,MIN(IFERROR(MATCH(AF122,Tables!$C$99:$C$118,1),1),ROWS(Tables!$C$99:$C$118)-1))))*(INDEX(Tables!$D$99:$D$118,MAX(1,MIN(IFERROR(MATCH(AF122,Tables!$C$99:$C$118,1),1),ROWS(Tables!$C$99:$C$118)-1))+1)-INDEX(Tables!$D$99:$D$118,MAX(1,MIN(IFERROR(MATCH(AF122,Tables!$C$99:$C$118,1),1),ROWS(Tables!$C$99:$C$118)-1))))/(INDEX(Tables!$C$99:$C$118,MAX(1,MIN(IFERROR(MATCH(AF122,Tables!$C$99:$C$118,1),1),ROWS(Tables!$C$99:$C$118)-1))+1)-INDEX(Tables!$C$99:$C$118,MAX(1,MIN(IFERROR(MATCH(AF122,Tables!$C$99:$C$118,1),1),ROWS(Tables!$C$99:$C$118)-1))))),(INDEX(Tables!$F$99:$F$118,MAX(1,MIN(IFERROR(MATCH(AF122,Tables!$E$99:$E$118,1),1),ROWS(Tables!$E$99:$E$118)-1)))+(AF122-INDEX(Tables!$E$99:$E$118,MAX(1,MIN(IFERROR(MATCH(AF122,Tables!$E$99:$E$118,1),1),ROWS(Tables!$E$99:$E$118)-1))))*(INDEX(Tables!$F$99:$F$118,MAX(1,MIN(IFERROR(MATCH(AF122,Tables!$E$99:$E$118,1),1),ROWS(Tables!$E$99:$E$118)-1))+1)-INDEX(Tables!$F$99:$F$118,MAX(1,MIN(IFERROR(MATCH(AF122,Tables!$E$99:$E$118,1),1),ROWS(Tables!$E$99:$E$118)-1))))/(INDEX(Tables!$E$99:$E$118,MAX(1,MIN(IFERROR(MATCH(AF122,Tables!$E$99:$E$118,1),1),ROWS(Tables!$E$99:$E$118)-1))+1)-INDEX(Tables!$E$99:$E$118,MAX(1,MIN(IFERROR(MATCH(AF122,Tables!$E$99:$E$118,1),1),ROWS(Tables!$E$99:$E$118)-1)))))))</f>
        <v>7.5349097621000816</v>
      </c>
      <c r="AQ122" s="181">
        <f>IF(P122&lt;6,(INDEX(Tables!$B$123:$B$138,MAX(1,MIN(IFERROR(MATCH(U122,Tables!$A$123:$A$138,1),1),ROWS(Tables!$A$123:$A$138)-1)))+(U122-INDEX(Tables!$A$123:$A$138,MAX(1,MIN(IFERROR(MATCH(U122,Tables!$A$123:$A$138,1),1),ROWS(Tables!$A$123:$A$138)-1))))*(INDEX(Tables!$B$123:$B$138,MAX(1,MIN(IFERROR(MATCH(U122,Tables!$A$123:$A$138,1),1),ROWS(Tables!$A$123:$A$138)-1))+1)-INDEX(Tables!$B$123:$B$138,MAX(1,MIN(IFERROR(MATCH(U122,Tables!$A$123:$A$138,1),1),ROWS(Tables!$A$123:$A$138)-1))))/(INDEX(Tables!$A$123:$A$138,MAX(1,MIN(IFERROR(MATCH(U122,Tables!$A$123:$A$138,1),1),ROWS(Tables!$A$123:$A$138)-1))+1)-INDEX(Tables!$A$123:$A$138,MAX(1,MIN(IFERROR(MATCH(U122,Tables!$A$123:$A$138,1),1),ROWS(Tables!$A$123:$A$138)-1))))),IF(P122&lt;8,(INDEX(Tables!$D$123:$D$138,MAX(1,MIN(IFERROR(MATCH(U122,Tables!$C$123:$C$138,1),1),ROWS(Tables!$C$123:$C$138)-1)))+(U122-INDEX(Tables!$C$123:$C$138,MAX(1,MIN(IFERROR(MATCH(U122,Tables!$C$123:$C$138,1),1),ROWS(Tables!$C$123:$C$138)-1))))*(INDEX(Tables!$D$123:$D$138,MAX(1,MIN(IFERROR(MATCH(U122,Tables!$C$123:$C$138,1),1),ROWS(Tables!$C$123:$C$138)-1))+1)-INDEX(Tables!$D$123:$D$138,MAX(1,MIN(IFERROR(MATCH(U122,Tables!$C$123:$C$138,1),1),ROWS(Tables!$C$123:$C$138)-1))))/(INDEX(Tables!$C$123:$C$138,MAX(1,MIN(IFERROR(MATCH(U122,Tables!$C$123:$C$138,1),1),ROWS(Tables!$C$123:$C$138)-1))+1)-INDEX(Tables!$C$123:$C$138,MAX(1,MIN(IFERROR(MATCH(U122,Tables!$C$123:$C$138,1),1),ROWS(Tables!$C$123:$C$138)-1))))),IF(P122&lt;10,(INDEX(Tables!$F$123:$F$138,MAX(1,MIN(IFERROR(MATCH(U122,Tables!$E$123:$E$138,1),1),ROWS(Tables!$E$123:$E$138)-1)))+(U122-INDEX(Tables!$E$123:$E$138,MAX(1,MIN(IFERROR(MATCH(U122,Tables!$E$123:$E$138,1),1),ROWS(Tables!$E$123:$E$138)-1))))*(INDEX(Tables!$F$123:$F$138,MAX(1,MIN(IFERROR(MATCH(U122,Tables!$E$123:$E$138,1),1),ROWS(Tables!$E$123:$E$138)-1))+1)-INDEX(Tables!$F$123:$F$138,MAX(1,MIN(IFERROR(MATCH(U122,Tables!$E$123:$E$138,1),1),ROWS(Tables!$E$123:$E$138)-1))))/(INDEX(Tables!$E$123:$E$138,MAX(1,MIN(IFERROR(MATCH(U122,Tables!$E$123:$E$138,1),1),ROWS(Tables!$E$123:$E$138)-1))+1)-INDEX(Tables!$E$123:$E$138,MAX(1,MIN(IFERROR(MATCH(U122,Tables!$E$123:$E$138,1),1),ROWS(Tables!$E$123:$E$138)-1))))),(INDEX(Tables!$H$123:$H$138,MAX(1,MIN(IFERROR(MATCH(U122,Tables!$G$123:$G$138,1),1),ROWS(Tables!$G$123:$G$138)-1)))+(U122-INDEX(Tables!$G$123:$G$138,MAX(1,MIN(IFERROR(MATCH(U122,Tables!$G$123:$G$138,1),1),ROWS(Tables!$G$123:$G$138)-1))))*(INDEX(Tables!$H$123:$H$138,MAX(1,MIN(IFERROR(MATCH(U122,Tables!$G$123:$G$138,1),1),ROWS(Tables!$G$123:$G$138)-1))+1)-INDEX(Tables!$H$123:$H$138,MAX(1,MIN(IFERROR(MATCH(U122,Tables!$G$123:$G$138,1),1),ROWS(Tables!$G$123:$G$138)-1))))/(INDEX(Tables!$G$123:$G$138,MAX(1,MIN(IFERROR(MATCH(U122,Tables!$G$123:$G$138,1),1),ROWS(Tables!$G$123:$G$138)-1))+1)-INDEX(Tables!$G$123:$G$138,MAX(1,MIN(IFERROR(MATCH(U122,Tables!$G$123:$G$138,1),1),ROWS(Tables!$G$123:$G$138)-1))))))))</f>
        <v>1.389875</v>
      </c>
      <c r="AR122" s="181">
        <f>IF(OR(P122&gt;=4,U122&gt;12),VLOOKUP(R122&amp;" "&amp;S122,Tables!$D$143:$F$148,2,FALSE),VLOOKUP(R122&amp;" "&amp;S122,Tables!$A$143:$C$148,2,FALSE))</f>
        <v>1.2</v>
      </c>
      <c r="AS122" s="181">
        <f>IF(OR(P122&gt;=4,U122&gt;12),VLOOKUP(R122&amp;" "&amp;S122,Tables!$D$143:$F$148,3,FALSE),VLOOKUP(R122&amp;" "&amp;S122,Tables!$A$143:$C$148,3,FALSE))</f>
        <v>0.8</v>
      </c>
      <c r="AT122" s="181">
        <f t="shared" si="104"/>
        <v>1256.7099246718622</v>
      </c>
      <c r="AU122" s="181">
        <f>IF(AD122=5000,(INDEX(Tables!$B$244:$B$263,MAX(1,MIN(IFERROR(MATCH(AF122,Tables!$A$244:$A$263,1),1),ROWS(Tables!$A$244:$A$263)-1)))+(AF122-INDEX(Tables!$A$244:$A$263,MAX(1,MIN(IFERROR(MATCH(AF122,Tables!$A$244:$A$263,1),1),ROWS(Tables!$A$244:$A$263)-1))))*(INDEX(Tables!$B$244:$B$263,MAX(1,MIN(IFERROR(MATCH(AF122,Tables!$A$244:$A$263,1),1),ROWS(Tables!$A$244:$A$263)-1))+1)-INDEX(Tables!$B$244:$B$263,MAX(1,MIN(IFERROR(MATCH(AF122,Tables!$A$244:$A$263,1),1),ROWS(Tables!$A$244:$A$263)-1))))/(INDEX(Tables!$A$244:$A$263,MAX(1,MIN(IFERROR(MATCH(AF122,Tables!$A$244:$A$263,1),1),ROWS(Tables!$A$244:$A$263)-1))+1)-INDEX(Tables!$A$244:$A$263,MAX(1,MIN(IFERROR(MATCH(AF122,Tables!$A$244:$A$263,1),1),ROWS(Tables!$A$244:$A$263)-1))))),IF(AD122=10000,(INDEX(Tables!$D$244:$D$263,MAX(1,MIN(IFERROR(MATCH(AF122,Tables!$C$244:$C$263,1),1),ROWS(Tables!$C$244:$C$263)-1)))+(AF122-INDEX(Tables!$C$244:$C$263,MAX(1,MIN(IFERROR(MATCH(AF122,Tables!$C$244:$C$263,1),1),ROWS(Tables!$C$244:$C$263)-1))))*(INDEX(Tables!$D$244:$D$263,MAX(1,MIN(IFERROR(MATCH(AF122,Tables!$C$244:$C$263,1),1),ROWS(Tables!$C$244:$C$263)-1))+1)-INDEX(Tables!$D$244:$D$263,MAX(1,MIN(IFERROR(MATCH(AF122,Tables!$C$244:$C$263,1),1),ROWS(Tables!$C$244:$C$263)-1))))/(INDEX(Tables!$C$244:$C$263,MAX(1,MIN(IFERROR(MATCH(AF122,Tables!$C$244:$C$263,1),1),ROWS(Tables!$C$244:$C$263)-1))+1)-INDEX(Tables!$C$244:$C$263,MAX(1,MIN(IFERROR(MATCH(AF122,Tables!$C$244:$C$263,1),1),ROWS(Tables!$C$244:$C$263)-1))))),(INDEX(Tables!$F$244:$F$263,MAX(1,MIN(IFERROR(MATCH(AF122,Tables!$E$244:$E$263,1),1),ROWS(Tables!$E$244:$E$263)-1)))+(AF122-INDEX(Tables!$E$244:$E$263,MAX(1,MIN(IFERROR(MATCH(AF122,Tables!$E$244:$E$263,1),1),ROWS(Tables!$E$244:$E$263)-1))))*(INDEX(Tables!$F$244:$F$263,MAX(1,MIN(IFERROR(MATCH(AF122,Tables!$E$244:$E$263,1),1),ROWS(Tables!$E$244:$E$263)-1))+1)-INDEX(Tables!$F$244:$F$263,MAX(1,MIN(IFERROR(MATCH(AF122,Tables!$E$244:$E$263,1),1),ROWS(Tables!$E$244:$E$263)-1))))/(INDEX(Tables!$E$244:$E$263,MAX(1,MIN(IFERROR(MATCH(AF122,Tables!$E$244:$E$263,1),1),ROWS(Tables!$E$244:$E$263)-1))+1)-INDEX(Tables!$E$244:$E$263,MAX(1,MIN(IFERROR(MATCH(AF122,Tables!$E$244:$E$263,1),1),ROWS(Tables!$E$244:$E$263)-1)))))))</f>
        <v>9.2075652173913038</v>
      </c>
      <c r="AV122" s="181">
        <f>IF(P122&lt;6,(INDEX(Tables!$B$260:$B$274,MAX(1,MIN(IFERROR(MATCH(U122,Tables!$A$260:$A$274,1),1),ROWS(Tables!$A$260:$A$274)-1)))+(U122-INDEX(Tables!$A$260:$A$274,MAX(1,MIN(IFERROR(MATCH(U122,Tables!$A$260:$A$274,1),1),ROWS(Tables!$A$260:$A$274)-1))))*(INDEX(Tables!$B$260:$B$274,MAX(1,MIN(IFERROR(MATCH(U122,Tables!$A$260:$A$274,1),1),ROWS(Tables!$A$260:$A$274)-1))+1)-INDEX(Tables!$B$260:$B$274,MAX(1,MIN(IFERROR(MATCH(U122,Tables!$A$260:$A$274,1),1),ROWS(Tables!$A$260:$A$274)-1))))/(INDEX(Tables!$A$260:$A$274,MAX(1,MIN(IFERROR(MATCH(U122,Tables!$A$260:$A$274,1),1),ROWS(Tables!$A$260:$A$274)-1))+1)-INDEX(Tables!$A$260:$A$274,MAX(1,MIN(IFERROR(MATCH(U122,Tables!$A$260:$A$274,1),1),ROWS(Tables!$A$260:$A$274)-1))))),IF(P122&lt;8,(INDEX(Tables!$D$260:$D$274,MAX(1,MIN(IFERROR(MATCH(U122,Tables!$C$260:$C$274,1),1),ROWS(Tables!$C$260:$C$274)-1)))+(U122-INDEX(Tables!$C$260:$C$274,MAX(1,MIN(IFERROR(MATCH(U122,Tables!$C$260:$C$274,1),1),ROWS(Tables!$C$260:$C$274)-1))))*(INDEX(Tables!$D$260:$D$274,MAX(1,MIN(IFERROR(MATCH(U122,Tables!$C$260:$C$274,1),1),ROWS(Tables!$C$260:$C$274)-1))+1)-INDEX(Tables!$D$260:$D$274,MAX(1,MIN(IFERROR(MATCH(U122,Tables!$C$260:$C$274,1),1),ROWS(Tables!$C$260:$C$274)-1))))/(INDEX(Tables!$C$260:$C$274,MAX(1,MIN(IFERROR(MATCH(U122,Tables!$C$260:$C$274,1),1),ROWS(Tables!$C$260:$C$274)-1))+1)-INDEX(Tables!$C$260:$C$274,MAX(1,MIN(IFERROR(MATCH(U122,Tables!$C$260:$C$274,1),1),ROWS(Tables!$C$260:$C$274)-1))))),IF(P122&lt;10,(INDEX(Tables!$F$260:$F$274,MAX(1,MIN(IFERROR(MATCH(U122,Tables!$E$260:$E$274,1),1),ROWS(Tables!$E$260:$E$274)-1)))+(U122-INDEX(Tables!$E$260:$E$274,MAX(1,MIN(IFERROR(MATCH(U122,Tables!$E$260:$E$274,1),1),ROWS(Tables!$E$260:$E$274)-1))))*(INDEX(Tables!$F$260:$F$274,MAX(1,MIN(IFERROR(MATCH(U122,Tables!$E$260:$E$274,1),1),ROWS(Tables!$E$260:$E$274)-1))+1)-INDEX(Tables!$F$260:$F$274,MAX(1,MIN(IFERROR(MATCH(U122,Tables!$E$260:$E$274,1),1),ROWS(Tables!$E$260:$E$274)-1))))/(INDEX(Tables!$E$260:$E$274,MAX(1,MIN(IFERROR(MATCH(U122,Tables!$E$260:$E$274,1),1),ROWS(Tables!$E$260:$E$274)-1))+1)-INDEX(Tables!$E$260:$E$274,MAX(1,MIN(IFERROR(MATCH(U122,Tables!$E$260:$E$274,1),1),ROWS(Tables!$E$260:$E$274)-1))))),(INDEX(Tables!$H$260:$H$274,MAX(1,MIN(IFERROR(MATCH(U122,Tables!$G$260:$G$274,1),1),ROWS(Tables!$G$260:$G$274)-1)))+(U122-INDEX(Tables!$G$260:$G$274,MAX(1,MIN(IFERROR(MATCH(U122,Tables!$G$260:$G$274,1),1),ROWS(Tables!$G$260:$G$274)-1))))*(INDEX(Tables!$H$260:$H$274,MAX(1,MIN(IFERROR(MATCH(U122,Tables!$G$260:$G$274,1),1),ROWS(Tables!$G$260:$G$274)-1))+1)-INDEX(Tables!$H$260:$H$274,MAX(1,MIN(IFERROR(MATCH(U122,Tables!$G$260:$G$274,1),1),ROWS(Tables!$G$260:$G$274)-1))))/(INDEX(Tables!$G$260:$G$274,MAX(1,MIN(IFERROR(MATCH(U122,Tables!$G$260:$G$274,1),1),ROWS(Tables!$G$260:$G$274)-1))+1)-INDEX(Tables!$G$260:$G$274,MAX(1,MIN(IFERROR(MATCH(U122,Tables!$G$260:$G$274,1),1),ROWS(Tables!$G$260:$G$274)-1))))))))</f>
        <v>1.3123750000000001</v>
      </c>
      <c r="AW122" s="181">
        <f t="shared" si="105"/>
        <v>1450.0534082608697</v>
      </c>
      <c r="AX122" s="181">
        <f t="shared" si="106"/>
        <v>-162.03</v>
      </c>
      <c r="AY122" s="181">
        <f t="shared" si="107"/>
        <v>1473.6023678950799</v>
      </c>
      <c r="AZ122" s="181">
        <f t="shared" si="108"/>
        <v>1515.1211412278349</v>
      </c>
      <c r="BA122" s="181">
        <f t="shared" si="109"/>
        <v>14.73</v>
      </c>
      <c r="BB122" s="181">
        <f t="shared" si="110"/>
        <v>1480.0685745974438</v>
      </c>
      <c r="BC122" s="181">
        <f t="shared" si="111"/>
        <v>46800</v>
      </c>
      <c r="BD122" s="181">
        <f>VLOOKUP(V122&amp;" "&amp;J122,Tables!$A$152:$E$239,4,FALSE)</f>
        <v>12000</v>
      </c>
      <c r="BE122" s="181">
        <f>VLOOKUP(V122&amp;" "&amp;J122,Tables!$A$152:$E$239,5,FALSE)</f>
        <v>23000</v>
      </c>
      <c r="BF122" s="181">
        <f t="shared" si="112"/>
        <v>8640</v>
      </c>
      <c r="BG122" s="181">
        <f t="shared" si="113"/>
        <v>16560</v>
      </c>
      <c r="BH122" s="181">
        <f t="shared" si="114"/>
        <v>-169.39500000000001</v>
      </c>
      <c r="BI122" s="181">
        <f t="shared" si="115"/>
        <v>46800</v>
      </c>
      <c r="BJ122" s="181">
        <f t="shared" si="116"/>
        <v>1480.0685745974438</v>
      </c>
      <c r="BK122" s="181">
        <f t="shared" si="117"/>
        <v>46800</v>
      </c>
      <c r="BL122" s="181">
        <f t="shared" si="118"/>
        <v>1450.0534082608697</v>
      </c>
      <c r="BM122" s="181">
        <f t="shared" si="119"/>
        <v>8640</v>
      </c>
      <c r="BN122" s="181">
        <f t="shared" si="120"/>
        <v>1256.7099246718622</v>
      </c>
      <c r="BO122" s="181">
        <f t="shared" si="121"/>
        <v>16560</v>
      </c>
      <c r="BP122" t="str">
        <f t="shared" si="122"/>
        <v>Pass</v>
      </c>
      <c r="BQ122" t="str">
        <f t="shared" si="123"/>
        <v>Pass</v>
      </c>
      <c r="BR122" t="str">
        <f t="shared" si="124"/>
        <v>Pass</v>
      </c>
      <c r="BS122" t="str">
        <f t="shared" si="125"/>
        <v>Pass</v>
      </c>
      <c r="BT122" t="str">
        <f t="shared" si="126"/>
        <v>Pass</v>
      </c>
      <c r="BU122" t="str">
        <f t="shared" si="127"/>
        <v>Girth Weld Stress</v>
      </c>
    </row>
    <row r="123" spans="1:73">
      <c r="A123" t="s">
        <v>715</v>
      </c>
      <c r="B123" s="181">
        <v>121</v>
      </c>
      <c r="C123" t="s">
        <v>594</v>
      </c>
      <c r="D123" s="181">
        <v>12</v>
      </c>
      <c r="E123" s="181">
        <v>0.40600000000000003</v>
      </c>
      <c r="F123" t="s">
        <v>117</v>
      </c>
      <c r="G123" t="s">
        <v>119</v>
      </c>
      <c r="H123" t="s">
        <v>122</v>
      </c>
      <c r="I123" s="181">
        <v>1</v>
      </c>
      <c r="J123" t="s">
        <v>126</v>
      </c>
      <c r="K123" t="s">
        <v>129</v>
      </c>
      <c r="L123" s="181">
        <v>70</v>
      </c>
      <c r="M123" s="181">
        <v>-14.73</v>
      </c>
      <c r="N123" t="s">
        <v>388</v>
      </c>
      <c r="O123" s="181">
        <v>120</v>
      </c>
      <c r="P123" s="181">
        <v>6</v>
      </c>
      <c r="Q123" s="181">
        <v>14.75</v>
      </c>
      <c r="R123" t="s">
        <v>417</v>
      </c>
      <c r="S123" t="s">
        <v>156</v>
      </c>
      <c r="T123" s="181">
        <v>70</v>
      </c>
      <c r="U123" s="181">
        <f>HLOOKUP(D123,'Highway Loading'!$C$155:$AD$156,2,FALSE)</f>
        <v>12.75</v>
      </c>
      <c r="V123" s="181">
        <f>IF(ISBLANK(G123),"",INDEX('Highway Loading'!$C$216:$AG$216,1,MATCH(G123,'Highway Loading'!$C$215:$AG$215,0)))</f>
        <v>65000</v>
      </c>
      <c r="W123" s="181">
        <f>INDEX('Highway Loading'!$I$245:$L$253,MATCH(H123,'Highway Loading'!$H$245:$H$253,0),MATCH(I123,'Highway Loading'!$I$244:$L$244,0))</f>
        <v>0.72</v>
      </c>
      <c r="X123" s="181">
        <f t="shared" si="96"/>
        <v>1</v>
      </c>
      <c r="Y123" s="181">
        <f>VLOOKUP(K123,'Highway Loading'!$B$283:$E$292,2,FALSE)</f>
        <v>29000000</v>
      </c>
      <c r="Z123" s="181">
        <f>VLOOKUP(K123,'Highway Loading'!$B$283:$E$292,3,FALSE)</f>
        <v>0.3</v>
      </c>
      <c r="AA123" s="181">
        <f>VLOOKUP(K123,'Highway Loading'!$B$283:$E$292,4,FALSE)</f>
        <v>6.4999999999999996E-6</v>
      </c>
      <c r="AB123" s="181">
        <f t="shared" si="97"/>
        <v>1</v>
      </c>
      <c r="AC123" s="181">
        <f>VLOOKUP(N123,'Highway Loading'!$B$256:$D$261,2,FALSE)</f>
        <v>200</v>
      </c>
      <c r="AD123" s="181">
        <f>VLOOKUP(N123,'Highway Loading'!$B$256:$D$261,3,FALSE)</f>
        <v>5000</v>
      </c>
      <c r="AE123" s="181">
        <f>VLOOKUP(S123,'Highway Loading'!$B$340:$C$341,2,FALSE)</f>
        <v>10000</v>
      </c>
      <c r="AF123" s="181">
        <f t="shared" si="98"/>
        <v>3.1843137254901961E-2</v>
      </c>
      <c r="AG123" s="181">
        <f t="shared" si="99"/>
        <v>4.8813559322033901</v>
      </c>
      <c r="AH123" s="181">
        <f t="shared" si="100"/>
        <v>1.1568627450980393</v>
      </c>
      <c r="AI123" s="181">
        <f t="shared" si="101"/>
        <v>-231.29002463054186</v>
      </c>
      <c r="AJ123" s="181">
        <f t="shared" si="102"/>
        <v>46800</v>
      </c>
      <c r="AK123" s="181">
        <f>IF(AC123=200,(INDEX(Tables!$B$17:$B$38,MAX(1,MIN(IFERROR(MATCH(AF123,Tables!$A$17:$A$38,1),1),ROWS(Tables!$A$17:$A$38)-1)))+(AF123-INDEX(Tables!$A$17:$A$38,MAX(1,MIN(IFERROR(MATCH(AF123,Tables!$A$17:$A$38,1),1),ROWS(Tables!$A$17:$A$38)-1))))*(INDEX(Tables!$B$17:$B$38,MAX(1,MIN(IFERROR(MATCH(AF123,Tables!$A$17:$A$38,1),1),ROWS(Tables!$A$17:$A$38)-1))+1)-INDEX(Tables!$B$17:$B$38,MAX(1,MIN(IFERROR(MATCH(AF123,Tables!$A$17:$A$38,1),1),ROWS(Tables!$A$17:$A$38)-1))))/(INDEX(Tables!$A$17:$A$38,MAX(1,MIN(IFERROR(MATCH(AF123,Tables!$A$17:$A$38,1),1),ROWS(Tables!$A$17:$A$38)-1))+1)-INDEX(Tables!$A$17:$A$38,MAX(1,MIN(IFERROR(MATCH(AF123,Tables!$A$17:$A$38,1),1),ROWS(Tables!$A$17:$A$38)-1))))),IF(AC123=500,(INDEX(Tables!$D$17:$D$38,MAX(1,MIN(IFERROR(MATCH(AF123,Tables!$C$17:$C$38,1),1),ROWS(Tables!$C$17:$C$38)-1)))+(AF123-INDEX(Tables!$C$17:$C$38,MAX(1,MIN(IFERROR(MATCH(AF123,Tables!$C$17:$C$38,1),1),ROWS(Tables!$C$17:$C$38)-1))))*(INDEX(Tables!$D$17:$D$38,MAX(1,MIN(IFERROR(MATCH(AF123,Tables!$C$17:$C$38,1),1),ROWS(Tables!$C$17:$C$38)-1))+1)-INDEX(Tables!$D$17:$D$38,MAX(1,MIN(IFERROR(MATCH(AF123,Tables!$C$17:$C$38,1),1),ROWS(Tables!$C$17:$C$38)-1))))/(INDEX(Tables!$C$17:$C$38,MAX(1,MIN(IFERROR(MATCH(AF123,Tables!$C$17:$C$38,1),1),ROWS(Tables!$C$17:$C$38)-1))+1)-INDEX(Tables!$C$17:$C$38,MAX(1,MIN(IFERROR(MATCH(AF123,Tables!$C$17:$C$38,1),1),ROWS(Tables!$C$17:$C$38)-1))))),IF(AC123=1000,(INDEX(Tables!$F$17:$F$38,MAX(1,MIN(IFERROR(MATCH(AF123,Tables!$E$17:$E$38,1),1),ROWS(Tables!$E$17:$E$38)-1)))+(AF123-INDEX(Tables!$E$17:$E$38,MAX(1,MIN(IFERROR(MATCH(AF123,Tables!$E$17:$E$38,1),1),ROWS(Tables!$E$17:$E$38)-1))))*(INDEX(Tables!$F$17:$F$38,MAX(1,MIN(IFERROR(MATCH(AF123,Tables!$E$17:$E$38,1),1),ROWS(Tables!$E$17:$E$38)-1))+1)-INDEX(Tables!$F$17:$F$38,MAX(1,MIN(IFERROR(MATCH(AF123,Tables!$E$17:$E$38,1),1),ROWS(Tables!$E$17:$E$38)-1))))/(INDEX(Tables!$E$17:$E$38,MAX(1,MIN(IFERROR(MATCH(AF123,Tables!$E$17:$E$38,1),1),ROWS(Tables!$E$17:$E$38)-1))+1)-INDEX(Tables!$E$17:$E$38,MAX(1,MIN(IFERROR(MATCH(AF123,Tables!$E$17:$E$38,1),1),ROWS(Tables!$E$17:$E$38)-1))))),(INDEX(Tables!$H$17:$H$38,MAX(1,MIN(IFERROR(MATCH(AF123,Tables!$G$17:$G$38,1),1),ROWS(Tables!$G$17:$G$38)-1)))+(AF123-INDEX(Tables!$G$17:$G$38,MAX(1,MIN(IFERROR(MATCH(AF123,Tables!$G$17:$G$38,1),1),ROWS(Tables!$G$17:$G$38)-1))))*(INDEX(Tables!$H$17:$H$38,MAX(1,MIN(IFERROR(MATCH(AF123,Tables!$G$17:$G$38,1),1),ROWS(Tables!$G$17:$G$38)-1))+1)-INDEX(Tables!$H$17:$H$38,MAX(1,MIN(IFERROR(MATCH(AF123,Tables!$G$17:$G$38,1),1),ROWS(Tables!$G$17:$G$38)-1))))/(INDEX(Tables!$G$17:$G$38,MAX(1,MIN(IFERROR(MATCH(AF123,Tables!$G$17:$G$38,1),1),ROWS(Tables!$G$17:$G$38)-1))+1)-INDEX(Tables!$G$17:$G$38,MAX(1,MIN(IFERROR(MATCH(AF123,Tables!$G$17:$G$38,1),1),ROWS(Tables!$G$17:$G$38)-1))))))))</f>
        <v>1029.8784313725491</v>
      </c>
      <c r="AL123" s="181">
        <f>IF(AC123&lt;1000,(INDEX(Tables!$B$43:$B$76,MAX(1,MIN(IFERROR(MATCH(AG123,Tables!$A$43:$A$76,1),1),ROWS(Tables!$A$43:$A$76)-1)))+(AG123-INDEX(Tables!$A$43:$A$76,MAX(1,MIN(IFERROR(MATCH(AG123,Tables!$A$43:$A$76,1),1),ROWS(Tables!$A$43:$A$76)-1))))*(INDEX(Tables!$B$43:$B$76,MAX(1,MIN(IFERROR(MATCH(AG123,Tables!$A$43:$A$76,1),1),ROWS(Tables!$A$43:$A$76)-1))+1)-INDEX(Tables!$B$43:$B$76,MAX(1,MIN(IFERROR(MATCH(AG123,Tables!$A$43:$A$76,1),1),ROWS(Tables!$A$43:$A$76)-1))))/(INDEX(Tables!$A$43:$A$76,MAX(1,MIN(IFERROR(MATCH(AG123,Tables!$A$43:$A$76,1),1),ROWS(Tables!$A$43:$A$76)-1))+1)-INDEX(Tables!$A$43:$A$76,MAX(1,MIN(IFERROR(MATCH(AG123,Tables!$A$43:$A$76,1),1),ROWS(Tables!$A$43:$A$76)-1))))),(INDEX(Tables!$D$43:$D$76,MAX(1,MIN(IFERROR(MATCH(AG123,Tables!$C$43:$C$76,1),1),ROWS(Tables!$C$43:$C$76)-1)))+(AG123-INDEX(Tables!$C$43:$C$76,MAX(1,MIN(IFERROR(MATCH(AG123,Tables!$C$43:$C$76,1),1),ROWS(Tables!$C$43:$C$76)-1))))*(INDEX(Tables!$D$43:$D$76,MAX(1,MIN(IFERROR(MATCH(AG123,Tables!$C$43:$C$76,1),1),ROWS(Tables!$C$43:$C$76)-1))+1)-INDEX(Tables!$D$43:$D$76,MAX(1,MIN(IFERROR(MATCH(AG123,Tables!$C$43:$C$76,1),1),ROWS(Tables!$C$43:$C$76)-1))))/(INDEX(Tables!$C$43:$C$76,MAX(1,MIN(IFERROR(MATCH(AG123,Tables!$C$43:$C$76,1),1),ROWS(Tables!$C$43:$C$76)-1))+1)-INDEX(Tables!$C$43:$C$76,MAX(1,MIN(IFERROR(MATCH(AG123,Tables!$C$43:$C$76,1),1),ROWS(Tables!$C$43:$C$76)-1))))))</f>
        <v>1.0658474576271186</v>
      </c>
      <c r="AM123" s="181">
        <f>(INDEX(Tables!$B$80:$B$87,MAX(1,MIN(IFERROR(MATCH(AH123,Tables!$A$80:$A$87,1),1),ROWS(Tables!$A$80:$A$87)-1)))+(AH123-INDEX(Tables!$A$80:$A$87,MAX(1,MIN(IFERROR(MATCH(AH123,Tables!$A$80:$A$87,1),1),ROWS(Tables!$A$80:$A$87)-1))))*(INDEX(Tables!$B$80:$B$87,MAX(1,MIN(IFERROR(MATCH(AH123,Tables!$A$80:$A$87,1),1),ROWS(Tables!$A$80:$A$87)-1))+1)-INDEX(Tables!$B$80:$B$87,MAX(1,MIN(IFERROR(MATCH(AH123,Tables!$A$80:$A$87,1),1),ROWS(Tables!$A$80:$A$87)-1))))/(INDEX(Tables!$A$80:$A$87,MAX(1,MIN(IFERROR(MATCH(AH123,Tables!$A$80:$A$87,1),1),ROWS(Tables!$A$80:$A$87)-1))+1)-INDEX(Tables!$A$80:$A$87,MAX(1,MIN(IFERROR(MATCH(AH123,Tables!$A$80:$A$87,1),1),ROWS(Tables!$A$80:$A$87)-1)))))</f>
        <v>1.1041078431372553</v>
      </c>
      <c r="AN123" s="181">
        <f t="shared" si="103"/>
        <v>1073.1000227843585</v>
      </c>
      <c r="AO123" s="181">
        <f>(INDEX(Tables!$B$91:$B$94,MAX(1,MIN(IFERROR(MATCH(P123,Tables!$A$91:$A$94,1),1),ROWS(Tables!$A$91:$A$94)-1)))+(P123-INDEX(Tables!$A$91:$A$94,MAX(1,MIN(IFERROR(MATCH(P123,Tables!$A$91:$A$94,1),1),ROWS(Tables!$A$91:$A$94)-1))))*(INDEX(Tables!$B$91:$B$94,MAX(1,MIN(IFERROR(MATCH(P123,Tables!$A$91:$A$94,1),1),ROWS(Tables!$A$91:$A$94)-1))+1)-INDEX(Tables!$B$91:$B$94,MAX(1,MIN(IFERROR(MATCH(P123,Tables!$A$91:$A$94,1),1),ROWS(Tables!$A$91:$A$94)-1))))/(INDEX(Tables!$A$91:$A$94,MAX(1,MIN(IFERROR(MATCH(P123,Tables!$A$91:$A$94,1),1),ROWS(Tables!$A$91:$A$94)-1))+1)-INDEX(Tables!$A$91:$A$94,MAX(1,MIN(IFERROR(MATCH(P123,Tables!$A$91:$A$94,1),1),ROWS(Tables!$A$91:$A$94)-1)))))</f>
        <v>1.476219512195122</v>
      </c>
      <c r="AP123" s="181">
        <f>IF(AD123=5000,(INDEX(Tables!$B$99:$B$118,MAX(1,MIN(IFERROR(MATCH(AF123,Tables!$A$99:$A$118,1),1),ROWS(Tables!$A$99:$A$118)-1)))+(AF123-INDEX(Tables!$A$99:$A$118,MAX(1,MIN(IFERROR(MATCH(AF123,Tables!$A$99:$A$118,1),1),ROWS(Tables!$A$99:$A$118)-1))))*(INDEX(Tables!$B$99:$B$118,MAX(1,MIN(IFERROR(MATCH(AF123,Tables!$A$99:$A$118,1),1),ROWS(Tables!$A$99:$A$118)-1))+1)-INDEX(Tables!$B$99:$B$118,MAX(1,MIN(IFERROR(MATCH(AF123,Tables!$A$99:$A$118,1),1),ROWS(Tables!$A$99:$A$118)-1))))/(INDEX(Tables!$A$99:$A$118,MAX(1,MIN(IFERROR(MATCH(AF123,Tables!$A$99:$A$118,1),1),ROWS(Tables!$A$99:$A$118)-1))+1)-INDEX(Tables!$A$99:$A$118,MAX(1,MIN(IFERROR(MATCH(AF123,Tables!$A$99:$A$118,1),1),ROWS(Tables!$A$99:$A$118)-1))))),IF(AD123=10000,(INDEX(Tables!$D$99:$D$118,MAX(1,MIN(IFERROR(MATCH(AF123,Tables!$C$99:$C$118,1),1),ROWS(Tables!$C$99:$C$118)-1)))+(AF123-INDEX(Tables!$C$99:$C$118,MAX(1,MIN(IFERROR(MATCH(AF123,Tables!$C$99:$C$118,1),1),ROWS(Tables!$C$99:$C$118)-1))))*(INDEX(Tables!$D$99:$D$118,MAX(1,MIN(IFERROR(MATCH(AF123,Tables!$C$99:$C$118,1),1),ROWS(Tables!$C$99:$C$118)-1))+1)-INDEX(Tables!$D$99:$D$118,MAX(1,MIN(IFERROR(MATCH(AF123,Tables!$C$99:$C$118,1),1),ROWS(Tables!$C$99:$C$118)-1))))/(INDEX(Tables!$C$99:$C$118,MAX(1,MIN(IFERROR(MATCH(AF123,Tables!$C$99:$C$118,1),1),ROWS(Tables!$C$99:$C$118)-1))+1)-INDEX(Tables!$C$99:$C$118,MAX(1,MIN(IFERROR(MATCH(AF123,Tables!$C$99:$C$118,1),1),ROWS(Tables!$C$99:$C$118)-1))))),(INDEX(Tables!$F$99:$F$118,MAX(1,MIN(IFERROR(MATCH(AF123,Tables!$E$99:$E$118,1),1),ROWS(Tables!$E$99:$E$118)-1)))+(AF123-INDEX(Tables!$E$99:$E$118,MAX(1,MIN(IFERROR(MATCH(AF123,Tables!$E$99:$E$118,1),1),ROWS(Tables!$E$99:$E$118)-1))))*(INDEX(Tables!$F$99:$F$118,MAX(1,MIN(IFERROR(MATCH(AF123,Tables!$E$99:$E$118,1),1),ROWS(Tables!$E$99:$E$118)-1))+1)-INDEX(Tables!$F$99:$F$118,MAX(1,MIN(IFERROR(MATCH(AF123,Tables!$E$99:$E$118,1),1),ROWS(Tables!$E$99:$E$118)-1))))/(INDEX(Tables!$E$99:$E$118,MAX(1,MIN(IFERROR(MATCH(AF123,Tables!$E$99:$E$118,1),1),ROWS(Tables!$E$99:$E$118)-1))+1)-INDEX(Tables!$E$99:$E$118,MAX(1,MIN(IFERROR(MATCH(AF123,Tables!$E$99:$E$118,1),1),ROWS(Tables!$E$99:$E$118)-1)))))))</f>
        <v>12.445423111376529</v>
      </c>
      <c r="AQ123" s="181">
        <f>IF(P123&lt;6,(INDEX(Tables!$B$123:$B$138,MAX(1,MIN(IFERROR(MATCH(U123,Tables!$A$123:$A$138,1),1),ROWS(Tables!$A$123:$A$138)-1)))+(U123-INDEX(Tables!$A$123:$A$138,MAX(1,MIN(IFERROR(MATCH(U123,Tables!$A$123:$A$138,1),1),ROWS(Tables!$A$123:$A$138)-1))))*(INDEX(Tables!$B$123:$B$138,MAX(1,MIN(IFERROR(MATCH(U123,Tables!$A$123:$A$138,1),1),ROWS(Tables!$A$123:$A$138)-1))+1)-INDEX(Tables!$B$123:$B$138,MAX(1,MIN(IFERROR(MATCH(U123,Tables!$A$123:$A$138,1),1),ROWS(Tables!$A$123:$A$138)-1))))/(INDEX(Tables!$A$123:$A$138,MAX(1,MIN(IFERROR(MATCH(U123,Tables!$A$123:$A$138,1),1),ROWS(Tables!$A$123:$A$138)-1))+1)-INDEX(Tables!$A$123:$A$138,MAX(1,MIN(IFERROR(MATCH(U123,Tables!$A$123:$A$138,1),1),ROWS(Tables!$A$123:$A$138)-1))))),IF(P123&lt;8,(INDEX(Tables!$D$123:$D$138,MAX(1,MIN(IFERROR(MATCH(U123,Tables!$C$123:$C$138,1),1),ROWS(Tables!$C$123:$C$138)-1)))+(U123-INDEX(Tables!$C$123:$C$138,MAX(1,MIN(IFERROR(MATCH(U123,Tables!$C$123:$C$138,1),1),ROWS(Tables!$C$123:$C$138)-1))))*(INDEX(Tables!$D$123:$D$138,MAX(1,MIN(IFERROR(MATCH(U123,Tables!$C$123:$C$138,1),1),ROWS(Tables!$C$123:$C$138)-1))+1)-INDEX(Tables!$D$123:$D$138,MAX(1,MIN(IFERROR(MATCH(U123,Tables!$C$123:$C$138,1),1),ROWS(Tables!$C$123:$C$138)-1))))/(INDEX(Tables!$C$123:$C$138,MAX(1,MIN(IFERROR(MATCH(U123,Tables!$C$123:$C$138,1),1),ROWS(Tables!$C$123:$C$138)-1))+1)-INDEX(Tables!$C$123:$C$138,MAX(1,MIN(IFERROR(MATCH(U123,Tables!$C$123:$C$138,1),1),ROWS(Tables!$C$123:$C$138)-1))))),IF(P123&lt;10,(INDEX(Tables!$F$123:$F$138,MAX(1,MIN(IFERROR(MATCH(U123,Tables!$E$123:$E$138,1),1),ROWS(Tables!$E$123:$E$138)-1)))+(U123-INDEX(Tables!$E$123:$E$138,MAX(1,MIN(IFERROR(MATCH(U123,Tables!$E$123:$E$138,1),1),ROWS(Tables!$E$123:$E$138)-1))))*(INDEX(Tables!$F$123:$F$138,MAX(1,MIN(IFERROR(MATCH(U123,Tables!$E$123:$E$138,1),1),ROWS(Tables!$E$123:$E$138)-1))+1)-INDEX(Tables!$F$123:$F$138,MAX(1,MIN(IFERROR(MATCH(U123,Tables!$E$123:$E$138,1),1),ROWS(Tables!$E$123:$E$138)-1))))/(INDEX(Tables!$E$123:$E$138,MAX(1,MIN(IFERROR(MATCH(U123,Tables!$E$123:$E$138,1),1),ROWS(Tables!$E$123:$E$138)-1))+1)-INDEX(Tables!$E$123:$E$138,MAX(1,MIN(IFERROR(MATCH(U123,Tables!$E$123:$E$138,1),1),ROWS(Tables!$E$123:$E$138)-1))))),(INDEX(Tables!$H$123:$H$138,MAX(1,MIN(IFERROR(MATCH(U123,Tables!$G$123:$G$138,1),1),ROWS(Tables!$G$123:$G$138)-1)))+(U123-INDEX(Tables!$G$123:$G$138,MAX(1,MIN(IFERROR(MATCH(U123,Tables!$G$123:$G$138,1),1),ROWS(Tables!$G$123:$G$138)-1))))*(INDEX(Tables!$H$123:$H$138,MAX(1,MIN(IFERROR(MATCH(U123,Tables!$G$123:$G$138,1),1),ROWS(Tables!$G$123:$G$138)-1))+1)-INDEX(Tables!$H$123:$H$138,MAX(1,MIN(IFERROR(MATCH(U123,Tables!$G$123:$G$138,1),1),ROWS(Tables!$G$123:$G$138)-1))))/(INDEX(Tables!$G$123:$G$138,MAX(1,MIN(IFERROR(MATCH(U123,Tables!$G$123:$G$138,1),1),ROWS(Tables!$G$123:$G$138)-1))+1)-INDEX(Tables!$G$123:$G$138,MAX(1,MIN(IFERROR(MATCH(U123,Tables!$G$123:$G$138,1),1),ROWS(Tables!$G$123:$G$138)-1))))))))</f>
        <v>1.01675</v>
      </c>
      <c r="AR123" s="181">
        <f>IF(OR(P123&gt;=4,U123&gt;12),VLOOKUP(R123&amp;" "&amp;S123,Tables!$D$143:$F$148,2,FALSE),VLOOKUP(R123&amp;" "&amp;S123,Tables!$A$143:$C$148,2,FALSE))</f>
        <v>1.1000000000000001</v>
      </c>
      <c r="AS123" s="181">
        <f>IF(OR(P123&gt;=4,U123&gt;12),VLOOKUP(R123&amp;" "&amp;S123,Tables!$D$143:$F$148,3,FALSE),VLOOKUP(R123&amp;" "&amp;S123,Tables!$A$143:$C$148,3,FALSE))</f>
        <v>1</v>
      </c>
      <c r="AT123" s="181">
        <f t="shared" si="104"/>
        <v>1426.9375992221071</v>
      </c>
      <c r="AU123" s="181">
        <f>IF(AD123=5000,(INDEX(Tables!$B$244:$B$263,MAX(1,MIN(IFERROR(MATCH(AF123,Tables!$A$244:$A$263,1),1),ROWS(Tables!$A$244:$A$263)-1)))+(AF123-INDEX(Tables!$A$244:$A$263,MAX(1,MIN(IFERROR(MATCH(AF123,Tables!$A$244:$A$263,1),1),ROWS(Tables!$A$244:$A$263)-1))))*(INDEX(Tables!$B$244:$B$263,MAX(1,MIN(IFERROR(MATCH(AF123,Tables!$A$244:$A$263,1),1),ROWS(Tables!$A$244:$A$263)-1))+1)-INDEX(Tables!$B$244:$B$263,MAX(1,MIN(IFERROR(MATCH(AF123,Tables!$A$244:$A$263,1),1),ROWS(Tables!$A$244:$A$263)-1))))/(INDEX(Tables!$A$244:$A$263,MAX(1,MIN(IFERROR(MATCH(AF123,Tables!$A$244:$A$263,1),1),ROWS(Tables!$A$244:$A$263)-1))+1)-INDEX(Tables!$A$244:$A$263,MAX(1,MIN(IFERROR(MATCH(AF123,Tables!$A$244:$A$263,1),1),ROWS(Tables!$A$244:$A$263)-1))))),IF(AD123=10000,(INDEX(Tables!$D$244:$D$263,MAX(1,MIN(IFERROR(MATCH(AF123,Tables!$C$244:$C$263,1),1),ROWS(Tables!$C$244:$C$263)-1)))+(AF123-INDEX(Tables!$C$244:$C$263,MAX(1,MIN(IFERROR(MATCH(AF123,Tables!$C$244:$C$263,1),1),ROWS(Tables!$C$244:$C$263)-1))))*(INDEX(Tables!$D$244:$D$263,MAX(1,MIN(IFERROR(MATCH(AF123,Tables!$C$244:$C$263,1),1),ROWS(Tables!$C$244:$C$263)-1))+1)-INDEX(Tables!$D$244:$D$263,MAX(1,MIN(IFERROR(MATCH(AF123,Tables!$C$244:$C$263,1),1),ROWS(Tables!$C$244:$C$263)-1))))/(INDEX(Tables!$C$244:$C$263,MAX(1,MIN(IFERROR(MATCH(AF123,Tables!$C$244:$C$263,1),1),ROWS(Tables!$C$244:$C$263)-1))+1)-INDEX(Tables!$C$244:$C$263,MAX(1,MIN(IFERROR(MATCH(AF123,Tables!$C$244:$C$263,1),1),ROWS(Tables!$C$244:$C$263)-1))))),(INDEX(Tables!$F$244:$F$263,MAX(1,MIN(IFERROR(MATCH(AF123,Tables!$E$244:$E$263,1),1),ROWS(Tables!$E$244:$E$263)-1)))+(AF123-INDEX(Tables!$E$244:$E$263,MAX(1,MIN(IFERROR(MATCH(AF123,Tables!$E$244:$E$263,1),1),ROWS(Tables!$E$244:$E$263)-1))))*(INDEX(Tables!$F$244:$F$263,MAX(1,MIN(IFERROR(MATCH(AF123,Tables!$E$244:$E$263,1),1),ROWS(Tables!$E$244:$E$263)-1))+1)-INDEX(Tables!$F$244:$F$263,MAX(1,MIN(IFERROR(MATCH(AF123,Tables!$E$244:$E$263,1),1),ROWS(Tables!$E$244:$E$263)-1))))/(INDEX(Tables!$E$244:$E$263,MAX(1,MIN(IFERROR(MATCH(AF123,Tables!$E$244:$E$263,1),1),ROWS(Tables!$E$244:$E$263)-1))+1)-INDEX(Tables!$E$244:$E$263,MAX(1,MIN(IFERROR(MATCH(AF123,Tables!$E$244:$E$263,1),1),ROWS(Tables!$E$244:$E$263)-1)))))))</f>
        <v>11.380729411764705</v>
      </c>
      <c r="AV123" s="181">
        <f>IF(P123&lt;6,(INDEX(Tables!$B$260:$B$274,MAX(1,MIN(IFERROR(MATCH(U123,Tables!$A$260:$A$274,1),1),ROWS(Tables!$A$260:$A$274)-1)))+(U123-INDEX(Tables!$A$260:$A$274,MAX(1,MIN(IFERROR(MATCH(U123,Tables!$A$260:$A$274,1),1),ROWS(Tables!$A$260:$A$274)-1))))*(INDEX(Tables!$B$260:$B$274,MAX(1,MIN(IFERROR(MATCH(U123,Tables!$A$260:$A$274,1),1),ROWS(Tables!$A$260:$A$274)-1))+1)-INDEX(Tables!$B$260:$B$274,MAX(1,MIN(IFERROR(MATCH(U123,Tables!$A$260:$A$274,1),1),ROWS(Tables!$A$260:$A$274)-1))))/(INDEX(Tables!$A$260:$A$274,MAX(1,MIN(IFERROR(MATCH(U123,Tables!$A$260:$A$274,1),1),ROWS(Tables!$A$260:$A$274)-1))+1)-INDEX(Tables!$A$260:$A$274,MAX(1,MIN(IFERROR(MATCH(U123,Tables!$A$260:$A$274,1),1),ROWS(Tables!$A$260:$A$274)-1))))),IF(P123&lt;8,(INDEX(Tables!$D$260:$D$274,MAX(1,MIN(IFERROR(MATCH(U123,Tables!$C$260:$C$274,1),1),ROWS(Tables!$C$260:$C$274)-1)))+(U123-INDEX(Tables!$C$260:$C$274,MAX(1,MIN(IFERROR(MATCH(U123,Tables!$C$260:$C$274,1),1),ROWS(Tables!$C$260:$C$274)-1))))*(INDEX(Tables!$D$260:$D$274,MAX(1,MIN(IFERROR(MATCH(U123,Tables!$C$260:$C$274,1),1),ROWS(Tables!$C$260:$C$274)-1))+1)-INDEX(Tables!$D$260:$D$274,MAX(1,MIN(IFERROR(MATCH(U123,Tables!$C$260:$C$274,1),1),ROWS(Tables!$C$260:$C$274)-1))))/(INDEX(Tables!$C$260:$C$274,MAX(1,MIN(IFERROR(MATCH(U123,Tables!$C$260:$C$274,1),1),ROWS(Tables!$C$260:$C$274)-1))+1)-INDEX(Tables!$C$260:$C$274,MAX(1,MIN(IFERROR(MATCH(U123,Tables!$C$260:$C$274,1),1),ROWS(Tables!$C$260:$C$274)-1))))),IF(P123&lt;10,(INDEX(Tables!$F$260:$F$274,MAX(1,MIN(IFERROR(MATCH(U123,Tables!$E$260:$E$274,1),1),ROWS(Tables!$E$260:$E$274)-1)))+(U123-INDEX(Tables!$E$260:$E$274,MAX(1,MIN(IFERROR(MATCH(U123,Tables!$E$260:$E$274,1),1),ROWS(Tables!$E$260:$E$274)-1))))*(INDEX(Tables!$F$260:$F$274,MAX(1,MIN(IFERROR(MATCH(U123,Tables!$E$260:$E$274,1),1),ROWS(Tables!$E$260:$E$274)-1))+1)-INDEX(Tables!$F$260:$F$274,MAX(1,MIN(IFERROR(MATCH(U123,Tables!$E$260:$E$274,1),1),ROWS(Tables!$E$260:$E$274)-1))))/(INDEX(Tables!$E$260:$E$274,MAX(1,MIN(IFERROR(MATCH(U123,Tables!$E$260:$E$274,1),1),ROWS(Tables!$E$260:$E$274)-1))+1)-INDEX(Tables!$E$260:$E$274,MAX(1,MIN(IFERROR(MATCH(U123,Tables!$E$260:$E$274,1),1),ROWS(Tables!$E$260:$E$274)-1))))),(INDEX(Tables!$H$260:$H$274,MAX(1,MIN(IFERROR(MATCH(U123,Tables!$G$260:$G$274,1),1),ROWS(Tables!$G$260:$G$274)-1)))+(U123-INDEX(Tables!$G$260:$G$274,MAX(1,MIN(IFERROR(MATCH(U123,Tables!$G$260:$G$274,1),1),ROWS(Tables!$G$260:$G$274)-1))))*(INDEX(Tables!$H$260:$H$274,MAX(1,MIN(IFERROR(MATCH(U123,Tables!$G$260:$G$274,1),1),ROWS(Tables!$G$260:$G$274)-1))+1)-INDEX(Tables!$H$260:$H$274,MAX(1,MIN(IFERROR(MATCH(U123,Tables!$G$260:$G$274,1),1),ROWS(Tables!$G$260:$G$274)-1))))/(INDEX(Tables!$G$260:$G$274,MAX(1,MIN(IFERROR(MATCH(U123,Tables!$G$260:$G$274,1),1),ROWS(Tables!$G$260:$G$274)-1))+1)-INDEX(Tables!$G$260:$G$274,MAX(1,MIN(IFERROR(MATCH(U123,Tables!$G$260:$G$274,1),1),ROWS(Tables!$G$260:$G$274)-1))))))))</f>
        <v>1.0024999999999999</v>
      </c>
      <c r="AW123" s="181">
        <f t="shared" si="105"/>
        <v>1286.5764967696375</v>
      </c>
      <c r="AX123" s="181">
        <f t="shared" si="106"/>
        <v>-223.92502463054186</v>
      </c>
      <c r="AY123" s="181">
        <f t="shared" si="107"/>
        <v>2276.1125973759235</v>
      </c>
      <c r="AZ123" s="181">
        <f t="shared" si="108"/>
        <v>1541.3289962157826</v>
      </c>
      <c r="BA123" s="181">
        <f t="shared" si="109"/>
        <v>14.73</v>
      </c>
      <c r="BB123" s="181">
        <f t="shared" si="110"/>
        <v>1998.0318675506128</v>
      </c>
      <c r="BC123" s="181">
        <f t="shared" si="111"/>
        <v>46800</v>
      </c>
      <c r="BD123" s="181">
        <f>VLOOKUP(V123&amp;" "&amp;J123,Tables!$A$152:$E$239,4,FALSE)</f>
        <v>12000</v>
      </c>
      <c r="BE123" s="181">
        <f>VLOOKUP(V123&amp;" "&amp;J123,Tables!$A$152:$E$239,5,FALSE)</f>
        <v>23000</v>
      </c>
      <c r="BF123" s="181">
        <f t="shared" si="112"/>
        <v>8640</v>
      </c>
      <c r="BG123" s="181">
        <f t="shared" si="113"/>
        <v>16560</v>
      </c>
      <c r="BH123" s="181">
        <f t="shared" si="114"/>
        <v>-231.29002463054186</v>
      </c>
      <c r="BI123" s="181">
        <f t="shared" si="115"/>
        <v>46800</v>
      </c>
      <c r="BJ123" s="181">
        <f t="shared" si="116"/>
        <v>1998.0318675506128</v>
      </c>
      <c r="BK123" s="181">
        <f t="shared" si="117"/>
        <v>46800</v>
      </c>
      <c r="BL123" s="181">
        <f t="shared" si="118"/>
        <v>1286.5764967696375</v>
      </c>
      <c r="BM123" s="181">
        <f t="shared" si="119"/>
        <v>8640</v>
      </c>
      <c r="BN123" s="181">
        <f t="shared" si="120"/>
        <v>1426.9375992221071</v>
      </c>
      <c r="BO123" s="181">
        <f t="shared" si="121"/>
        <v>16560</v>
      </c>
      <c r="BP123" t="str">
        <f t="shared" si="122"/>
        <v>Pass</v>
      </c>
      <c r="BQ123" t="str">
        <f t="shared" si="123"/>
        <v>Pass</v>
      </c>
      <c r="BR123" t="str">
        <f t="shared" si="124"/>
        <v>Pass</v>
      </c>
      <c r="BS123" t="str">
        <f t="shared" si="125"/>
        <v>Pass</v>
      </c>
      <c r="BT123" t="str">
        <f t="shared" si="126"/>
        <v>Pass</v>
      </c>
      <c r="BU123" t="str">
        <f t="shared" si="127"/>
        <v>Girth Weld Stress</v>
      </c>
    </row>
    <row r="124" spans="1:73">
      <c r="A124" t="s">
        <v>716</v>
      </c>
      <c r="B124" s="181">
        <v>122</v>
      </c>
      <c r="C124" t="s">
        <v>594</v>
      </c>
      <c r="D124" s="181">
        <v>16</v>
      </c>
      <c r="E124" s="181">
        <v>0.81200000000000006</v>
      </c>
      <c r="F124" t="s">
        <v>117</v>
      </c>
      <c r="G124" t="s">
        <v>119</v>
      </c>
      <c r="H124" t="s">
        <v>122</v>
      </c>
      <c r="I124" s="181">
        <v>1</v>
      </c>
      <c r="J124" t="s">
        <v>126</v>
      </c>
      <c r="K124" t="s">
        <v>129</v>
      </c>
      <c r="L124" s="181">
        <v>70</v>
      </c>
      <c r="M124" s="181">
        <v>-14.73</v>
      </c>
      <c r="N124" t="s">
        <v>388</v>
      </c>
      <c r="O124" s="181">
        <v>120</v>
      </c>
      <c r="P124" s="181">
        <v>8</v>
      </c>
      <c r="Q124" s="181">
        <v>18</v>
      </c>
      <c r="R124" t="s">
        <v>417</v>
      </c>
      <c r="S124" t="s">
        <v>156</v>
      </c>
      <c r="T124" s="181">
        <v>70</v>
      </c>
      <c r="U124" s="181">
        <f>HLOOKUP(D124,'Highway Loading'!$C$155:$AD$156,2,FALSE)</f>
        <v>16</v>
      </c>
      <c r="V124" s="181">
        <f>IF(ISBLANK(G124),"",INDEX('Highway Loading'!$C$216:$AG$216,1,MATCH(G124,'Highway Loading'!$C$215:$AG$215,0)))</f>
        <v>65000</v>
      </c>
      <c r="W124" s="181">
        <f>INDEX('Highway Loading'!$I$245:$L$253,MATCH(H124,'Highway Loading'!$H$245:$H$253,0),MATCH(I124,'Highway Loading'!$I$244:$L$244,0))</f>
        <v>0.72</v>
      </c>
      <c r="X124" s="181">
        <f t="shared" si="96"/>
        <v>1</v>
      </c>
      <c r="Y124" s="181">
        <f>VLOOKUP(K124,'Highway Loading'!$B$283:$E$292,2,FALSE)</f>
        <v>29000000</v>
      </c>
      <c r="Z124" s="181">
        <f>VLOOKUP(K124,'Highway Loading'!$B$283:$E$292,3,FALSE)</f>
        <v>0.3</v>
      </c>
      <c r="AA124" s="181">
        <f>VLOOKUP(K124,'Highway Loading'!$B$283:$E$292,4,FALSE)</f>
        <v>6.4999999999999996E-6</v>
      </c>
      <c r="AB124" s="181">
        <f t="shared" si="97"/>
        <v>1</v>
      </c>
      <c r="AC124" s="181">
        <f>VLOOKUP(N124,'Highway Loading'!$B$256:$D$261,2,FALSE)</f>
        <v>200</v>
      </c>
      <c r="AD124" s="181">
        <f>VLOOKUP(N124,'Highway Loading'!$B$256:$D$261,3,FALSE)</f>
        <v>5000</v>
      </c>
      <c r="AE124" s="181">
        <f>VLOOKUP(S124,'Highway Loading'!$B$340:$C$341,2,FALSE)</f>
        <v>10000</v>
      </c>
      <c r="AF124" s="181">
        <f t="shared" si="98"/>
        <v>5.0750000000000003E-2</v>
      </c>
      <c r="AG124" s="181">
        <f t="shared" si="99"/>
        <v>5.333333333333333</v>
      </c>
      <c r="AH124" s="181">
        <f t="shared" si="100"/>
        <v>1.125</v>
      </c>
      <c r="AI124" s="181">
        <f t="shared" si="101"/>
        <v>-145.1231527093596</v>
      </c>
      <c r="AJ124" s="181">
        <f t="shared" si="102"/>
        <v>46800</v>
      </c>
      <c r="AK124" s="181">
        <f>IF(AC124=200,(INDEX(Tables!$B$17:$B$38,MAX(1,MIN(IFERROR(MATCH(AF124,Tables!$A$17:$A$38,1),1),ROWS(Tables!$A$17:$A$38)-1)))+(AF124-INDEX(Tables!$A$17:$A$38,MAX(1,MIN(IFERROR(MATCH(AF124,Tables!$A$17:$A$38,1),1),ROWS(Tables!$A$17:$A$38)-1))))*(INDEX(Tables!$B$17:$B$38,MAX(1,MIN(IFERROR(MATCH(AF124,Tables!$A$17:$A$38,1),1),ROWS(Tables!$A$17:$A$38)-1))+1)-INDEX(Tables!$B$17:$B$38,MAX(1,MIN(IFERROR(MATCH(AF124,Tables!$A$17:$A$38,1),1),ROWS(Tables!$A$17:$A$38)-1))))/(INDEX(Tables!$A$17:$A$38,MAX(1,MIN(IFERROR(MATCH(AF124,Tables!$A$17:$A$38,1),1),ROWS(Tables!$A$17:$A$38)-1))+1)-INDEX(Tables!$A$17:$A$38,MAX(1,MIN(IFERROR(MATCH(AF124,Tables!$A$17:$A$38,1),1),ROWS(Tables!$A$17:$A$38)-1))))),IF(AC124=500,(INDEX(Tables!$D$17:$D$38,MAX(1,MIN(IFERROR(MATCH(AF124,Tables!$C$17:$C$38,1),1),ROWS(Tables!$C$17:$C$38)-1)))+(AF124-INDEX(Tables!$C$17:$C$38,MAX(1,MIN(IFERROR(MATCH(AF124,Tables!$C$17:$C$38,1),1),ROWS(Tables!$C$17:$C$38)-1))))*(INDEX(Tables!$D$17:$D$38,MAX(1,MIN(IFERROR(MATCH(AF124,Tables!$C$17:$C$38,1),1),ROWS(Tables!$C$17:$C$38)-1))+1)-INDEX(Tables!$D$17:$D$38,MAX(1,MIN(IFERROR(MATCH(AF124,Tables!$C$17:$C$38,1),1),ROWS(Tables!$C$17:$C$38)-1))))/(INDEX(Tables!$C$17:$C$38,MAX(1,MIN(IFERROR(MATCH(AF124,Tables!$C$17:$C$38,1),1),ROWS(Tables!$C$17:$C$38)-1))+1)-INDEX(Tables!$C$17:$C$38,MAX(1,MIN(IFERROR(MATCH(AF124,Tables!$C$17:$C$38,1),1),ROWS(Tables!$C$17:$C$38)-1))))),IF(AC124=1000,(INDEX(Tables!$F$17:$F$38,MAX(1,MIN(IFERROR(MATCH(AF124,Tables!$E$17:$E$38,1),1),ROWS(Tables!$E$17:$E$38)-1)))+(AF124-INDEX(Tables!$E$17:$E$38,MAX(1,MIN(IFERROR(MATCH(AF124,Tables!$E$17:$E$38,1),1),ROWS(Tables!$E$17:$E$38)-1))))*(INDEX(Tables!$F$17:$F$38,MAX(1,MIN(IFERROR(MATCH(AF124,Tables!$E$17:$E$38,1),1),ROWS(Tables!$E$17:$E$38)-1))+1)-INDEX(Tables!$F$17:$F$38,MAX(1,MIN(IFERROR(MATCH(AF124,Tables!$E$17:$E$38,1),1),ROWS(Tables!$E$17:$E$38)-1))))/(INDEX(Tables!$E$17:$E$38,MAX(1,MIN(IFERROR(MATCH(AF124,Tables!$E$17:$E$38,1),1),ROWS(Tables!$E$17:$E$38)-1))+1)-INDEX(Tables!$E$17:$E$38,MAX(1,MIN(IFERROR(MATCH(AF124,Tables!$E$17:$E$38,1),1),ROWS(Tables!$E$17:$E$38)-1))))),(INDEX(Tables!$H$17:$H$38,MAX(1,MIN(IFERROR(MATCH(AF124,Tables!$G$17:$G$38,1),1),ROWS(Tables!$G$17:$G$38)-1)))+(AF124-INDEX(Tables!$G$17:$G$38,MAX(1,MIN(IFERROR(MATCH(AF124,Tables!$G$17:$G$38,1),1),ROWS(Tables!$G$17:$G$38)-1))))*(INDEX(Tables!$H$17:$H$38,MAX(1,MIN(IFERROR(MATCH(AF124,Tables!$G$17:$G$38,1),1),ROWS(Tables!$G$17:$G$38)-1))+1)-INDEX(Tables!$H$17:$H$38,MAX(1,MIN(IFERROR(MATCH(AF124,Tables!$G$17:$G$38,1),1),ROWS(Tables!$G$17:$G$38)-1))))/(INDEX(Tables!$G$17:$G$38,MAX(1,MIN(IFERROR(MATCH(AF124,Tables!$G$17:$G$38,1),1),ROWS(Tables!$G$17:$G$38)-1))+1)-INDEX(Tables!$G$17:$G$38,MAX(1,MIN(IFERROR(MATCH(AF124,Tables!$G$17:$G$38,1),1),ROWS(Tables!$G$17:$G$38)-1))))))))</f>
        <v>449.95</v>
      </c>
      <c r="AL124" s="181">
        <f>IF(AC124&lt;1000,(INDEX(Tables!$B$43:$B$76,MAX(1,MIN(IFERROR(MATCH(AG124,Tables!$A$43:$A$76,1),1),ROWS(Tables!$A$43:$A$76)-1)))+(AG124-INDEX(Tables!$A$43:$A$76,MAX(1,MIN(IFERROR(MATCH(AG124,Tables!$A$43:$A$76,1),1),ROWS(Tables!$A$43:$A$76)-1))))*(INDEX(Tables!$B$43:$B$76,MAX(1,MIN(IFERROR(MATCH(AG124,Tables!$A$43:$A$76,1),1),ROWS(Tables!$A$43:$A$76)-1))+1)-INDEX(Tables!$B$43:$B$76,MAX(1,MIN(IFERROR(MATCH(AG124,Tables!$A$43:$A$76,1),1),ROWS(Tables!$A$43:$A$76)-1))))/(INDEX(Tables!$A$43:$A$76,MAX(1,MIN(IFERROR(MATCH(AG124,Tables!$A$43:$A$76,1),1),ROWS(Tables!$A$43:$A$76)-1))+1)-INDEX(Tables!$A$43:$A$76,MAX(1,MIN(IFERROR(MATCH(AG124,Tables!$A$43:$A$76,1),1),ROWS(Tables!$A$43:$A$76)-1))))),(INDEX(Tables!$D$43:$D$76,MAX(1,MIN(IFERROR(MATCH(AG124,Tables!$C$43:$C$76,1),1),ROWS(Tables!$C$43:$C$76)-1)))+(AG124-INDEX(Tables!$C$43:$C$76,MAX(1,MIN(IFERROR(MATCH(AG124,Tables!$C$43:$C$76,1),1),ROWS(Tables!$C$43:$C$76)-1))))*(INDEX(Tables!$D$43:$D$76,MAX(1,MIN(IFERROR(MATCH(AG124,Tables!$C$43:$C$76,1),1),ROWS(Tables!$C$43:$C$76)-1))+1)-INDEX(Tables!$D$43:$D$76,MAX(1,MIN(IFERROR(MATCH(AG124,Tables!$C$43:$C$76,1),1),ROWS(Tables!$C$43:$C$76)-1))))/(INDEX(Tables!$C$43:$C$76,MAX(1,MIN(IFERROR(MATCH(AG124,Tables!$C$43:$C$76,1),1),ROWS(Tables!$C$43:$C$76)-1))+1)-INDEX(Tables!$C$43:$C$76,MAX(1,MIN(IFERROR(MATCH(AG124,Tables!$C$43:$C$76,1),1),ROWS(Tables!$C$43:$C$76)-1))))))</f>
        <v>1.1053333333333333</v>
      </c>
      <c r="AM124" s="181">
        <f>(INDEX(Tables!$B$80:$B$87,MAX(1,MIN(IFERROR(MATCH(AH124,Tables!$A$80:$A$87,1),1),ROWS(Tables!$A$80:$A$87)-1)))+(AH124-INDEX(Tables!$A$80:$A$87,MAX(1,MIN(IFERROR(MATCH(AH124,Tables!$A$80:$A$87,1),1),ROWS(Tables!$A$80:$A$87)-1))))*(INDEX(Tables!$B$80:$B$87,MAX(1,MIN(IFERROR(MATCH(AH124,Tables!$A$80:$A$87,1),1),ROWS(Tables!$A$80:$A$87)-1))+1)-INDEX(Tables!$B$80:$B$87,MAX(1,MIN(IFERROR(MATCH(AH124,Tables!$A$80:$A$87,1),1),ROWS(Tables!$A$80:$A$87)-1))))/(INDEX(Tables!$A$80:$A$87,MAX(1,MIN(IFERROR(MATCH(AH124,Tables!$A$80:$A$87,1),1),ROWS(Tables!$A$80:$A$87)-1))+1)-INDEX(Tables!$A$80:$A$87,MAX(1,MIN(IFERROR(MATCH(AH124,Tables!$A$80:$A$87,1),1),ROWS(Tables!$A$80:$A$87)-1)))))</f>
        <v>1.04345</v>
      </c>
      <c r="AN124" s="181">
        <f t="shared" si="103"/>
        <v>576.6159577740741</v>
      </c>
      <c r="AO124" s="181">
        <f>(INDEX(Tables!$B$91:$B$94,MAX(1,MIN(IFERROR(MATCH(P124,Tables!$A$91:$A$94,1),1),ROWS(Tables!$A$91:$A$94)-1)))+(P124-INDEX(Tables!$A$91:$A$94,MAX(1,MIN(IFERROR(MATCH(P124,Tables!$A$91:$A$94,1),1),ROWS(Tables!$A$91:$A$94)-1))))*(INDEX(Tables!$B$91:$B$94,MAX(1,MIN(IFERROR(MATCH(P124,Tables!$A$91:$A$94,1),1),ROWS(Tables!$A$91:$A$94)-1))+1)-INDEX(Tables!$B$91:$B$94,MAX(1,MIN(IFERROR(MATCH(P124,Tables!$A$91:$A$94,1),1),ROWS(Tables!$A$91:$A$94)-1))))/(INDEX(Tables!$A$91:$A$94,MAX(1,MIN(IFERROR(MATCH(P124,Tables!$A$91:$A$94,1),1),ROWS(Tables!$A$91:$A$94)-1))+1)-INDEX(Tables!$A$91:$A$94,MAX(1,MIN(IFERROR(MATCH(P124,Tables!$A$91:$A$94,1),1),ROWS(Tables!$A$91:$A$94)-1)))))</f>
        <v>1.4152439024390244</v>
      </c>
      <c r="AP124" s="181">
        <f>IF(AD124=5000,(INDEX(Tables!$B$99:$B$118,MAX(1,MIN(IFERROR(MATCH(AF124,Tables!$A$99:$A$118,1),1),ROWS(Tables!$A$99:$A$118)-1)))+(AF124-INDEX(Tables!$A$99:$A$118,MAX(1,MIN(IFERROR(MATCH(AF124,Tables!$A$99:$A$118,1),1),ROWS(Tables!$A$99:$A$118)-1))))*(INDEX(Tables!$B$99:$B$118,MAX(1,MIN(IFERROR(MATCH(AF124,Tables!$A$99:$A$118,1),1),ROWS(Tables!$A$99:$A$118)-1))+1)-INDEX(Tables!$B$99:$B$118,MAX(1,MIN(IFERROR(MATCH(AF124,Tables!$A$99:$A$118,1),1),ROWS(Tables!$A$99:$A$118)-1))))/(INDEX(Tables!$A$99:$A$118,MAX(1,MIN(IFERROR(MATCH(AF124,Tables!$A$99:$A$118,1),1),ROWS(Tables!$A$99:$A$118)-1))+1)-INDEX(Tables!$A$99:$A$118,MAX(1,MIN(IFERROR(MATCH(AF124,Tables!$A$99:$A$118,1),1),ROWS(Tables!$A$99:$A$118)-1))))),IF(AD124=10000,(INDEX(Tables!$D$99:$D$118,MAX(1,MIN(IFERROR(MATCH(AF124,Tables!$C$99:$C$118,1),1),ROWS(Tables!$C$99:$C$118)-1)))+(AF124-INDEX(Tables!$C$99:$C$118,MAX(1,MIN(IFERROR(MATCH(AF124,Tables!$C$99:$C$118,1),1),ROWS(Tables!$C$99:$C$118)-1))))*(INDEX(Tables!$D$99:$D$118,MAX(1,MIN(IFERROR(MATCH(AF124,Tables!$C$99:$C$118,1),1),ROWS(Tables!$C$99:$C$118)-1))+1)-INDEX(Tables!$D$99:$D$118,MAX(1,MIN(IFERROR(MATCH(AF124,Tables!$C$99:$C$118,1),1),ROWS(Tables!$C$99:$C$118)-1))))/(INDEX(Tables!$C$99:$C$118,MAX(1,MIN(IFERROR(MATCH(AF124,Tables!$C$99:$C$118,1),1),ROWS(Tables!$C$99:$C$118)-1))+1)-INDEX(Tables!$C$99:$C$118,MAX(1,MIN(IFERROR(MATCH(AF124,Tables!$C$99:$C$118,1),1),ROWS(Tables!$C$99:$C$118)-1))))),(INDEX(Tables!$F$99:$F$118,MAX(1,MIN(IFERROR(MATCH(AF124,Tables!$E$99:$E$118,1),1),ROWS(Tables!$E$99:$E$118)-1)))+(AF124-INDEX(Tables!$E$99:$E$118,MAX(1,MIN(IFERROR(MATCH(AF124,Tables!$E$99:$E$118,1),1),ROWS(Tables!$E$99:$E$118)-1))))*(INDEX(Tables!$F$99:$F$118,MAX(1,MIN(IFERROR(MATCH(AF124,Tables!$E$99:$E$118,1),1),ROWS(Tables!$E$99:$E$118)-1))+1)-INDEX(Tables!$F$99:$F$118,MAX(1,MIN(IFERROR(MATCH(AF124,Tables!$E$99:$E$118,1),1),ROWS(Tables!$E$99:$E$118)-1))))/(INDEX(Tables!$E$99:$E$118,MAX(1,MIN(IFERROR(MATCH(AF124,Tables!$E$99:$E$118,1),1),ROWS(Tables!$E$99:$E$118)-1))+1)-INDEX(Tables!$E$99:$E$118,MAX(1,MIN(IFERROR(MATCH(AF124,Tables!$E$99:$E$118,1),1),ROWS(Tables!$E$99:$E$118)-1)))))))</f>
        <v>5.8145537190082637</v>
      </c>
      <c r="AQ124" s="181">
        <f>IF(P124&lt;6,(INDEX(Tables!$B$123:$B$138,MAX(1,MIN(IFERROR(MATCH(U124,Tables!$A$123:$A$138,1),1),ROWS(Tables!$A$123:$A$138)-1)))+(U124-INDEX(Tables!$A$123:$A$138,MAX(1,MIN(IFERROR(MATCH(U124,Tables!$A$123:$A$138,1),1),ROWS(Tables!$A$123:$A$138)-1))))*(INDEX(Tables!$B$123:$B$138,MAX(1,MIN(IFERROR(MATCH(U124,Tables!$A$123:$A$138,1),1),ROWS(Tables!$A$123:$A$138)-1))+1)-INDEX(Tables!$B$123:$B$138,MAX(1,MIN(IFERROR(MATCH(U124,Tables!$A$123:$A$138,1),1),ROWS(Tables!$A$123:$A$138)-1))))/(INDEX(Tables!$A$123:$A$138,MAX(1,MIN(IFERROR(MATCH(U124,Tables!$A$123:$A$138,1),1),ROWS(Tables!$A$123:$A$138)-1))+1)-INDEX(Tables!$A$123:$A$138,MAX(1,MIN(IFERROR(MATCH(U124,Tables!$A$123:$A$138,1),1),ROWS(Tables!$A$123:$A$138)-1))))),IF(P124&lt;8,(INDEX(Tables!$D$123:$D$138,MAX(1,MIN(IFERROR(MATCH(U124,Tables!$C$123:$C$138,1),1),ROWS(Tables!$C$123:$C$138)-1)))+(U124-INDEX(Tables!$C$123:$C$138,MAX(1,MIN(IFERROR(MATCH(U124,Tables!$C$123:$C$138,1),1),ROWS(Tables!$C$123:$C$138)-1))))*(INDEX(Tables!$D$123:$D$138,MAX(1,MIN(IFERROR(MATCH(U124,Tables!$C$123:$C$138,1),1),ROWS(Tables!$C$123:$C$138)-1))+1)-INDEX(Tables!$D$123:$D$138,MAX(1,MIN(IFERROR(MATCH(U124,Tables!$C$123:$C$138,1),1),ROWS(Tables!$C$123:$C$138)-1))))/(INDEX(Tables!$C$123:$C$138,MAX(1,MIN(IFERROR(MATCH(U124,Tables!$C$123:$C$138,1),1),ROWS(Tables!$C$123:$C$138)-1))+1)-INDEX(Tables!$C$123:$C$138,MAX(1,MIN(IFERROR(MATCH(U124,Tables!$C$123:$C$138,1),1),ROWS(Tables!$C$123:$C$138)-1))))),IF(P124&lt;10,(INDEX(Tables!$F$123:$F$138,MAX(1,MIN(IFERROR(MATCH(U124,Tables!$E$123:$E$138,1),1),ROWS(Tables!$E$123:$E$138)-1)))+(U124-INDEX(Tables!$E$123:$E$138,MAX(1,MIN(IFERROR(MATCH(U124,Tables!$E$123:$E$138,1),1),ROWS(Tables!$E$123:$E$138)-1))))*(INDEX(Tables!$F$123:$F$138,MAX(1,MIN(IFERROR(MATCH(U124,Tables!$E$123:$E$138,1),1),ROWS(Tables!$E$123:$E$138)-1))+1)-INDEX(Tables!$F$123:$F$138,MAX(1,MIN(IFERROR(MATCH(U124,Tables!$E$123:$E$138,1),1),ROWS(Tables!$E$123:$E$138)-1))))/(INDEX(Tables!$E$123:$E$138,MAX(1,MIN(IFERROR(MATCH(U124,Tables!$E$123:$E$138,1),1),ROWS(Tables!$E$123:$E$138)-1))+1)-INDEX(Tables!$E$123:$E$138,MAX(1,MIN(IFERROR(MATCH(U124,Tables!$E$123:$E$138,1),1),ROWS(Tables!$E$123:$E$138)-1))))),(INDEX(Tables!$H$123:$H$138,MAX(1,MIN(IFERROR(MATCH(U124,Tables!$G$123:$G$138,1),1),ROWS(Tables!$G$123:$G$138)-1)))+(U124-INDEX(Tables!$G$123:$G$138,MAX(1,MIN(IFERROR(MATCH(U124,Tables!$G$123:$G$138,1),1),ROWS(Tables!$G$123:$G$138)-1))))*(INDEX(Tables!$H$123:$H$138,MAX(1,MIN(IFERROR(MATCH(U124,Tables!$G$123:$G$138,1),1),ROWS(Tables!$G$123:$G$138)-1))+1)-INDEX(Tables!$H$123:$H$138,MAX(1,MIN(IFERROR(MATCH(U124,Tables!$G$123:$G$138,1),1),ROWS(Tables!$G$123:$G$138)-1))))/(INDEX(Tables!$G$123:$G$138,MAX(1,MIN(IFERROR(MATCH(U124,Tables!$G$123:$G$138,1),1),ROWS(Tables!$G$123:$G$138)-1))+1)-INDEX(Tables!$G$123:$G$138,MAX(1,MIN(IFERROR(MATCH(U124,Tables!$G$123:$G$138,1),1),ROWS(Tables!$G$123:$G$138)-1))))))))</f>
        <v>0.79200000000000004</v>
      </c>
      <c r="AR124" s="181">
        <f>IF(OR(P124&gt;=4,U124&gt;12),VLOOKUP(R124&amp;" "&amp;S124,Tables!$D$143:$F$148,2,FALSE),VLOOKUP(R124&amp;" "&amp;S124,Tables!$A$143:$C$148,2,FALSE))</f>
        <v>1.1000000000000001</v>
      </c>
      <c r="AS124" s="181">
        <f>IF(OR(P124&gt;=4,U124&gt;12),VLOOKUP(R124&amp;" "&amp;S124,Tables!$D$143:$F$148,3,FALSE),VLOOKUP(R124&amp;" "&amp;S124,Tables!$A$143:$C$148,3,FALSE))</f>
        <v>1</v>
      </c>
      <c r="AT124" s="181">
        <f t="shared" si="104"/>
        <v>497.85520762195119</v>
      </c>
      <c r="AU124" s="181">
        <f>IF(AD124=5000,(INDEX(Tables!$B$244:$B$263,MAX(1,MIN(IFERROR(MATCH(AF124,Tables!$A$244:$A$263,1),1),ROWS(Tables!$A$244:$A$263)-1)))+(AF124-INDEX(Tables!$A$244:$A$263,MAX(1,MIN(IFERROR(MATCH(AF124,Tables!$A$244:$A$263,1),1),ROWS(Tables!$A$244:$A$263)-1))))*(INDEX(Tables!$B$244:$B$263,MAX(1,MIN(IFERROR(MATCH(AF124,Tables!$A$244:$A$263,1),1),ROWS(Tables!$A$244:$A$263)-1))+1)-INDEX(Tables!$B$244:$B$263,MAX(1,MIN(IFERROR(MATCH(AF124,Tables!$A$244:$A$263,1),1),ROWS(Tables!$A$244:$A$263)-1))))/(INDEX(Tables!$A$244:$A$263,MAX(1,MIN(IFERROR(MATCH(AF124,Tables!$A$244:$A$263,1),1),ROWS(Tables!$A$244:$A$263)-1))+1)-INDEX(Tables!$A$244:$A$263,MAX(1,MIN(IFERROR(MATCH(AF124,Tables!$A$244:$A$263,1),1),ROWS(Tables!$A$244:$A$263)-1))))),IF(AD124=10000,(INDEX(Tables!$D$244:$D$263,MAX(1,MIN(IFERROR(MATCH(AF124,Tables!$C$244:$C$263,1),1),ROWS(Tables!$C$244:$C$263)-1)))+(AF124-INDEX(Tables!$C$244:$C$263,MAX(1,MIN(IFERROR(MATCH(AF124,Tables!$C$244:$C$263,1),1),ROWS(Tables!$C$244:$C$263)-1))))*(INDEX(Tables!$D$244:$D$263,MAX(1,MIN(IFERROR(MATCH(AF124,Tables!$C$244:$C$263,1),1),ROWS(Tables!$C$244:$C$263)-1))+1)-INDEX(Tables!$D$244:$D$263,MAX(1,MIN(IFERROR(MATCH(AF124,Tables!$C$244:$C$263,1),1),ROWS(Tables!$C$244:$C$263)-1))))/(INDEX(Tables!$C$244:$C$263,MAX(1,MIN(IFERROR(MATCH(AF124,Tables!$C$244:$C$263,1),1),ROWS(Tables!$C$244:$C$263)-1))+1)-INDEX(Tables!$C$244:$C$263,MAX(1,MIN(IFERROR(MATCH(AF124,Tables!$C$244:$C$263,1),1),ROWS(Tables!$C$244:$C$263)-1))))),(INDEX(Tables!$F$244:$F$263,MAX(1,MIN(IFERROR(MATCH(AF124,Tables!$E$244:$E$263,1),1),ROWS(Tables!$E$244:$E$263)-1)))+(AF124-INDEX(Tables!$E$244:$E$263,MAX(1,MIN(IFERROR(MATCH(AF124,Tables!$E$244:$E$263,1),1),ROWS(Tables!$E$244:$E$263)-1))))*(INDEX(Tables!$F$244:$F$263,MAX(1,MIN(IFERROR(MATCH(AF124,Tables!$E$244:$E$263,1),1),ROWS(Tables!$E$244:$E$263)-1))+1)-INDEX(Tables!$F$244:$F$263,MAX(1,MIN(IFERROR(MATCH(AF124,Tables!$E$244:$E$263,1),1),ROWS(Tables!$E$244:$E$263)-1))))/(INDEX(Tables!$E$244:$E$263,MAX(1,MIN(IFERROR(MATCH(AF124,Tables!$E$244:$E$263,1),1),ROWS(Tables!$E$244:$E$263)-1))+1)-INDEX(Tables!$E$244:$E$263,MAX(1,MIN(IFERROR(MATCH(AF124,Tables!$E$244:$E$263,1),1),ROWS(Tables!$E$244:$E$263)-1)))))))</f>
        <v>8.3038249999999998</v>
      </c>
      <c r="AV124" s="181">
        <f>IF(P124&lt;6,(INDEX(Tables!$B$260:$B$274,MAX(1,MIN(IFERROR(MATCH(U124,Tables!$A$260:$A$274,1),1),ROWS(Tables!$A$260:$A$274)-1)))+(U124-INDEX(Tables!$A$260:$A$274,MAX(1,MIN(IFERROR(MATCH(U124,Tables!$A$260:$A$274,1),1),ROWS(Tables!$A$260:$A$274)-1))))*(INDEX(Tables!$B$260:$B$274,MAX(1,MIN(IFERROR(MATCH(U124,Tables!$A$260:$A$274,1),1),ROWS(Tables!$A$260:$A$274)-1))+1)-INDEX(Tables!$B$260:$B$274,MAX(1,MIN(IFERROR(MATCH(U124,Tables!$A$260:$A$274,1),1),ROWS(Tables!$A$260:$A$274)-1))))/(INDEX(Tables!$A$260:$A$274,MAX(1,MIN(IFERROR(MATCH(U124,Tables!$A$260:$A$274,1),1),ROWS(Tables!$A$260:$A$274)-1))+1)-INDEX(Tables!$A$260:$A$274,MAX(1,MIN(IFERROR(MATCH(U124,Tables!$A$260:$A$274,1),1),ROWS(Tables!$A$260:$A$274)-1))))),IF(P124&lt;8,(INDEX(Tables!$D$260:$D$274,MAX(1,MIN(IFERROR(MATCH(U124,Tables!$C$260:$C$274,1),1),ROWS(Tables!$C$260:$C$274)-1)))+(U124-INDEX(Tables!$C$260:$C$274,MAX(1,MIN(IFERROR(MATCH(U124,Tables!$C$260:$C$274,1),1),ROWS(Tables!$C$260:$C$274)-1))))*(INDEX(Tables!$D$260:$D$274,MAX(1,MIN(IFERROR(MATCH(U124,Tables!$C$260:$C$274,1),1),ROWS(Tables!$C$260:$C$274)-1))+1)-INDEX(Tables!$D$260:$D$274,MAX(1,MIN(IFERROR(MATCH(U124,Tables!$C$260:$C$274,1),1),ROWS(Tables!$C$260:$C$274)-1))))/(INDEX(Tables!$C$260:$C$274,MAX(1,MIN(IFERROR(MATCH(U124,Tables!$C$260:$C$274,1),1),ROWS(Tables!$C$260:$C$274)-1))+1)-INDEX(Tables!$C$260:$C$274,MAX(1,MIN(IFERROR(MATCH(U124,Tables!$C$260:$C$274,1),1),ROWS(Tables!$C$260:$C$274)-1))))),IF(P124&lt;10,(INDEX(Tables!$F$260:$F$274,MAX(1,MIN(IFERROR(MATCH(U124,Tables!$E$260:$E$274,1),1),ROWS(Tables!$E$260:$E$274)-1)))+(U124-INDEX(Tables!$E$260:$E$274,MAX(1,MIN(IFERROR(MATCH(U124,Tables!$E$260:$E$274,1),1),ROWS(Tables!$E$260:$E$274)-1))))*(INDEX(Tables!$F$260:$F$274,MAX(1,MIN(IFERROR(MATCH(U124,Tables!$E$260:$E$274,1),1),ROWS(Tables!$E$260:$E$274)-1))+1)-INDEX(Tables!$F$260:$F$274,MAX(1,MIN(IFERROR(MATCH(U124,Tables!$E$260:$E$274,1),1),ROWS(Tables!$E$260:$E$274)-1))))/(INDEX(Tables!$E$260:$E$274,MAX(1,MIN(IFERROR(MATCH(U124,Tables!$E$260:$E$274,1),1),ROWS(Tables!$E$260:$E$274)-1))+1)-INDEX(Tables!$E$260:$E$274,MAX(1,MIN(IFERROR(MATCH(U124,Tables!$E$260:$E$274,1),1),ROWS(Tables!$E$260:$E$274)-1))))),(INDEX(Tables!$H$260:$H$274,MAX(1,MIN(IFERROR(MATCH(U124,Tables!$G$260:$G$274,1),1),ROWS(Tables!$G$260:$G$274)-1)))+(U124-INDEX(Tables!$G$260:$G$274,MAX(1,MIN(IFERROR(MATCH(U124,Tables!$G$260:$G$274,1),1),ROWS(Tables!$G$260:$G$274)-1))))*(INDEX(Tables!$H$260:$H$274,MAX(1,MIN(IFERROR(MATCH(U124,Tables!$G$260:$G$274,1),1),ROWS(Tables!$G$260:$G$274)-1))+1)-INDEX(Tables!$H$260:$H$274,MAX(1,MIN(IFERROR(MATCH(U124,Tables!$G$260:$G$274,1),1),ROWS(Tables!$G$260:$G$274)-1))))/(INDEX(Tables!$G$260:$G$274,MAX(1,MIN(IFERROR(MATCH(U124,Tables!$G$260:$G$274,1),1),ROWS(Tables!$G$260:$G$274)-1))+1)-INDEX(Tables!$G$260:$G$274,MAX(1,MIN(IFERROR(MATCH(U124,Tables!$G$260:$G$274,1),1),ROWS(Tables!$G$260:$G$274)-1))))))))</f>
        <v>0.84099999999999997</v>
      </c>
      <c r="AW124" s="181">
        <f t="shared" si="105"/>
        <v>754.98038642901008</v>
      </c>
      <c r="AX124" s="181">
        <f t="shared" si="106"/>
        <v>-137.75815270935959</v>
      </c>
      <c r="AY124" s="181">
        <f t="shared" si="107"/>
        <v>936.71301268666571</v>
      </c>
      <c r="AZ124" s="181">
        <f t="shared" si="108"/>
        <v>886.63772794842441</v>
      </c>
      <c r="BA124" s="181">
        <f t="shared" si="109"/>
        <v>14.73</v>
      </c>
      <c r="BB124" s="181">
        <f t="shared" si="110"/>
        <v>897.99312243484917</v>
      </c>
      <c r="BC124" s="181">
        <f t="shared" si="111"/>
        <v>46800</v>
      </c>
      <c r="BD124" s="181">
        <f>VLOOKUP(V124&amp;" "&amp;J124,Tables!$A$152:$E$239,4,FALSE)</f>
        <v>12000</v>
      </c>
      <c r="BE124" s="181">
        <f>VLOOKUP(V124&amp;" "&amp;J124,Tables!$A$152:$E$239,5,FALSE)</f>
        <v>23000</v>
      </c>
      <c r="BF124" s="181">
        <f t="shared" si="112"/>
        <v>8640</v>
      </c>
      <c r="BG124" s="181">
        <f t="shared" si="113"/>
        <v>16560</v>
      </c>
      <c r="BH124" s="181">
        <f t="shared" si="114"/>
        <v>-145.1231527093596</v>
      </c>
      <c r="BI124" s="181">
        <f t="shared" si="115"/>
        <v>46800</v>
      </c>
      <c r="BJ124" s="181">
        <f t="shared" si="116"/>
        <v>897.99312243484917</v>
      </c>
      <c r="BK124" s="181">
        <f t="shared" si="117"/>
        <v>46800</v>
      </c>
      <c r="BL124" s="181">
        <f t="shared" si="118"/>
        <v>754.98038642901008</v>
      </c>
      <c r="BM124" s="181">
        <f t="shared" si="119"/>
        <v>8640</v>
      </c>
      <c r="BN124" s="181">
        <f t="shared" si="120"/>
        <v>497.85520762195119</v>
      </c>
      <c r="BO124" s="181">
        <f t="shared" si="121"/>
        <v>16560</v>
      </c>
      <c r="BP124" t="str">
        <f t="shared" si="122"/>
        <v>Pass</v>
      </c>
      <c r="BQ124" t="str">
        <f t="shared" si="123"/>
        <v>Pass</v>
      </c>
      <c r="BR124" t="str">
        <f t="shared" si="124"/>
        <v>Pass</v>
      </c>
      <c r="BS124" t="str">
        <f t="shared" si="125"/>
        <v>Pass</v>
      </c>
      <c r="BT124" t="str">
        <f t="shared" si="126"/>
        <v>Pass</v>
      </c>
      <c r="BU124" t="str">
        <f t="shared" si="127"/>
        <v>Girth Weld Stress</v>
      </c>
    </row>
    <row r="125" spans="1:73">
      <c r="A125" t="s">
        <v>717</v>
      </c>
      <c r="B125" s="181">
        <v>123</v>
      </c>
      <c r="C125" t="s">
        <v>594</v>
      </c>
      <c r="D125" s="181">
        <v>24</v>
      </c>
      <c r="E125" s="181">
        <v>0.56200000000000006</v>
      </c>
      <c r="F125" t="s">
        <v>117</v>
      </c>
      <c r="G125" t="s">
        <v>119</v>
      </c>
      <c r="H125" t="s">
        <v>122</v>
      </c>
      <c r="I125" s="181">
        <v>1</v>
      </c>
      <c r="J125" t="s">
        <v>126</v>
      </c>
      <c r="K125" t="s">
        <v>129</v>
      </c>
      <c r="L125" s="181">
        <v>70</v>
      </c>
      <c r="M125" s="181">
        <v>0</v>
      </c>
      <c r="N125" t="s">
        <v>388</v>
      </c>
      <c r="O125" s="181">
        <v>120</v>
      </c>
      <c r="P125" s="181">
        <v>10</v>
      </c>
      <c r="Q125" s="181">
        <v>26</v>
      </c>
      <c r="R125" t="s">
        <v>417</v>
      </c>
      <c r="S125" t="s">
        <v>156</v>
      </c>
      <c r="T125" s="181">
        <v>70</v>
      </c>
      <c r="U125" s="181">
        <f>HLOOKUP(D125,'Highway Loading'!$C$155:$AD$156,2,FALSE)</f>
        <v>24</v>
      </c>
      <c r="V125" s="181">
        <f>IF(ISBLANK(G125),"",INDEX('Highway Loading'!$C$216:$AG$216,1,MATCH(G125,'Highway Loading'!$C$215:$AG$215,0)))</f>
        <v>65000</v>
      </c>
      <c r="W125" s="181">
        <f>INDEX('Highway Loading'!$I$245:$L$253,MATCH(H125,'Highway Loading'!$H$245:$H$253,0),MATCH(I125,'Highway Loading'!$I$244:$L$244,0))</f>
        <v>0.72</v>
      </c>
      <c r="X125" s="181">
        <f t="shared" si="96"/>
        <v>1</v>
      </c>
      <c r="Y125" s="181">
        <f>VLOOKUP(K125,'Highway Loading'!$B$283:$E$292,2,FALSE)</f>
        <v>29000000</v>
      </c>
      <c r="Z125" s="181">
        <f>VLOOKUP(K125,'Highway Loading'!$B$283:$E$292,3,FALSE)</f>
        <v>0.3</v>
      </c>
      <c r="AA125" s="181">
        <f>VLOOKUP(K125,'Highway Loading'!$B$283:$E$292,4,FALSE)</f>
        <v>6.4999999999999996E-6</v>
      </c>
      <c r="AB125" s="181">
        <f t="shared" si="97"/>
        <v>1</v>
      </c>
      <c r="AC125" s="181">
        <f>VLOOKUP(N125,'Highway Loading'!$B$256:$D$261,2,FALSE)</f>
        <v>200</v>
      </c>
      <c r="AD125" s="181">
        <f>VLOOKUP(N125,'Highway Loading'!$B$256:$D$261,3,FALSE)</f>
        <v>5000</v>
      </c>
      <c r="AE125" s="181">
        <f>VLOOKUP(S125,'Highway Loading'!$B$340:$C$341,2,FALSE)</f>
        <v>10000</v>
      </c>
      <c r="AF125" s="181">
        <f t="shared" si="98"/>
        <v>2.3416666666666669E-2</v>
      </c>
      <c r="AG125" s="181">
        <f t="shared" si="99"/>
        <v>4.615384615384615</v>
      </c>
      <c r="AH125" s="181">
        <f t="shared" si="100"/>
        <v>1.0833333333333333</v>
      </c>
      <c r="AI125" s="181">
        <f t="shared" si="101"/>
        <v>0</v>
      </c>
      <c r="AJ125" s="181">
        <f t="shared" si="102"/>
        <v>46800</v>
      </c>
      <c r="AK125" s="181">
        <f>IF(AC125=200,(INDEX(Tables!$B$17:$B$38,MAX(1,MIN(IFERROR(MATCH(AF125,Tables!$A$17:$A$38,1),1),ROWS(Tables!$A$17:$A$38)-1)))+(AF125-INDEX(Tables!$A$17:$A$38,MAX(1,MIN(IFERROR(MATCH(AF125,Tables!$A$17:$A$38,1),1),ROWS(Tables!$A$17:$A$38)-1))))*(INDEX(Tables!$B$17:$B$38,MAX(1,MIN(IFERROR(MATCH(AF125,Tables!$A$17:$A$38,1),1),ROWS(Tables!$A$17:$A$38)-1))+1)-INDEX(Tables!$B$17:$B$38,MAX(1,MIN(IFERROR(MATCH(AF125,Tables!$A$17:$A$38,1),1),ROWS(Tables!$A$17:$A$38)-1))))/(INDEX(Tables!$A$17:$A$38,MAX(1,MIN(IFERROR(MATCH(AF125,Tables!$A$17:$A$38,1),1),ROWS(Tables!$A$17:$A$38)-1))+1)-INDEX(Tables!$A$17:$A$38,MAX(1,MIN(IFERROR(MATCH(AF125,Tables!$A$17:$A$38,1),1),ROWS(Tables!$A$17:$A$38)-1))))),IF(AC125=500,(INDEX(Tables!$D$17:$D$38,MAX(1,MIN(IFERROR(MATCH(AF125,Tables!$C$17:$C$38,1),1),ROWS(Tables!$C$17:$C$38)-1)))+(AF125-INDEX(Tables!$C$17:$C$38,MAX(1,MIN(IFERROR(MATCH(AF125,Tables!$C$17:$C$38,1),1),ROWS(Tables!$C$17:$C$38)-1))))*(INDEX(Tables!$D$17:$D$38,MAX(1,MIN(IFERROR(MATCH(AF125,Tables!$C$17:$C$38,1),1),ROWS(Tables!$C$17:$C$38)-1))+1)-INDEX(Tables!$D$17:$D$38,MAX(1,MIN(IFERROR(MATCH(AF125,Tables!$C$17:$C$38,1),1),ROWS(Tables!$C$17:$C$38)-1))))/(INDEX(Tables!$C$17:$C$38,MAX(1,MIN(IFERROR(MATCH(AF125,Tables!$C$17:$C$38,1),1),ROWS(Tables!$C$17:$C$38)-1))+1)-INDEX(Tables!$C$17:$C$38,MAX(1,MIN(IFERROR(MATCH(AF125,Tables!$C$17:$C$38,1),1),ROWS(Tables!$C$17:$C$38)-1))))),IF(AC125=1000,(INDEX(Tables!$F$17:$F$38,MAX(1,MIN(IFERROR(MATCH(AF125,Tables!$E$17:$E$38,1),1),ROWS(Tables!$E$17:$E$38)-1)))+(AF125-INDEX(Tables!$E$17:$E$38,MAX(1,MIN(IFERROR(MATCH(AF125,Tables!$E$17:$E$38,1),1),ROWS(Tables!$E$17:$E$38)-1))))*(INDEX(Tables!$F$17:$F$38,MAX(1,MIN(IFERROR(MATCH(AF125,Tables!$E$17:$E$38,1),1),ROWS(Tables!$E$17:$E$38)-1))+1)-INDEX(Tables!$F$17:$F$38,MAX(1,MIN(IFERROR(MATCH(AF125,Tables!$E$17:$E$38,1),1),ROWS(Tables!$E$17:$E$38)-1))))/(INDEX(Tables!$E$17:$E$38,MAX(1,MIN(IFERROR(MATCH(AF125,Tables!$E$17:$E$38,1),1),ROWS(Tables!$E$17:$E$38)-1))+1)-INDEX(Tables!$E$17:$E$38,MAX(1,MIN(IFERROR(MATCH(AF125,Tables!$E$17:$E$38,1),1),ROWS(Tables!$E$17:$E$38)-1))))),(INDEX(Tables!$H$17:$H$38,MAX(1,MIN(IFERROR(MATCH(AF125,Tables!$G$17:$G$38,1),1),ROWS(Tables!$G$17:$G$38)-1)))+(AF125-INDEX(Tables!$G$17:$G$38,MAX(1,MIN(IFERROR(MATCH(AF125,Tables!$G$17:$G$38,1),1),ROWS(Tables!$G$17:$G$38)-1))))*(INDEX(Tables!$H$17:$H$38,MAX(1,MIN(IFERROR(MATCH(AF125,Tables!$G$17:$G$38,1),1),ROWS(Tables!$G$17:$G$38)-1))+1)-INDEX(Tables!$H$17:$H$38,MAX(1,MIN(IFERROR(MATCH(AF125,Tables!$G$17:$G$38,1),1),ROWS(Tables!$G$17:$G$38)-1))))/(INDEX(Tables!$G$17:$G$38,MAX(1,MIN(IFERROR(MATCH(AF125,Tables!$G$17:$G$38,1),1),ROWS(Tables!$G$17:$G$38)-1))+1)-INDEX(Tables!$G$17:$G$38,MAX(1,MIN(IFERROR(MATCH(AF125,Tables!$G$17:$G$38,1),1),ROWS(Tables!$G$17:$G$38)-1))))))))</f>
        <v>2167.0166666666664</v>
      </c>
      <c r="AL125" s="181">
        <f>IF(AC125&lt;1000,(INDEX(Tables!$B$43:$B$76,MAX(1,MIN(IFERROR(MATCH(AG125,Tables!$A$43:$A$76,1),1),ROWS(Tables!$A$43:$A$76)-1)))+(AG125-INDEX(Tables!$A$43:$A$76,MAX(1,MIN(IFERROR(MATCH(AG125,Tables!$A$43:$A$76,1),1),ROWS(Tables!$A$43:$A$76)-1))))*(INDEX(Tables!$B$43:$B$76,MAX(1,MIN(IFERROR(MATCH(AG125,Tables!$A$43:$A$76,1),1),ROWS(Tables!$A$43:$A$76)-1))+1)-INDEX(Tables!$B$43:$B$76,MAX(1,MIN(IFERROR(MATCH(AG125,Tables!$A$43:$A$76,1),1),ROWS(Tables!$A$43:$A$76)-1))))/(INDEX(Tables!$A$43:$A$76,MAX(1,MIN(IFERROR(MATCH(AG125,Tables!$A$43:$A$76,1),1),ROWS(Tables!$A$43:$A$76)-1))+1)-INDEX(Tables!$A$43:$A$76,MAX(1,MIN(IFERROR(MATCH(AG125,Tables!$A$43:$A$76,1),1),ROWS(Tables!$A$43:$A$76)-1))))),(INDEX(Tables!$D$43:$D$76,MAX(1,MIN(IFERROR(MATCH(AG125,Tables!$C$43:$C$76,1),1),ROWS(Tables!$C$43:$C$76)-1)))+(AG125-INDEX(Tables!$C$43:$C$76,MAX(1,MIN(IFERROR(MATCH(AG125,Tables!$C$43:$C$76,1),1),ROWS(Tables!$C$43:$C$76)-1))))*(INDEX(Tables!$D$43:$D$76,MAX(1,MIN(IFERROR(MATCH(AG125,Tables!$C$43:$C$76,1),1),ROWS(Tables!$C$43:$C$76)-1))+1)-INDEX(Tables!$D$43:$D$76,MAX(1,MIN(IFERROR(MATCH(AG125,Tables!$C$43:$C$76,1),1),ROWS(Tables!$C$43:$C$76)-1))))/(INDEX(Tables!$C$43:$C$76,MAX(1,MIN(IFERROR(MATCH(AG125,Tables!$C$43:$C$76,1),1),ROWS(Tables!$C$43:$C$76)-1))+1)-INDEX(Tables!$C$43:$C$76,MAX(1,MIN(IFERROR(MATCH(AG125,Tables!$C$43:$C$76,1),1),ROWS(Tables!$C$43:$C$76)-1))))))</f>
        <v>1.0408461538461538</v>
      </c>
      <c r="AM125" s="181">
        <f>(INDEX(Tables!$B$80:$B$87,MAX(1,MIN(IFERROR(MATCH(AH125,Tables!$A$80:$A$87,1),1),ROWS(Tables!$A$80:$A$87)-1)))+(AH125-INDEX(Tables!$A$80:$A$87,MAX(1,MIN(IFERROR(MATCH(AH125,Tables!$A$80:$A$87,1),1),ROWS(Tables!$A$80:$A$87)-1))))*(INDEX(Tables!$B$80:$B$87,MAX(1,MIN(IFERROR(MATCH(AH125,Tables!$A$80:$A$87,1),1),ROWS(Tables!$A$80:$A$87)-1))+1)-INDEX(Tables!$B$80:$B$87,MAX(1,MIN(IFERROR(MATCH(AH125,Tables!$A$80:$A$87,1),1),ROWS(Tables!$A$80:$A$87)-1))))/(INDEX(Tables!$A$80:$A$87,MAX(1,MIN(IFERROR(MATCH(AH125,Tables!$A$80:$A$87,1),1),ROWS(Tables!$A$80:$A$87)-1))+1)-INDEX(Tables!$A$80:$A$87,MAX(1,MIN(IFERROR(MATCH(AH125,Tables!$A$80:$A$87,1),1),ROWS(Tables!$A$80:$A$87)-1)))))</f>
        <v>0.96739999999999982</v>
      </c>
      <c r="AN125" s="181">
        <f t="shared" si="103"/>
        <v>3636.6677557209387</v>
      </c>
      <c r="AO125" s="181">
        <f>(INDEX(Tables!$B$91:$B$94,MAX(1,MIN(IFERROR(MATCH(P125,Tables!$A$91:$A$94,1),1),ROWS(Tables!$A$91:$A$94)-1)))+(P125-INDEX(Tables!$A$91:$A$94,MAX(1,MIN(IFERROR(MATCH(P125,Tables!$A$91:$A$94,1),1),ROWS(Tables!$A$91:$A$94)-1))))*(INDEX(Tables!$B$91:$B$94,MAX(1,MIN(IFERROR(MATCH(P125,Tables!$A$91:$A$94,1),1),ROWS(Tables!$A$91:$A$94)-1))+1)-INDEX(Tables!$B$91:$B$94,MAX(1,MIN(IFERROR(MATCH(P125,Tables!$A$91:$A$94,1),1),ROWS(Tables!$A$91:$A$94)-1))))/(INDEX(Tables!$A$91:$A$94,MAX(1,MIN(IFERROR(MATCH(P125,Tables!$A$91:$A$94,1),1),ROWS(Tables!$A$91:$A$94)-1))+1)-INDEX(Tables!$A$91:$A$94,MAX(1,MIN(IFERROR(MATCH(P125,Tables!$A$91:$A$94,1),1),ROWS(Tables!$A$91:$A$94)-1)))))</f>
        <v>1.3542682926829268</v>
      </c>
      <c r="AP125" s="181">
        <f>IF(AD125=5000,(INDEX(Tables!$B$99:$B$118,MAX(1,MIN(IFERROR(MATCH(AF125,Tables!$A$99:$A$118,1),1),ROWS(Tables!$A$99:$A$118)-1)))+(AF125-INDEX(Tables!$A$99:$A$118,MAX(1,MIN(IFERROR(MATCH(AF125,Tables!$A$99:$A$118,1),1),ROWS(Tables!$A$99:$A$118)-1))))*(INDEX(Tables!$B$99:$B$118,MAX(1,MIN(IFERROR(MATCH(AF125,Tables!$A$99:$A$118,1),1),ROWS(Tables!$A$99:$A$118)-1))+1)-INDEX(Tables!$B$99:$B$118,MAX(1,MIN(IFERROR(MATCH(AF125,Tables!$A$99:$A$118,1),1),ROWS(Tables!$A$99:$A$118)-1))))/(INDEX(Tables!$A$99:$A$118,MAX(1,MIN(IFERROR(MATCH(AF125,Tables!$A$99:$A$118,1),1),ROWS(Tables!$A$99:$A$118)-1))+1)-INDEX(Tables!$A$99:$A$118,MAX(1,MIN(IFERROR(MATCH(AF125,Tables!$A$99:$A$118,1),1),ROWS(Tables!$A$99:$A$118)-1))))),IF(AD125=10000,(INDEX(Tables!$D$99:$D$118,MAX(1,MIN(IFERROR(MATCH(AF125,Tables!$C$99:$C$118,1),1),ROWS(Tables!$C$99:$C$118)-1)))+(AF125-INDEX(Tables!$C$99:$C$118,MAX(1,MIN(IFERROR(MATCH(AF125,Tables!$C$99:$C$118,1),1),ROWS(Tables!$C$99:$C$118)-1))))*(INDEX(Tables!$D$99:$D$118,MAX(1,MIN(IFERROR(MATCH(AF125,Tables!$C$99:$C$118,1),1),ROWS(Tables!$C$99:$C$118)-1))+1)-INDEX(Tables!$D$99:$D$118,MAX(1,MIN(IFERROR(MATCH(AF125,Tables!$C$99:$C$118,1),1),ROWS(Tables!$C$99:$C$118)-1))))/(INDEX(Tables!$C$99:$C$118,MAX(1,MIN(IFERROR(MATCH(AF125,Tables!$C$99:$C$118,1),1),ROWS(Tables!$C$99:$C$118)-1))+1)-INDEX(Tables!$C$99:$C$118,MAX(1,MIN(IFERROR(MATCH(AF125,Tables!$C$99:$C$118,1),1),ROWS(Tables!$C$99:$C$118)-1))))),(INDEX(Tables!$F$99:$F$118,MAX(1,MIN(IFERROR(MATCH(AF125,Tables!$E$99:$E$118,1),1),ROWS(Tables!$E$99:$E$118)-1)))+(AF125-INDEX(Tables!$E$99:$E$118,MAX(1,MIN(IFERROR(MATCH(AF125,Tables!$E$99:$E$118,1),1),ROWS(Tables!$E$99:$E$118)-1))))*(INDEX(Tables!$F$99:$F$118,MAX(1,MIN(IFERROR(MATCH(AF125,Tables!$E$99:$E$118,1),1),ROWS(Tables!$E$99:$E$118)-1))+1)-INDEX(Tables!$F$99:$F$118,MAX(1,MIN(IFERROR(MATCH(AF125,Tables!$E$99:$E$118,1),1),ROWS(Tables!$E$99:$E$118)-1))))/(INDEX(Tables!$E$99:$E$118,MAX(1,MIN(IFERROR(MATCH(AF125,Tables!$E$99:$E$118,1),1),ROWS(Tables!$E$99:$E$118)-1))+1)-INDEX(Tables!$E$99:$E$118,MAX(1,MIN(IFERROR(MATCH(AF125,Tables!$E$99:$E$118,1),1),ROWS(Tables!$E$99:$E$118)-1)))))))</f>
        <v>17.686755937755937</v>
      </c>
      <c r="AQ125" s="181">
        <f>IF(P125&lt;6,(INDEX(Tables!$B$123:$B$138,MAX(1,MIN(IFERROR(MATCH(U125,Tables!$A$123:$A$138,1),1),ROWS(Tables!$A$123:$A$138)-1)))+(U125-INDEX(Tables!$A$123:$A$138,MAX(1,MIN(IFERROR(MATCH(U125,Tables!$A$123:$A$138,1),1),ROWS(Tables!$A$123:$A$138)-1))))*(INDEX(Tables!$B$123:$B$138,MAX(1,MIN(IFERROR(MATCH(U125,Tables!$A$123:$A$138,1),1),ROWS(Tables!$A$123:$A$138)-1))+1)-INDEX(Tables!$B$123:$B$138,MAX(1,MIN(IFERROR(MATCH(U125,Tables!$A$123:$A$138,1),1),ROWS(Tables!$A$123:$A$138)-1))))/(INDEX(Tables!$A$123:$A$138,MAX(1,MIN(IFERROR(MATCH(U125,Tables!$A$123:$A$138,1),1),ROWS(Tables!$A$123:$A$138)-1))+1)-INDEX(Tables!$A$123:$A$138,MAX(1,MIN(IFERROR(MATCH(U125,Tables!$A$123:$A$138,1),1),ROWS(Tables!$A$123:$A$138)-1))))),IF(P125&lt;8,(INDEX(Tables!$D$123:$D$138,MAX(1,MIN(IFERROR(MATCH(U125,Tables!$C$123:$C$138,1),1),ROWS(Tables!$C$123:$C$138)-1)))+(U125-INDEX(Tables!$C$123:$C$138,MAX(1,MIN(IFERROR(MATCH(U125,Tables!$C$123:$C$138,1),1),ROWS(Tables!$C$123:$C$138)-1))))*(INDEX(Tables!$D$123:$D$138,MAX(1,MIN(IFERROR(MATCH(U125,Tables!$C$123:$C$138,1),1),ROWS(Tables!$C$123:$C$138)-1))+1)-INDEX(Tables!$D$123:$D$138,MAX(1,MIN(IFERROR(MATCH(U125,Tables!$C$123:$C$138,1),1),ROWS(Tables!$C$123:$C$138)-1))))/(INDEX(Tables!$C$123:$C$138,MAX(1,MIN(IFERROR(MATCH(U125,Tables!$C$123:$C$138,1),1),ROWS(Tables!$C$123:$C$138)-1))+1)-INDEX(Tables!$C$123:$C$138,MAX(1,MIN(IFERROR(MATCH(U125,Tables!$C$123:$C$138,1),1),ROWS(Tables!$C$123:$C$138)-1))))),IF(P125&lt;10,(INDEX(Tables!$F$123:$F$138,MAX(1,MIN(IFERROR(MATCH(U125,Tables!$E$123:$E$138,1),1),ROWS(Tables!$E$123:$E$138)-1)))+(U125-INDEX(Tables!$E$123:$E$138,MAX(1,MIN(IFERROR(MATCH(U125,Tables!$E$123:$E$138,1),1),ROWS(Tables!$E$123:$E$138)-1))))*(INDEX(Tables!$F$123:$F$138,MAX(1,MIN(IFERROR(MATCH(U125,Tables!$E$123:$E$138,1),1),ROWS(Tables!$E$123:$E$138)-1))+1)-INDEX(Tables!$F$123:$F$138,MAX(1,MIN(IFERROR(MATCH(U125,Tables!$E$123:$E$138,1),1),ROWS(Tables!$E$123:$E$138)-1))))/(INDEX(Tables!$E$123:$E$138,MAX(1,MIN(IFERROR(MATCH(U125,Tables!$E$123:$E$138,1),1),ROWS(Tables!$E$123:$E$138)-1))+1)-INDEX(Tables!$E$123:$E$138,MAX(1,MIN(IFERROR(MATCH(U125,Tables!$E$123:$E$138,1),1),ROWS(Tables!$E$123:$E$138)-1))))),(INDEX(Tables!$H$123:$H$138,MAX(1,MIN(IFERROR(MATCH(U125,Tables!$G$123:$G$138,1),1),ROWS(Tables!$G$123:$G$138)-1)))+(U125-INDEX(Tables!$G$123:$G$138,MAX(1,MIN(IFERROR(MATCH(U125,Tables!$G$123:$G$138,1),1),ROWS(Tables!$G$123:$G$138)-1))))*(INDEX(Tables!$H$123:$H$138,MAX(1,MIN(IFERROR(MATCH(U125,Tables!$G$123:$G$138,1),1),ROWS(Tables!$G$123:$G$138)-1))+1)-INDEX(Tables!$H$123:$H$138,MAX(1,MIN(IFERROR(MATCH(U125,Tables!$G$123:$G$138,1),1),ROWS(Tables!$G$123:$G$138)-1))))/(INDEX(Tables!$G$123:$G$138,MAX(1,MIN(IFERROR(MATCH(U125,Tables!$G$123:$G$138,1),1),ROWS(Tables!$G$123:$G$138)-1))+1)-INDEX(Tables!$G$123:$G$138,MAX(1,MIN(IFERROR(MATCH(U125,Tables!$G$123:$G$138,1),1),ROWS(Tables!$G$123:$G$138)-1))))))))</f>
        <v>0.57750000000000001</v>
      </c>
      <c r="AR125" s="181">
        <f>IF(OR(P125&gt;=4,U125&gt;12),VLOOKUP(R125&amp;" "&amp;S125,Tables!$D$143:$F$148,2,FALSE),VLOOKUP(R125&amp;" "&amp;S125,Tables!$A$143:$C$148,2,FALSE))</f>
        <v>1.1000000000000001</v>
      </c>
      <c r="AS125" s="181">
        <f>IF(OR(P125&gt;=4,U125&gt;12),VLOOKUP(R125&amp;" "&amp;S125,Tables!$D$143:$F$148,3,FALSE),VLOOKUP(R125&amp;" "&amp;S125,Tables!$A$143:$C$148,3,FALSE))</f>
        <v>1</v>
      </c>
      <c r="AT125" s="181">
        <f t="shared" si="104"/>
        <v>1056.6595319575483</v>
      </c>
      <c r="AU125" s="181">
        <f>IF(AD125=5000,(INDEX(Tables!$B$244:$B$263,MAX(1,MIN(IFERROR(MATCH(AF125,Tables!$A$244:$A$263,1),1),ROWS(Tables!$A$244:$A$263)-1)))+(AF125-INDEX(Tables!$A$244:$A$263,MAX(1,MIN(IFERROR(MATCH(AF125,Tables!$A$244:$A$263,1),1),ROWS(Tables!$A$244:$A$263)-1))))*(INDEX(Tables!$B$244:$B$263,MAX(1,MIN(IFERROR(MATCH(AF125,Tables!$A$244:$A$263,1),1),ROWS(Tables!$A$244:$A$263)-1))+1)-INDEX(Tables!$B$244:$B$263,MAX(1,MIN(IFERROR(MATCH(AF125,Tables!$A$244:$A$263,1),1),ROWS(Tables!$A$244:$A$263)-1))))/(INDEX(Tables!$A$244:$A$263,MAX(1,MIN(IFERROR(MATCH(AF125,Tables!$A$244:$A$263,1),1),ROWS(Tables!$A$244:$A$263)-1))+1)-INDEX(Tables!$A$244:$A$263,MAX(1,MIN(IFERROR(MATCH(AF125,Tables!$A$244:$A$263,1),1),ROWS(Tables!$A$244:$A$263)-1))))),IF(AD125=10000,(INDEX(Tables!$D$244:$D$263,MAX(1,MIN(IFERROR(MATCH(AF125,Tables!$C$244:$C$263,1),1),ROWS(Tables!$C$244:$C$263)-1)))+(AF125-INDEX(Tables!$C$244:$C$263,MAX(1,MIN(IFERROR(MATCH(AF125,Tables!$C$244:$C$263,1),1),ROWS(Tables!$C$244:$C$263)-1))))*(INDEX(Tables!$D$244:$D$263,MAX(1,MIN(IFERROR(MATCH(AF125,Tables!$C$244:$C$263,1),1),ROWS(Tables!$C$244:$C$263)-1))+1)-INDEX(Tables!$D$244:$D$263,MAX(1,MIN(IFERROR(MATCH(AF125,Tables!$C$244:$C$263,1),1),ROWS(Tables!$C$244:$C$263)-1))))/(INDEX(Tables!$C$244:$C$263,MAX(1,MIN(IFERROR(MATCH(AF125,Tables!$C$244:$C$263,1),1),ROWS(Tables!$C$244:$C$263)-1))+1)-INDEX(Tables!$C$244:$C$263,MAX(1,MIN(IFERROR(MATCH(AF125,Tables!$C$244:$C$263,1),1),ROWS(Tables!$C$244:$C$263)-1))))),(INDEX(Tables!$F$244:$F$263,MAX(1,MIN(IFERROR(MATCH(AF125,Tables!$E$244:$E$263,1),1),ROWS(Tables!$E$244:$E$263)-1)))+(AF125-INDEX(Tables!$E$244:$E$263,MAX(1,MIN(IFERROR(MATCH(AF125,Tables!$E$244:$E$263,1),1),ROWS(Tables!$E$244:$E$263)-1))))*(INDEX(Tables!$F$244:$F$263,MAX(1,MIN(IFERROR(MATCH(AF125,Tables!$E$244:$E$263,1),1),ROWS(Tables!$E$244:$E$263)-1))+1)-INDEX(Tables!$F$244:$F$263,MAX(1,MIN(IFERROR(MATCH(AF125,Tables!$E$244:$E$263,1),1),ROWS(Tables!$E$244:$E$263)-1))))/(INDEX(Tables!$E$244:$E$263,MAX(1,MIN(IFERROR(MATCH(AF125,Tables!$E$244:$E$263,1),1),ROWS(Tables!$E$244:$E$263)-1))+1)-INDEX(Tables!$E$244:$E$263,MAX(1,MIN(IFERROR(MATCH(AF125,Tables!$E$244:$E$263,1),1),ROWS(Tables!$E$244:$E$263)-1)))))))</f>
        <v>13.628550000000001</v>
      </c>
      <c r="AV125" s="181">
        <f>IF(P125&lt;6,(INDEX(Tables!$B$260:$B$274,MAX(1,MIN(IFERROR(MATCH(U125,Tables!$A$260:$A$274,1),1),ROWS(Tables!$A$260:$A$274)-1)))+(U125-INDEX(Tables!$A$260:$A$274,MAX(1,MIN(IFERROR(MATCH(U125,Tables!$A$260:$A$274,1),1),ROWS(Tables!$A$260:$A$274)-1))))*(INDEX(Tables!$B$260:$B$274,MAX(1,MIN(IFERROR(MATCH(U125,Tables!$A$260:$A$274,1),1),ROWS(Tables!$A$260:$A$274)-1))+1)-INDEX(Tables!$B$260:$B$274,MAX(1,MIN(IFERROR(MATCH(U125,Tables!$A$260:$A$274,1),1),ROWS(Tables!$A$260:$A$274)-1))))/(INDEX(Tables!$A$260:$A$274,MAX(1,MIN(IFERROR(MATCH(U125,Tables!$A$260:$A$274,1),1),ROWS(Tables!$A$260:$A$274)-1))+1)-INDEX(Tables!$A$260:$A$274,MAX(1,MIN(IFERROR(MATCH(U125,Tables!$A$260:$A$274,1),1),ROWS(Tables!$A$260:$A$274)-1))))),IF(P125&lt;8,(INDEX(Tables!$D$260:$D$274,MAX(1,MIN(IFERROR(MATCH(U125,Tables!$C$260:$C$274,1),1),ROWS(Tables!$C$260:$C$274)-1)))+(U125-INDEX(Tables!$C$260:$C$274,MAX(1,MIN(IFERROR(MATCH(U125,Tables!$C$260:$C$274,1),1),ROWS(Tables!$C$260:$C$274)-1))))*(INDEX(Tables!$D$260:$D$274,MAX(1,MIN(IFERROR(MATCH(U125,Tables!$C$260:$C$274,1),1),ROWS(Tables!$C$260:$C$274)-1))+1)-INDEX(Tables!$D$260:$D$274,MAX(1,MIN(IFERROR(MATCH(U125,Tables!$C$260:$C$274,1),1),ROWS(Tables!$C$260:$C$274)-1))))/(INDEX(Tables!$C$260:$C$274,MAX(1,MIN(IFERROR(MATCH(U125,Tables!$C$260:$C$274,1),1),ROWS(Tables!$C$260:$C$274)-1))+1)-INDEX(Tables!$C$260:$C$274,MAX(1,MIN(IFERROR(MATCH(U125,Tables!$C$260:$C$274,1),1),ROWS(Tables!$C$260:$C$274)-1))))),IF(P125&lt;10,(INDEX(Tables!$F$260:$F$274,MAX(1,MIN(IFERROR(MATCH(U125,Tables!$E$260:$E$274,1),1),ROWS(Tables!$E$260:$E$274)-1)))+(U125-INDEX(Tables!$E$260:$E$274,MAX(1,MIN(IFERROR(MATCH(U125,Tables!$E$260:$E$274,1),1),ROWS(Tables!$E$260:$E$274)-1))))*(INDEX(Tables!$F$260:$F$274,MAX(1,MIN(IFERROR(MATCH(U125,Tables!$E$260:$E$274,1),1),ROWS(Tables!$E$260:$E$274)-1))+1)-INDEX(Tables!$F$260:$F$274,MAX(1,MIN(IFERROR(MATCH(U125,Tables!$E$260:$E$274,1),1),ROWS(Tables!$E$260:$E$274)-1))))/(INDEX(Tables!$E$260:$E$274,MAX(1,MIN(IFERROR(MATCH(U125,Tables!$E$260:$E$274,1),1),ROWS(Tables!$E$260:$E$274)-1))+1)-INDEX(Tables!$E$260:$E$274,MAX(1,MIN(IFERROR(MATCH(U125,Tables!$E$260:$E$274,1),1),ROWS(Tables!$E$260:$E$274)-1))))),(INDEX(Tables!$H$260:$H$274,MAX(1,MIN(IFERROR(MATCH(U125,Tables!$G$260:$G$274,1),1),ROWS(Tables!$G$260:$G$274)-1)))+(U125-INDEX(Tables!$G$260:$G$274,MAX(1,MIN(IFERROR(MATCH(U125,Tables!$G$260:$G$274,1),1),ROWS(Tables!$G$260:$G$274)-1))))*(INDEX(Tables!$H$260:$H$274,MAX(1,MIN(IFERROR(MATCH(U125,Tables!$G$260:$G$274,1),1),ROWS(Tables!$G$260:$G$274)-1))+1)-INDEX(Tables!$H$260:$H$274,MAX(1,MIN(IFERROR(MATCH(U125,Tables!$G$260:$G$274,1),1),ROWS(Tables!$G$260:$G$274)-1))))/(INDEX(Tables!$G$260:$G$274,MAX(1,MIN(IFERROR(MATCH(U125,Tables!$G$260:$G$274,1),1),ROWS(Tables!$G$260:$G$274)-1))+1)-INDEX(Tables!$G$260:$G$274,MAX(1,MIN(IFERROR(MATCH(U125,Tables!$G$260:$G$274,1),1),ROWS(Tables!$G$260:$G$274)-1))))))))</f>
        <v>0.64533333333333331</v>
      </c>
      <c r="AW125" s="181">
        <f t="shared" si="105"/>
        <v>909.84759961720874</v>
      </c>
      <c r="AX125" s="181">
        <f t="shared" si="106"/>
        <v>0</v>
      </c>
      <c r="AY125" s="181">
        <f t="shared" si="107"/>
        <v>4693.3272876784868</v>
      </c>
      <c r="AZ125" s="181">
        <f t="shared" si="108"/>
        <v>2000.8479263334902</v>
      </c>
      <c r="BA125" s="181">
        <f t="shared" si="109"/>
        <v>0</v>
      </c>
      <c r="BB125" s="181">
        <f t="shared" si="110"/>
        <v>4079.2253287143435</v>
      </c>
      <c r="BC125" s="181">
        <f t="shared" si="111"/>
        <v>46800</v>
      </c>
      <c r="BD125" s="181">
        <f>VLOOKUP(V125&amp;" "&amp;J125,Tables!$A$152:$E$239,4,FALSE)</f>
        <v>12000</v>
      </c>
      <c r="BE125" s="181">
        <f>VLOOKUP(V125&amp;" "&amp;J125,Tables!$A$152:$E$239,5,FALSE)</f>
        <v>23000</v>
      </c>
      <c r="BF125" s="181">
        <f t="shared" si="112"/>
        <v>8640</v>
      </c>
      <c r="BG125" s="181">
        <f t="shared" si="113"/>
        <v>16560</v>
      </c>
      <c r="BH125" s="181">
        <f t="shared" si="114"/>
        <v>0</v>
      </c>
      <c r="BI125" s="181">
        <f t="shared" si="115"/>
        <v>46800</v>
      </c>
      <c r="BJ125" s="181">
        <f t="shared" si="116"/>
        <v>4079.2253287143435</v>
      </c>
      <c r="BK125" s="181">
        <f t="shared" si="117"/>
        <v>46800</v>
      </c>
      <c r="BL125" s="181">
        <f t="shared" si="118"/>
        <v>909.84759961720874</v>
      </c>
      <c r="BM125" s="181">
        <f t="shared" si="119"/>
        <v>8640</v>
      </c>
      <c r="BN125" s="181">
        <f t="shared" si="120"/>
        <v>1056.6595319575483</v>
      </c>
      <c r="BO125" s="181">
        <f t="shared" si="121"/>
        <v>16560</v>
      </c>
      <c r="BP125" t="str">
        <f t="shared" si="122"/>
        <v>Pass</v>
      </c>
      <c r="BQ125" t="str">
        <f t="shared" si="123"/>
        <v>Pass</v>
      </c>
      <c r="BR125" t="str">
        <f t="shared" si="124"/>
        <v>Pass</v>
      </c>
      <c r="BS125" t="str">
        <f t="shared" si="125"/>
        <v>Pass</v>
      </c>
      <c r="BT125" t="str">
        <f t="shared" si="126"/>
        <v>Pass</v>
      </c>
      <c r="BU125" t="str">
        <f t="shared" si="127"/>
        <v>Girth Weld Stress</v>
      </c>
    </row>
    <row r="126" spans="1:73">
      <c r="A126" t="s">
        <v>718</v>
      </c>
      <c r="B126" s="181">
        <v>124</v>
      </c>
      <c r="C126" t="s">
        <v>594</v>
      </c>
      <c r="D126" s="181">
        <v>36</v>
      </c>
      <c r="E126" s="181">
        <v>0.5</v>
      </c>
      <c r="F126" t="s">
        <v>117</v>
      </c>
      <c r="G126" t="s">
        <v>119</v>
      </c>
      <c r="H126" t="s">
        <v>122</v>
      </c>
      <c r="I126" s="181">
        <v>1</v>
      </c>
      <c r="J126" t="s">
        <v>126</v>
      </c>
      <c r="K126" t="s">
        <v>129</v>
      </c>
      <c r="L126" s="181">
        <v>70</v>
      </c>
      <c r="M126" s="181">
        <v>0</v>
      </c>
      <c r="N126" t="s">
        <v>388</v>
      </c>
      <c r="O126" s="181">
        <v>120</v>
      </c>
      <c r="P126" s="181">
        <v>14</v>
      </c>
      <c r="Q126" s="181">
        <v>38</v>
      </c>
      <c r="R126" t="s">
        <v>417</v>
      </c>
      <c r="S126" t="s">
        <v>156</v>
      </c>
      <c r="T126" s="181">
        <v>70</v>
      </c>
      <c r="U126" s="181">
        <f>HLOOKUP(D126,'Highway Loading'!$C$155:$AD$156,2,FALSE)</f>
        <v>36</v>
      </c>
      <c r="V126" s="181">
        <f>IF(ISBLANK(G126),"",INDEX('Highway Loading'!$C$216:$AG$216,1,MATCH(G126,'Highway Loading'!$C$215:$AG$215,0)))</f>
        <v>65000</v>
      </c>
      <c r="W126" s="181">
        <f>INDEX('Highway Loading'!$I$245:$L$253,MATCH(H126,'Highway Loading'!$H$245:$H$253,0),MATCH(I126,'Highway Loading'!$I$244:$L$244,0))</f>
        <v>0.72</v>
      </c>
      <c r="X126" s="181">
        <f t="shared" si="96"/>
        <v>1</v>
      </c>
      <c r="Y126" s="181">
        <f>VLOOKUP(K126,'Highway Loading'!$B$283:$E$292,2,FALSE)</f>
        <v>29000000</v>
      </c>
      <c r="Z126" s="181">
        <f>VLOOKUP(K126,'Highway Loading'!$B$283:$E$292,3,FALSE)</f>
        <v>0.3</v>
      </c>
      <c r="AA126" s="181">
        <f>VLOOKUP(K126,'Highway Loading'!$B$283:$E$292,4,FALSE)</f>
        <v>6.4999999999999996E-6</v>
      </c>
      <c r="AB126" s="181">
        <f t="shared" si="97"/>
        <v>1</v>
      </c>
      <c r="AC126" s="181">
        <f>VLOOKUP(N126,'Highway Loading'!$B$256:$D$261,2,FALSE)</f>
        <v>200</v>
      </c>
      <c r="AD126" s="181">
        <f>VLOOKUP(N126,'Highway Loading'!$B$256:$D$261,3,FALSE)</f>
        <v>5000</v>
      </c>
      <c r="AE126" s="181">
        <f>VLOOKUP(S126,'Highway Loading'!$B$340:$C$341,2,FALSE)</f>
        <v>10000</v>
      </c>
      <c r="AF126" s="181">
        <f t="shared" si="98"/>
        <v>1.3888888888888888E-2</v>
      </c>
      <c r="AG126" s="181">
        <f t="shared" si="99"/>
        <v>4.4210526315789478</v>
      </c>
      <c r="AH126" s="181">
        <f t="shared" si="100"/>
        <v>1.0555555555555556</v>
      </c>
      <c r="AI126" s="181">
        <f t="shared" si="101"/>
        <v>0</v>
      </c>
      <c r="AJ126" s="181">
        <f t="shared" si="102"/>
        <v>46800</v>
      </c>
      <c r="AK126" s="181">
        <f>IF(AC126=200,(INDEX(Tables!$B$17:$B$38,MAX(1,MIN(IFERROR(MATCH(AF126,Tables!$A$17:$A$38,1),1),ROWS(Tables!$A$17:$A$38)-1)))+(AF126-INDEX(Tables!$A$17:$A$38,MAX(1,MIN(IFERROR(MATCH(AF126,Tables!$A$17:$A$38,1),1),ROWS(Tables!$A$17:$A$38)-1))))*(INDEX(Tables!$B$17:$B$38,MAX(1,MIN(IFERROR(MATCH(AF126,Tables!$A$17:$A$38,1),1),ROWS(Tables!$A$17:$A$38)-1))+1)-INDEX(Tables!$B$17:$B$38,MAX(1,MIN(IFERROR(MATCH(AF126,Tables!$A$17:$A$38,1),1),ROWS(Tables!$A$17:$A$38)-1))))/(INDEX(Tables!$A$17:$A$38,MAX(1,MIN(IFERROR(MATCH(AF126,Tables!$A$17:$A$38,1),1),ROWS(Tables!$A$17:$A$38)-1))+1)-INDEX(Tables!$A$17:$A$38,MAX(1,MIN(IFERROR(MATCH(AF126,Tables!$A$17:$A$38,1),1),ROWS(Tables!$A$17:$A$38)-1))))),IF(AC126=500,(INDEX(Tables!$D$17:$D$38,MAX(1,MIN(IFERROR(MATCH(AF126,Tables!$C$17:$C$38,1),1),ROWS(Tables!$C$17:$C$38)-1)))+(AF126-INDEX(Tables!$C$17:$C$38,MAX(1,MIN(IFERROR(MATCH(AF126,Tables!$C$17:$C$38,1),1),ROWS(Tables!$C$17:$C$38)-1))))*(INDEX(Tables!$D$17:$D$38,MAX(1,MIN(IFERROR(MATCH(AF126,Tables!$C$17:$C$38,1),1),ROWS(Tables!$C$17:$C$38)-1))+1)-INDEX(Tables!$D$17:$D$38,MAX(1,MIN(IFERROR(MATCH(AF126,Tables!$C$17:$C$38,1),1),ROWS(Tables!$C$17:$C$38)-1))))/(INDEX(Tables!$C$17:$C$38,MAX(1,MIN(IFERROR(MATCH(AF126,Tables!$C$17:$C$38,1),1),ROWS(Tables!$C$17:$C$38)-1))+1)-INDEX(Tables!$C$17:$C$38,MAX(1,MIN(IFERROR(MATCH(AF126,Tables!$C$17:$C$38,1),1),ROWS(Tables!$C$17:$C$38)-1))))),IF(AC126=1000,(INDEX(Tables!$F$17:$F$38,MAX(1,MIN(IFERROR(MATCH(AF126,Tables!$E$17:$E$38,1),1),ROWS(Tables!$E$17:$E$38)-1)))+(AF126-INDEX(Tables!$E$17:$E$38,MAX(1,MIN(IFERROR(MATCH(AF126,Tables!$E$17:$E$38,1),1),ROWS(Tables!$E$17:$E$38)-1))))*(INDEX(Tables!$F$17:$F$38,MAX(1,MIN(IFERROR(MATCH(AF126,Tables!$E$17:$E$38,1),1),ROWS(Tables!$E$17:$E$38)-1))+1)-INDEX(Tables!$F$17:$F$38,MAX(1,MIN(IFERROR(MATCH(AF126,Tables!$E$17:$E$38,1),1),ROWS(Tables!$E$17:$E$38)-1))))/(INDEX(Tables!$E$17:$E$38,MAX(1,MIN(IFERROR(MATCH(AF126,Tables!$E$17:$E$38,1),1),ROWS(Tables!$E$17:$E$38)-1))+1)-INDEX(Tables!$E$17:$E$38,MAX(1,MIN(IFERROR(MATCH(AF126,Tables!$E$17:$E$38,1),1),ROWS(Tables!$E$17:$E$38)-1))))),(INDEX(Tables!$H$17:$H$38,MAX(1,MIN(IFERROR(MATCH(AF126,Tables!$G$17:$G$38,1),1),ROWS(Tables!$G$17:$G$38)-1)))+(AF126-INDEX(Tables!$G$17:$G$38,MAX(1,MIN(IFERROR(MATCH(AF126,Tables!$G$17:$G$38,1),1),ROWS(Tables!$G$17:$G$38)-1))))*(INDEX(Tables!$H$17:$H$38,MAX(1,MIN(IFERROR(MATCH(AF126,Tables!$G$17:$G$38,1),1),ROWS(Tables!$G$17:$G$38)-1))+1)-INDEX(Tables!$H$17:$H$38,MAX(1,MIN(IFERROR(MATCH(AF126,Tables!$G$17:$G$38,1),1),ROWS(Tables!$G$17:$G$38)-1))))/(INDEX(Tables!$G$17:$G$38,MAX(1,MIN(IFERROR(MATCH(AF126,Tables!$G$17:$G$38,1),1),ROWS(Tables!$G$17:$G$38)-1))+1)-INDEX(Tables!$G$17:$G$38,MAX(1,MIN(IFERROR(MATCH(AF126,Tables!$G$17:$G$38,1),1),ROWS(Tables!$G$17:$G$38)-1))))))))</f>
        <v>5624.5555555555557</v>
      </c>
      <c r="AL126" s="181">
        <f>IF(AC126&lt;1000,(INDEX(Tables!$B$43:$B$76,MAX(1,MIN(IFERROR(MATCH(AG126,Tables!$A$43:$A$76,1),1),ROWS(Tables!$A$43:$A$76)-1)))+(AG126-INDEX(Tables!$A$43:$A$76,MAX(1,MIN(IFERROR(MATCH(AG126,Tables!$A$43:$A$76,1),1),ROWS(Tables!$A$43:$A$76)-1))))*(INDEX(Tables!$B$43:$B$76,MAX(1,MIN(IFERROR(MATCH(AG126,Tables!$A$43:$A$76,1),1),ROWS(Tables!$A$43:$A$76)-1))+1)-INDEX(Tables!$B$43:$B$76,MAX(1,MIN(IFERROR(MATCH(AG126,Tables!$A$43:$A$76,1),1),ROWS(Tables!$A$43:$A$76)-1))))/(INDEX(Tables!$A$43:$A$76,MAX(1,MIN(IFERROR(MATCH(AG126,Tables!$A$43:$A$76,1),1),ROWS(Tables!$A$43:$A$76)-1))+1)-INDEX(Tables!$A$43:$A$76,MAX(1,MIN(IFERROR(MATCH(AG126,Tables!$A$43:$A$76,1),1),ROWS(Tables!$A$43:$A$76)-1))))),(INDEX(Tables!$D$43:$D$76,MAX(1,MIN(IFERROR(MATCH(AG126,Tables!$C$43:$C$76,1),1),ROWS(Tables!$C$43:$C$76)-1)))+(AG126-INDEX(Tables!$C$43:$C$76,MAX(1,MIN(IFERROR(MATCH(AG126,Tables!$C$43:$C$76,1),1),ROWS(Tables!$C$43:$C$76)-1))))*(INDEX(Tables!$D$43:$D$76,MAX(1,MIN(IFERROR(MATCH(AG126,Tables!$C$43:$C$76,1),1),ROWS(Tables!$C$43:$C$76)-1))+1)-INDEX(Tables!$D$43:$D$76,MAX(1,MIN(IFERROR(MATCH(AG126,Tables!$C$43:$C$76,1),1),ROWS(Tables!$C$43:$C$76)-1))))/(INDEX(Tables!$C$43:$C$76,MAX(1,MIN(IFERROR(MATCH(AG126,Tables!$C$43:$C$76,1),1),ROWS(Tables!$C$43:$C$76)-1))+1)-INDEX(Tables!$C$43:$C$76,MAX(1,MIN(IFERROR(MATCH(AG126,Tables!$C$43:$C$76,1),1),ROWS(Tables!$C$43:$C$76)-1))))))</f>
        <v>1.022578947368421</v>
      </c>
      <c r="AM126" s="181">
        <f>(INDEX(Tables!$B$80:$B$87,MAX(1,MIN(IFERROR(MATCH(AH126,Tables!$A$80:$A$87,1),1),ROWS(Tables!$A$80:$A$87)-1)))+(AH126-INDEX(Tables!$A$80:$A$87,MAX(1,MIN(IFERROR(MATCH(AH126,Tables!$A$80:$A$87,1),1),ROWS(Tables!$A$80:$A$87)-1))))*(INDEX(Tables!$B$80:$B$87,MAX(1,MIN(IFERROR(MATCH(AH126,Tables!$A$80:$A$87,1),1),ROWS(Tables!$A$80:$A$87)-1))+1)-INDEX(Tables!$B$80:$B$87,MAX(1,MIN(IFERROR(MATCH(AH126,Tables!$A$80:$A$87,1),1),ROWS(Tables!$A$80:$A$87)-1))))/(INDEX(Tables!$A$80:$A$87,MAX(1,MIN(IFERROR(MATCH(AH126,Tables!$A$80:$A$87,1),1),ROWS(Tables!$A$80:$A$87)-1))+1)-INDEX(Tables!$A$80:$A$87,MAX(1,MIN(IFERROR(MATCH(AH126,Tables!$A$80:$A$87,1),1),ROWS(Tables!$A$80:$A$87)-1)))))</f>
        <v>0.91873333333333329</v>
      </c>
      <c r="AN126" s="181">
        <f t="shared" si="103"/>
        <v>13210.356580340158</v>
      </c>
      <c r="AO126" s="181">
        <f>(INDEX(Tables!$B$91:$B$94,MAX(1,MIN(IFERROR(MATCH(P126,Tables!$A$91:$A$94,1),1),ROWS(Tables!$A$91:$A$94)-1)))+(P126-INDEX(Tables!$A$91:$A$94,MAX(1,MIN(IFERROR(MATCH(P126,Tables!$A$91:$A$94,1),1),ROWS(Tables!$A$91:$A$94)-1))))*(INDEX(Tables!$B$91:$B$94,MAX(1,MIN(IFERROR(MATCH(P126,Tables!$A$91:$A$94,1),1),ROWS(Tables!$A$91:$A$94)-1))+1)-INDEX(Tables!$B$91:$B$94,MAX(1,MIN(IFERROR(MATCH(P126,Tables!$A$91:$A$94,1),1),ROWS(Tables!$A$91:$A$94)-1))))/(INDEX(Tables!$A$91:$A$94,MAX(1,MIN(IFERROR(MATCH(P126,Tables!$A$91:$A$94,1),1),ROWS(Tables!$A$91:$A$94)-1))+1)-INDEX(Tables!$A$91:$A$94,MAX(1,MIN(IFERROR(MATCH(P126,Tables!$A$91:$A$94,1),1),ROWS(Tables!$A$91:$A$94)-1)))))</f>
        <v>1.2323170731707318</v>
      </c>
      <c r="AP126" s="181">
        <f>IF(AD126=5000,(INDEX(Tables!$B$99:$B$118,MAX(1,MIN(IFERROR(MATCH(AF126,Tables!$A$99:$A$118,1),1),ROWS(Tables!$A$99:$A$118)-1)))+(AF126-INDEX(Tables!$A$99:$A$118,MAX(1,MIN(IFERROR(MATCH(AF126,Tables!$A$99:$A$118,1),1),ROWS(Tables!$A$99:$A$118)-1))))*(INDEX(Tables!$B$99:$B$118,MAX(1,MIN(IFERROR(MATCH(AF126,Tables!$A$99:$A$118,1),1),ROWS(Tables!$A$99:$A$118)-1))+1)-INDEX(Tables!$B$99:$B$118,MAX(1,MIN(IFERROR(MATCH(AF126,Tables!$A$99:$A$118,1),1),ROWS(Tables!$A$99:$A$118)-1))))/(INDEX(Tables!$A$99:$A$118,MAX(1,MIN(IFERROR(MATCH(AF126,Tables!$A$99:$A$118,1),1),ROWS(Tables!$A$99:$A$118)-1))+1)-INDEX(Tables!$A$99:$A$118,MAX(1,MIN(IFERROR(MATCH(AF126,Tables!$A$99:$A$118,1),1),ROWS(Tables!$A$99:$A$118)-1))))),IF(AD126=10000,(INDEX(Tables!$D$99:$D$118,MAX(1,MIN(IFERROR(MATCH(AF126,Tables!$C$99:$C$118,1),1),ROWS(Tables!$C$99:$C$118)-1)))+(AF126-INDEX(Tables!$C$99:$C$118,MAX(1,MIN(IFERROR(MATCH(AF126,Tables!$C$99:$C$118,1),1),ROWS(Tables!$C$99:$C$118)-1))))*(INDEX(Tables!$D$99:$D$118,MAX(1,MIN(IFERROR(MATCH(AF126,Tables!$C$99:$C$118,1),1),ROWS(Tables!$C$99:$C$118)-1))+1)-INDEX(Tables!$D$99:$D$118,MAX(1,MIN(IFERROR(MATCH(AF126,Tables!$C$99:$C$118,1),1),ROWS(Tables!$C$99:$C$118)-1))))/(INDEX(Tables!$C$99:$C$118,MAX(1,MIN(IFERROR(MATCH(AF126,Tables!$C$99:$C$118,1),1),ROWS(Tables!$C$99:$C$118)-1))+1)-INDEX(Tables!$C$99:$C$118,MAX(1,MIN(IFERROR(MATCH(AF126,Tables!$C$99:$C$118,1),1),ROWS(Tables!$C$99:$C$118)-1))))),(INDEX(Tables!$F$99:$F$118,MAX(1,MIN(IFERROR(MATCH(AF126,Tables!$E$99:$E$118,1),1),ROWS(Tables!$E$99:$E$118)-1)))+(AF126-INDEX(Tables!$E$99:$E$118,MAX(1,MIN(IFERROR(MATCH(AF126,Tables!$E$99:$E$118,1),1),ROWS(Tables!$E$99:$E$118)-1))))*(INDEX(Tables!$F$99:$F$118,MAX(1,MIN(IFERROR(MATCH(AF126,Tables!$E$99:$E$118,1),1),ROWS(Tables!$E$99:$E$118)-1))+1)-INDEX(Tables!$F$99:$F$118,MAX(1,MIN(IFERROR(MATCH(AF126,Tables!$E$99:$E$118,1),1),ROWS(Tables!$E$99:$E$118)-1))))/(INDEX(Tables!$E$99:$E$118,MAX(1,MIN(IFERROR(MATCH(AF126,Tables!$E$99:$E$118,1),1),ROWS(Tables!$E$99:$E$118)-1))+1)-INDEX(Tables!$E$99:$E$118,MAX(1,MIN(IFERROR(MATCH(AF126,Tables!$E$99:$E$118,1),1),ROWS(Tables!$E$99:$E$118)-1)))))))</f>
        <v>20.667621129326047</v>
      </c>
      <c r="AQ126" s="181">
        <f>IF(P126&lt;6,(INDEX(Tables!$B$123:$B$138,MAX(1,MIN(IFERROR(MATCH(U126,Tables!$A$123:$A$138,1),1),ROWS(Tables!$A$123:$A$138)-1)))+(U126-INDEX(Tables!$A$123:$A$138,MAX(1,MIN(IFERROR(MATCH(U126,Tables!$A$123:$A$138,1),1),ROWS(Tables!$A$123:$A$138)-1))))*(INDEX(Tables!$B$123:$B$138,MAX(1,MIN(IFERROR(MATCH(U126,Tables!$A$123:$A$138,1),1),ROWS(Tables!$A$123:$A$138)-1))+1)-INDEX(Tables!$B$123:$B$138,MAX(1,MIN(IFERROR(MATCH(U126,Tables!$A$123:$A$138,1),1),ROWS(Tables!$A$123:$A$138)-1))))/(INDEX(Tables!$A$123:$A$138,MAX(1,MIN(IFERROR(MATCH(U126,Tables!$A$123:$A$138,1),1),ROWS(Tables!$A$123:$A$138)-1))+1)-INDEX(Tables!$A$123:$A$138,MAX(1,MIN(IFERROR(MATCH(U126,Tables!$A$123:$A$138,1),1),ROWS(Tables!$A$123:$A$138)-1))))),IF(P126&lt;8,(INDEX(Tables!$D$123:$D$138,MAX(1,MIN(IFERROR(MATCH(U126,Tables!$C$123:$C$138,1),1),ROWS(Tables!$C$123:$C$138)-1)))+(U126-INDEX(Tables!$C$123:$C$138,MAX(1,MIN(IFERROR(MATCH(U126,Tables!$C$123:$C$138,1),1),ROWS(Tables!$C$123:$C$138)-1))))*(INDEX(Tables!$D$123:$D$138,MAX(1,MIN(IFERROR(MATCH(U126,Tables!$C$123:$C$138,1),1),ROWS(Tables!$C$123:$C$138)-1))+1)-INDEX(Tables!$D$123:$D$138,MAX(1,MIN(IFERROR(MATCH(U126,Tables!$C$123:$C$138,1),1),ROWS(Tables!$C$123:$C$138)-1))))/(INDEX(Tables!$C$123:$C$138,MAX(1,MIN(IFERROR(MATCH(U126,Tables!$C$123:$C$138,1),1),ROWS(Tables!$C$123:$C$138)-1))+1)-INDEX(Tables!$C$123:$C$138,MAX(1,MIN(IFERROR(MATCH(U126,Tables!$C$123:$C$138,1),1),ROWS(Tables!$C$123:$C$138)-1))))),IF(P126&lt;10,(INDEX(Tables!$F$123:$F$138,MAX(1,MIN(IFERROR(MATCH(U126,Tables!$E$123:$E$138,1),1),ROWS(Tables!$E$123:$E$138)-1)))+(U126-INDEX(Tables!$E$123:$E$138,MAX(1,MIN(IFERROR(MATCH(U126,Tables!$E$123:$E$138,1),1),ROWS(Tables!$E$123:$E$138)-1))))*(INDEX(Tables!$F$123:$F$138,MAX(1,MIN(IFERROR(MATCH(U126,Tables!$E$123:$E$138,1),1),ROWS(Tables!$E$123:$E$138)-1))+1)-INDEX(Tables!$F$123:$F$138,MAX(1,MIN(IFERROR(MATCH(U126,Tables!$E$123:$E$138,1),1),ROWS(Tables!$E$123:$E$138)-1))))/(INDEX(Tables!$E$123:$E$138,MAX(1,MIN(IFERROR(MATCH(U126,Tables!$E$123:$E$138,1),1),ROWS(Tables!$E$123:$E$138)-1))+1)-INDEX(Tables!$E$123:$E$138,MAX(1,MIN(IFERROR(MATCH(U126,Tables!$E$123:$E$138,1),1),ROWS(Tables!$E$123:$E$138)-1))))),(INDEX(Tables!$H$123:$H$138,MAX(1,MIN(IFERROR(MATCH(U126,Tables!$G$123:$G$138,1),1),ROWS(Tables!$G$123:$G$138)-1)))+(U126-INDEX(Tables!$G$123:$G$138,MAX(1,MIN(IFERROR(MATCH(U126,Tables!$G$123:$G$138,1),1),ROWS(Tables!$G$123:$G$138)-1))))*(INDEX(Tables!$H$123:$H$138,MAX(1,MIN(IFERROR(MATCH(U126,Tables!$G$123:$G$138,1),1),ROWS(Tables!$G$123:$G$138)-1))+1)-INDEX(Tables!$H$123:$H$138,MAX(1,MIN(IFERROR(MATCH(U126,Tables!$G$123:$G$138,1),1),ROWS(Tables!$G$123:$G$138)-1))))/(INDEX(Tables!$G$123:$G$138,MAX(1,MIN(IFERROR(MATCH(U126,Tables!$G$123:$G$138,1),1),ROWS(Tables!$G$123:$G$138)-1))+1)-INDEX(Tables!$G$123:$G$138,MAX(1,MIN(IFERROR(MATCH(U126,Tables!$G$123:$G$138,1),1),ROWS(Tables!$G$123:$G$138)-1))))))))</f>
        <v>0.50060000000000004</v>
      </c>
      <c r="AR126" s="181">
        <f>IF(OR(P126&gt;=4,U126&gt;12),VLOOKUP(R126&amp;" "&amp;S126,Tables!$D$143:$F$148,2,FALSE),VLOOKUP(R126&amp;" "&amp;S126,Tables!$A$143:$C$148,2,FALSE))</f>
        <v>1.1000000000000001</v>
      </c>
      <c r="AS126" s="181">
        <f>IF(OR(P126&gt;=4,U126&gt;12),VLOOKUP(R126&amp;" "&amp;S126,Tables!$D$143:$F$148,3,FALSE),VLOOKUP(R126&amp;" "&amp;S126,Tables!$A$143:$C$148,3,FALSE))</f>
        <v>1</v>
      </c>
      <c r="AT126" s="181">
        <f t="shared" si="104"/>
        <v>973.94402013134902</v>
      </c>
      <c r="AU126" s="181">
        <f>IF(AD126=5000,(INDEX(Tables!$B$244:$B$263,MAX(1,MIN(IFERROR(MATCH(AF126,Tables!$A$244:$A$263,1),1),ROWS(Tables!$A$244:$A$263)-1)))+(AF126-INDEX(Tables!$A$244:$A$263,MAX(1,MIN(IFERROR(MATCH(AF126,Tables!$A$244:$A$263,1),1),ROWS(Tables!$A$244:$A$263)-1))))*(INDEX(Tables!$B$244:$B$263,MAX(1,MIN(IFERROR(MATCH(AF126,Tables!$A$244:$A$263,1),1),ROWS(Tables!$A$244:$A$263)-1))+1)-INDEX(Tables!$B$244:$B$263,MAX(1,MIN(IFERROR(MATCH(AF126,Tables!$A$244:$A$263,1),1),ROWS(Tables!$A$244:$A$263)-1))))/(INDEX(Tables!$A$244:$A$263,MAX(1,MIN(IFERROR(MATCH(AF126,Tables!$A$244:$A$263,1),1),ROWS(Tables!$A$244:$A$263)-1))+1)-INDEX(Tables!$A$244:$A$263,MAX(1,MIN(IFERROR(MATCH(AF126,Tables!$A$244:$A$263,1),1),ROWS(Tables!$A$244:$A$263)-1))))),IF(AD126=10000,(INDEX(Tables!$D$244:$D$263,MAX(1,MIN(IFERROR(MATCH(AF126,Tables!$C$244:$C$263,1),1),ROWS(Tables!$C$244:$C$263)-1)))+(AF126-INDEX(Tables!$C$244:$C$263,MAX(1,MIN(IFERROR(MATCH(AF126,Tables!$C$244:$C$263,1),1),ROWS(Tables!$C$244:$C$263)-1))))*(INDEX(Tables!$D$244:$D$263,MAX(1,MIN(IFERROR(MATCH(AF126,Tables!$C$244:$C$263,1),1),ROWS(Tables!$C$244:$C$263)-1))+1)-INDEX(Tables!$D$244:$D$263,MAX(1,MIN(IFERROR(MATCH(AF126,Tables!$C$244:$C$263,1),1),ROWS(Tables!$C$244:$C$263)-1))))/(INDEX(Tables!$C$244:$C$263,MAX(1,MIN(IFERROR(MATCH(AF126,Tables!$C$244:$C$263,1),1),ROWS(Tables!$C$244:$C$263)-1))+1)-INDEX(Tables!$C$244:$C$263,MAX(1,MIN(IFERROR(MATCH(AF126,Tables!$C$244:$C$263,1),1),ROWS(Tables!$C$244:$C$263)-1))))),(INDEX(Tables!$F$244:$F$263,MAX(1,MIN(IFERROR(MATCH(AF126,Tables!$E$244:$E$263,1),1),ROWS(Tables!$E$244:$E$263)-1)))+(AF126-INDEX(Tables!$E$244:$E$263,MAX(1,MIN(IFERROR(MATCH(AF126,Tables!$E$244:$E$263,1),1),ROWS(Tables!$E$244:$E$263)-1))))*(INDEX(Tables!$F$244:$F$263,MAX(1,MIN(IFERROR(MATCH(AF126,Tables!$E$244:$E$263,1),1),ROWS(Tables!$E$244:$E$263)-1))+1)-INDEX(Tables!$F$244:$F$263,MAX(1,MIN(IFERROR(MATCH(AF126,Tables!$E$244:$E$263,1),1),ROWS(Tables!$E$244:$E$263)-1))))/(INDEX(Tables!$E$244:$E$263,MAX(1,MIN(IFERROR(MATCH(AF126,Tables!$E$244:$E$263,1),1),ROWS(Tables!$E$244:$E$263)-1))+1)-INDEX(Tables!$E$244:$E$263,MAX(1,MIN(IFERROR(MATCH(AF126,Tables!$E$244:$E$263,1),1),ROWS(Tables!$E$244:$E$263)-1)))))))</f>
        <v>14.915802469135803</v>
      </c>
      <c r="AV126" s="181">
        <f>IF(P126&lt;6,(INDEX(Tables!$B$260:$B$274,MAX(1,MIN(IFERROR(MATCH(U126,Tables!$A$260:$A$274,1),1),ROWS(Tables!$A$260:$A$274)-1)))+(U126-INDEX(Tables!$A$260:$A$274,MAX(1,MIN(IFERROR(MATCH(U126,Tables!$A$260:$A$274,1),1),ROWS(Tables!$A$260:$A$274)-1))))*(INDEX(Tables!$B$260:$B$274,MAX(1,MIN(IFERROR(MATCH(U126,Tables!$A$260:$A$274,1),1),ROWS(Tables!$A$260:$A$274)-1))+1)-INDEX(Tables!$B$260:$B$274,MAX(1,MIN(IFERROR(MATCH(U126,Tables!$A$260:$A$274,1),1),ROWS(Tables!$A$260:$A$274)-1))))/(INDEX(Tables!$A$260:$A$274,MAX(1,MIN(IFERROR(MATCH(U126,Tables!$A$260:$A$274,1),1),ROWS(Tables!$A$260:$A$274)-1))+1)-INDEX(Tables!$A$260:$A$274,MAX(1,MIN(IFERROR(MATCH(U126,Tables!$A$260:$A$274,1),1),ROWS(Tables!$A$260:$A$274)-1))))),IF(P126&lt;8,(INDEX(Tables!$D$260:$D$274,MAX(1,MIN(IFERROR(MATCH(U126,Tables!$C$260:$C$274,1),1),ROWS(Tables!$C$260:$C$274)-1)))+(U126-INDEX(Tables!$C$260:$C$274,MAX(1,MIN(IFERROR(MATCH(U126,Tables!$C$260:$C$274,1),1),ROWS(Tables!$C$260:$C$274)-1))))*(INDEX(Tables!$D$260:$D$274,MAX(1,MIN(IFERROR(MATCH(U126,Tables!$C$260:$C$274,1),1),ROWS(Tables!$C$260:$C$274)-1))+1)-INDEX(Tables!$D$260:$D$274,MAX(1,MIN(IFERROR(MATCH(U126,Tables!$C$260:$C$274,1),1),ROWS(Tables!$C$260:$C$274)-1))))/(INDEX(Tables!$C$260:$C$274,MAX(1,MIN(IFERROR(MATCH(U126,Tables!$C$260:$C$274,1),1),ROWS(Tables!$C$260:$C$274)-1))+1)-INDEX(Tables!$C$260:$C$274,MAX(1,MIN(IFERROR(MATCH(U126,Tables!$C$260:$C$274,1),1),ROWS(Tables!$C$260:$C$274)-1))))),IF(P126&lt;10,(INDEX(Tables!$F$260:$F$274,MAX(1,MIN(IFERROR(MATCH(U126,Tables!$E$260:$E$274,1),1),ROWS(Tables!$E$260:$E$274)-1)))+(U126-INDEX(Tables!$E$260:$E$274,MAX(1,MIN(IFERROR(MATCH(U126,Tables!$E$260:$E$274,1),1),ROWS(Tables!$E$260:$E$274)-1))))*(INDEX(Tables!$F$260:$F$274,MAX(1,MIN(IFERROR(MATCH(U126,Tables!$E$260:$E$274,1),1),ROWS(Tables!$E$260:$E$274)-1))+1)-INDEX(Tables!$F$260:$F$274,MAX(1,MIN(IFERROR(MATCH(U126,Tables!$E$260:$E$274,1),1),ROWS(Tables!$E$260:$E$274)-1))))/(INDEX(Tables!$E$260:$E$274,MAX(1,MIN(IFERROR(MATCH(U126,Tables!$E$260:$E$274,1),1),ROWS(Tables!$E$260:$E$274)-1))+1)-INDEX(Tables!$E$260:$E$274,MAX(1,MIN(IFERROR(MATCH(U126,Tables!$E$260:$E$274,1),1),ROWS(Tables!$E$260:$E$274)-1))))),(INDEX(Tables!$H$260:$H$274,MAX(1,MIN(IFERROR(MATCH(U126,Tables!$G$260:$G$274,1),1),ROWS(Tables!$G$260:$G$274)-1)))+(U126-INDEX(Tables!$G$260:$G$274,MAX(1,MIN(IFERROR(MATCH(U126,Tables!$G$260:$G$274,1),1),ROWS(Tables!$G$260:$G$274)-1))))*(INDEX(Tables!$H$260:$H$274,MAX(1,MIN(IFERROR(MATCH(U126,Tables!$G$260:$G$274,1),1),ROWS(Tables!$G$260:$G$274)-1))+1)-INDEX(Tables!$H$260:$H$274,MAX(1,MIN(IFERROR(MATCH(U126,Tables!$G$260:$G$274,1),1),ROWS(Tables!$G$260:$G$274)-1))))/(INDEX(Tables!$G$260:$G$274,MAX(1,MIN(IFERROR(MATCH(U126,Tables!$G$260:$G$274,1),1),ROWS(Tables!$G$260:$G$274)-1))+1)-INDEX(Tables!$G$260:$G$274,MAX(1,MIN(IFERROR(MATCH(U126,Tables!$G$260:$G$274,1),1),ROWS(Tables!$G$260:$G$274)-1))))))))</f>
        <v>0.51828571428571424</v>
      </c>
      <c r="AW126" s="181">
        <f t="shared" si="105"/>
        <v>727.72705346269299</v>
      </c>
      <c r="AX126" s="181">
        <f t="shared" si="106"/>
        <v>0</v>
      </c>
      <c r="AY126" s="181">
        <f t="shared" si="107"/>
        <v>14184.300600471506</v>
      </c>
      <c r="AZ126" s="181">
        <f t="shared" si="108"/>
        <v>4690.8340275647406</v>
      </c>
      <c r="BA126" s="181">
        <f t="shared" si="109"/>
        <v>0</v>
      </c>
      <c r="BB126" s="181">
        <f t="shared" si="110"/>
        <v>12516.473444417035</v>
      </c>
      <c r="BC126" s="181">
        <f t="shared" si="111"/>
        <v>46800</v>
      </c>
      <c r="BD126" s="181">
        <f>VLOOKUP(V126&amp;" "&amp;J126,Tables!$A$152:$E$239,4,FALSE)</f>
        <v>12000</v>
      </c>
      <c r="BE126" s="181">
        <f>VLOOKUP(V126&amp;" "&amp;J126,Tables!$A$152:$E$239,5,FALSE)</f>
        <v>23000</v>
      </c>
      <c r="BF126" s="181">
        <f t="shared" si="112"/>
        <v>8640</v>
      </c>
      <c r="BG126" s="181">
        <f t="shared" si="113"/>
        <v>16560</v>
      </c>
      <c r="BH126" s="181">
        <f t="shared" si="114"/>
        <v>0</v>
      </c>
      <c r="BI126" s="181">
        <f t="shared" si="115"/>
        <v>46800</v>
      </c>
      <c r="BJ126" s="181">
        <f t="shared" si="116"/>
        <v>12516.473444417035</v>
      </c>
      <c r="BK126" s="181">
        <f t="shared" si="117"/>
        <v>46800</v>
      </c>
      <c r="BL126" s="181">
        <f t="shared" si="118"/>
        <v>727.72705346269299</v>
      </c>
      <c r="BM126" s="181">
        <f t="shared" si="119"/>
        <v>8640</v>
      </c>
      <c r="BN126" s="181">
        <f t="shared" si="120"/>
        <v>973.94402013134902</v>
      </c>
      <c r="BO126" s="181">
        <f t="shared" si="121"/>
        <v>16560</v>
      </c>
      <c r="BP126" t="str">
        <f t="shared" si="122"/>
        <v>Pass</v>
      </c>
      <c r="BQ126" t="str">
        <f t="shared" si="123"/>
        <v>Pass</v>
      </c>
      <c r="BR126" t="str">
        <f t="shared" si="124"/>
        <v>Pass</v>
      </c>
      <c r="BS126" t="str">
        <f t="shared" si="125"/>
        <v>Pass</v>
      </c>
      <c r="BT126" t="str">
        <f t="shared" si="126"/>
        <v>Pass</v>
      </c>
      <c r="BU126" t="str">
        <f t="shared" si="127"/>
        <v>Effective Stress</v>
      </c>
    </row>
    <row r="127" spans="1:73">
      <c r="A127" t="s">
        <v>719</v>
      </c>
      <c r="B127" s="181">
        <v>125</v>
      </c>
      <c r="C127" t="s">
        <v>594</v>
      </c>
      <c r="D127" s="181">
        <v>48</v>
      </c>
      <c r="E127" s="181">
        <v>0.5</v>
      </c>
      <c r="F127" t="s">
        <v>117</v>
      </c>
      <c r="G127" t="s">
        <v>119</v>
      </c>
      <c r="H127" t="s">
        <v>122</v>
      </c>
      <c r="I127" s="181">
        <v>1</v>
      </c>
      <c r="J127" t="s">
        <v>126</v>
      </c>
      <c r="K127" t="s">
        <v>129</v>
      </c>
      <c r="L127" s="181">
        <v>70</v>
      </c>
      <c r="M127" s="181">
        <v>0</v>
      </c>
      <c r="N127" t="s">
        <v>389</v>
      </c>
      <c r="O127" s="181">
        <v>120</v>
      </c>
      <c r="P127" s="181">
        <v>30</v>
      </c>
      <c r="Q127" s="181">
        <v>50</v>
      </c>
      <c r="R127" t="s">
        <v>417</v>
      </c>
      <c r="S127" t="s">
        <v>156</v>
      </c>
      <c r="T127" s="181">
        <v>70</v>
      </c>
      <c r="U127" s="181">
        <f>HLOOKUP(D127,'Highway Loading'!$C$155:$AD$156,2,FALSE)</f>
        <v>48</v>
      </c>
      <c r="V127" s="181">
        <f>IF(ISBLANK(G127),"",INDEX('Highway Loading'!$C$216:$AG$216,1,MATCH(G127,'Highway Loading'!$C$215:$AG$215,0)))</f>
        <v>65000</v>
      </c>
      <c r="W127" s="181">
        <f>INDEX('Highway Loading'!$I$245:$L$253,MATCH(H127,'Highway Loading'!$H$245:$H$253,0),MATCH(I127,'Highway Loading'!$I$244:$L$244,0))</f>
        <v>0.72</v>
      </c>
      <c r="X127" s="181">
        <f t="shared" si="96"/>
        <v>1</v>
      </c>
      <c r="Y127" s="181">
        <f>VLOOKUP(K127,'Highway Loading'!$B$283:$E$292,2,FALSE)</f>
        <v>29000000</v>
      </c>
      <c r="Z127" s="181">
        <f>VLOOKUP(K127,'Highway Loading'!$B$283:$E$292,3,FALSE)</f>
        <v>0.3</v>
      </c>
      <c r="AA127" s="181">
        <f>VLOOKUP(K127,'Highway Loading'!$B$283:$E$292,4,FALSE)</f>
        <v>6.4999999999999996E-6</v>
      </c>
      <c r="AB127" s="181">
        <f t="shared" si="97"/>
        <v>1</v>
      </c>
      <c r="AC127" s="181">
        <f>VLOOKUP(N127,'Highway Loading'!$B$256:$D$261,2,FALSE)</f>
        <v>500</v>
      </c>
      <c r="AD127" s="181">
        <f>VLOOKUP(N127,'Highway Loading'!$B$256:$D$261,3,FALSE)</f>
        <v>5000</v>
      </c>
      <c r="AE127" s="181">
        <f>VLOOKUP(S127,'Highway Loading'!$B$340:$C$341,2,FALSE)</f>
        <v>10000</v>
      </c>
      <c r="AF127" s="181">
        <f t="shared" si="98"/>
        <v>1.0416666666666666E-2</v>
      </c>
      <c r="AG127" s="181">
        <f t="shared" si="99"/>
        <v>7.2</v>
      </c>
      <c r="AH127" s="181">
        <f t="shared" si="100"/>
        <v>1.0416666666666667</v>
      </c>
      <c r="AI127" s="181">
        <f t="shared" si="101"/>
        <v>0</v>
      </c>
      <c r="AJ127" s="181">
        <f t="shared" si="102"/>
        <v>46800</v>
      </c>
      <c r="AK127" s="181">
        <f>IF(AC127=200,(INDEX(Tables!$B$17:$B$38,MAX(1,MIN(IFERROR(MATCH(AF127,Tables!$A$17:$A$38,1),1),ROWS(Tables!$A$17:$A$38)-1)))+(AF127-INDEX(Tables!$A$17:$A$38,MAX(1,MIN(IFERROR(MATCH(AF127,Tables!$A$17:$A$38,1),1),ROWS(Tables!$A$17:$A$38)-1))))*(INDEX(Tables!$B$17:$B$38,MAX(1,MIN(IFERROR(MATCH(AF127,Tables!$A$17:$A$38,1),1),ROWS(Tables!$A$17:$A$38)-1))+1)-INDEX(Tables!$B$17:$B$38,MAX(1,MIN(IFERROR(MATCH(AF127,Tables!$A$17:$A$38,1),1),ROWS(Tables!$A$17:$A$38)-1))))/(INDEX(Tables!$A$17:$A$38,MAX(1,MIN(IFERROR(MATCH(AF127,Tables!$A$17:$A$38,1),1),ROWS(Tables!$A$17:$A$38)-1))+1)-INDEX(Tables!$A$17:$A$38,MAX(1,MIN(IFERROR(MATCH(AF127,Tables!$A$17:$A$38,1),1),ROWS(Tables!$A$17:$A$38)-1))))),IF(AC127=500,(INDEX(Tables!$D$17:$D$38,MAX(1,MIN(IFERROR(MATCH(AF127,Tables!$C$17:$C$38,1),1),ROWS(Tables!$C$17:$C$38)-1)))+(AF127-INDEX(Tables!$C$17:$C$38,MAX(1,MIN(IFERROR(MATCH(AF127,Tables!$C$17:$C$38,1),1),ROWS(Tables!$C$17:$C$38)-1))))*(INDEX(Tables!$D$17:$D$38,MAX(1,MIN(IFERROR(MATCH(AF127,Tables!$C$17:$C$38,1),1),ROWS(Tables!$C$17:$C$38)-1))+1)-INDEX(Tables!$D$17:$D$38,MAX(1,MIN(IFERROR(MATCH(AF127,Tables!$C$17:$C$38,1),1),ROWS(Tables!$C$17:$C$38)-1))))/(INDEX(Tables!$C$17:$C$38,MAX(1,MIN(IFERROR(MATCH(AF127,Tables!$C$17:$C$38,1),1),ROWS(Tables!$C$17:$C$38)-1))+1)-INDEX(Tables!$C$17:$C$38,MAX(1,MIN(IFERROR(MATCH(AF127,Tables!$C$17:$C$38,1),1),ROWS(Tables!$C$17:$C$38)-1))))),IF(AC127=1000,(INDEX(Tables!$F$17:$F$38,MAX(1,MIN(IFERROR(MATCH(AF127,Tables!$E$17:$E$38,1),1),ROWS(Tables!$E$17:$E$38)-1)))+(AF127-INDEX(Tables!$E$17:$E$38,MAX(1,MIN(IFERROR(MATCH(AF127,Tables!$E$17:$E$38,1),1),ROWS(Tables!$E$17:$E$38)-1))))*(INDEX(Tables!$F$17:$F$38,MAX(1,MIN(IFERROR(MATCH(AF127,Tables!$E$17:$E$38,1),1),ROWS(Tables!$E$17:$E$38)-1))+1)-INDEX(Tables!$F$17:$F$38,MAX(1,MIN(IFERROR(MATCH(AF127,Tables!$E$17:$E$38,1),1),ROWS(Tables!$E$17:$E$38)-1))))/(INDEX(Tables!$E$17:$E$38,MAX(1,MIN(IFERROR(MATCH(AF127,Tables!$E$17:$E$38,1),1),ROWS(Tables!$E$17:$E$38)-1))+1)-INDEX(Tables!$E$17:$E$38,MAX(1,MIN(IFERROR(MATCH(AF127,Tables!$E$17:$E$38,1),1),ROWS(Tables!$E$17:$E$38)-1))))),(INDEX(Tables!$H$17:$H$38,MAX(1,MIN(IFERROR(MATCH(AF127,Tables!$G$17:$G$38,1),1),ROWS(Tables!$G$17:$G$38)-1)))+(AF127-INDEX(Tables!$G$17:$G$38,MAX(1,MIN(IFERROR(MATCH(AF127,Tables!$G$17:$G$38,1),1),ROWS(Tables!$G$17:$G$38)-1))))*(INDEX(Tables!$H$17:$H$38,MAX(1,MIN(IFERROR(MATCH(AF127,Tables!$G$17:$G$38,1),1),ROWS(Tables!$G$17:$G$38)-1))+1)-INDEX(Tables!$H$17:$H$38,MAX(1,MIN(IFERROR(MATCH(AF127,Tables!$G$17:$G$38,1),1),ROWS(Tables!$G$17:$G$38)-1))))/(INDEX(Tables!$G$17:$G$38,MAX(1,MIN(IFERROR(MATCH(AF127,Tables!$G$17:$G$38,1),1),ROWS(Tables!$G$17:$G$38)-1))+1)-INDEX(Tables!$G$17:$G$38,MAX(1,MIN(IFERROR(MATCH(AF127,Tables!$G$17:$G$38,1),1),ROWS(Tables!$G$17:$G$38)-1))))))))</f>
        <v>6129</v>
      </c>
      <c r="AL127" s="181">
        <f>IF(AC127&lt;1000,(INDEX(Tables!$B$43:$B$76,MAX(1,MIN(IFERROR(MATCH(AG127,Tables!$A$43:$A$76,1),1),ROWS(Tables!$A$43:$A$76)-1)))+(AG127-INDEX(Tables!$A$43:$A$76,MAX(1,MIN(IFERROR(MATCH(AG127,Tables!$A$43:$A$76,1),1),ROWS(Tables!$A$43:$A$76)-1))))*(INDEX(Tables!$B$43:$B$76,MAX(1,MIN(IFERROR(MATCH(AG127,Tables!$A$43:$A$76,1),1),ROWS(Tables!$A$43:$A$76)-1))+1)-INDEX(Tables!$B$43:$B$76,MAX(1,MIN(IFERROR(MATCH(AG127,Tables!$A$43:$A$76,1),1),ROWS(Tables!$A$43:$A$76)-1))))/(INDEX(Tables!$A$43:$A$76,MAX(1,MIN(IFERROR(MATCH(AG127,Tables!$A$43:$A$76,1),1),ROWS(Tables!$A$43:$A$76)-1))+1)-INDEX(Tables!$A$43:$A$76,MAX(1,MIN(IFERROR(MATCH(AG127,Tables!$A$43:$A$76,1),1),ROWS(Tables!$A$43:$A$76)-1))))),(INDEX(Tables!$D$43:$D$76,MAX(1,MIN(IFERROR(MATCH(AG127,Tables!$C$43:$C$76,1),1),ROWS(Tables!$C$43:$C$76)-1)))+(AG127-INDEX(Tables!$C$43:$C$76,MAX(1,MIN(IFERROR(MATCH(AG127,Tables!$C$43:$C$76,1),1),ROWS(Tables!$C$43:$C$76)-1))))*(INDEX(Tables!$D$43:$D$76,MAX(1,MIN(IFERROR(MATCH(AG127,Tables!$C$43:$C$76,1),1),ROWS(Tables!$C$43:$C$76)-1))+1)-INDEX(Tables!$D$43:$D$76,MAX(1,MIN(IFERROR(MATCH(AG127,Tables!$C$43:$C$76,1),1),ROWS(Tables!$C$43:$C$76)-1))))/(INDEX(Tables!$C$43:$C$76,MAX(1,MIN(IFERROR(MATCH(AG127,Tables!$C$43:$C$76,1),1),ROWS(Tables!$C$43:$C$76)-1))+1)-INDEX(Tables!$C$43:$C$76,MAX(1,MIN(IFERROR(MATCH(AG127,Tables!$C$43:$C$76,1),1),ROWS(Tables!$C$43:$C$76)-1))))))</f>
        <v>1.224</v>
      </c>
      <c r="AM127" s="181">
        <f>(INDEX(Tables!$B$80:$B$87,MAX(1,MIN(IFERROR(MATCH(AH127,Tables!$A$80:$A$87,1),1),ROWS(Tables!$A$80:$A$87)-1)))+(AH127-INDEX(Tables!$A$80:$A$87,MAX(1,MIN(IFERROR(MATCH(AH127,Tables!$A$80:$A$87,1),1),ROWS(Tables!$A$80:$A$87)-1))))*(INDEX(Tables!$B$80:$B$87,MAX(1,MIN(IFERROR(MATCH(AH127,Tables!$A$80:$A$87,1),1),ROWS(Tables!$A$80:$A$87)-1))+1)-INDEX(Tables!$B$80:$B$87,MAX(1,MIN(IFERROR(MATCH(AH127,Tables!$A$80:$A$87,1),1),ROWS(Tables!$A$80:$A$87)-1))))/(INDEX(Tables!$A$80:$A$87,MAX(1,MIN(IFERROR(MATCH(AH127,Tables!$A$80:$A$87,1),1),ROWS(Tables!$A$80:$A$87)-1))+1)-INDEX(Tables!$A$80:$A$87,MAX(1,MIN(IFERROR(MATCH(AH127,Tables!$A$80:$A$87,1),1),ROWS(Tables!$A$80:$A$87)-1)))))</f>
        <v>0.89595000000000002</v>
      </c>
      <c r="AN127" s="181">
        <f t="shared" si="103"/>
        <v>22404.412404000002</v>
      </c>
      <c r="AO127" s="181">
        <f>(INDEX(Tables!$B$91:$B$94,MAX(1,MIN(IFERROR(MATCH(P127,Tables!$A$91:$A$94,1),1),ROWS(Tables!$A$91:$A$94)-1)))+(P127-INDEX(Tables!$A$91:$A$94,MAX(1,MIN(IFERROR(MATCH(P127,Tables!$A$91:$A$94,1),1),ROWS(Tables!$A$91:$A$94)-1))))*(INDEX(Tables!$B$91:$B$94,MAX(1,MIN(IFERROR(MATCH(P127,Tables!$A$91:$A$94,1),1),ROWS(Tables!$A$91:$A$94)-1))+1)-INDEX(Tables!$B$91:$B$94,MAX(1,MIN(IFERROR(MATCH(P127,Tables!$A$91:$A$94,1),1),ROWS(Tables!$A$91:$A$94)-1))))/(INDEX(Tables!$A$91:$A$94,MAX(1,MIN(IFERROR(MATCH(P127,Tables!$A$91:$A$94,1),1),ROWS(Tables!$A$91:$A$94)-1))+1)-INDEX(Tables!$A$91:$A$94,MAX(1,MIN(IFERROR(MATCH(P127,Tables!$A$91:$A$94,1),1),ROWS(Tables!$A$91:$A$94)-1)))))</f>
        <v>1</v>
      </c>
      <c r="AP127" s="181">
        <f>IF(AD127=5000,(INDEX(Tables!$B$99:$B$118,MAX(1,MIN(IFERROR(MATCH(AF127,Tables!$A$99:$A$118,1),1),ROWS(Tables!$A$99:$A$118)-1)))+(AF127-INDEX(Tables!$A$99:$A$118,MAX(1,MIN(IFERROR(MATCH(AF127,Tables!$A$99:$A$118,1),1),ROWS(Tables!$A$99:$A$118)-1))))*(INDEX(Tables!$B$99:$B$118,MAX(1,MIN(IFERROR(MATCH(AF127,Tables!$A$99:$A$118,1),1),ROWS(Tables!$A$99:$A$118)-1))+1)-INDEX(Tables!$B$99:$B$118,MAX(1,MIN(IFERROR(MATCH(AF127,Tables!$A$99:$A$118,1),1),ROWS(Tables!$A$99:$A$118)-1))))/(INDEX(Tables!$A$99:$A$118,MAX(1,MIN(IFERROR(MATCH(AF127,Tables!$A$99:$A$118,1),1),ROWS(Tables!$A$99:$A$118)-1))+1)-INDEX(Tables!$A$99:$A$118,MAX(1,MIN(IFERROR(MATCH(AF127,Tables!$A$99:$A$118,1),1),ROWS(Tables!$A$99:$A$118)-1))))),IF(AD127=10000,(INDEX(Tables!$D$99:$D$118,MAX(1,MIN(IFERROR(MATCH(AF127,Tables!$C$99:$C$118,1),1),ROWS(Tables!$C$99:$C$118)-1)))+(AF127-INDEX(Tables!$C$99:$C$118,MAX(1,MIN(IFERROR(MATCH(AF127,Tables!$C$99:$C$118,1),1),ROWS(Tables!$C$99:$C$118)-1))))*(INDEX(Tables!$D$99:$D$118,MAX(1,MIN(IFERROR(MATCH(AF127,Tables!$C$99:$C$118,1),1),ROWS(Tables!$C$99:$C$118)-1))+1)-INDEX(Tables!$D$99:$D$118,MAX(1,MIN(IFERROR(MATCH(AF127,Tables!$C$99:$C$118,1),1),ROWS(Tables!$C$99:$C$118)-1))))/(INDEX(Tables!$C$99:$C$118,MAX(1,MIN(IFERROR(MATCH(AF127,Tables!$C$99:$C$118,1),1),ROWS(Tables!$C$99:$C$118)-1))+1)-INDEX(Tables!$C$99:$C$118,MAX(1,MIN(IFERROR(MATCH(AF127,Tables!$C$99:$C$118,1),1),ROWS(Tables!$C$99:$C$118)-1))))),(INDEX(Tables!$F$99:$F$118,MAX(1,MIN(IFERROR(MATCH(AF127,Tables!$E$99:$E$118,1),1),ROWS(Tables!$E$99:$E$118)-1)))+(AF127-INDEX(Tables!$E$99:$E$118,MAX(1,MIN(IFERROR(MATCH(AF127,Tables!$E$99:$E$118,1),1),ROWS(Tables!$E$99:$E$118)-1))))*(INDEX(Tables!$F$99:$F$118,MAX(1,MIN(IFERROR(MATCH(AF127,Tables!$E$99:$E$118,1),1),ROWS(Tables!$E$99:$E$118)-1))+1)-INDEX(Tables!$F$99:$F$118,MAX(1,MIN(IFERROR(MATCH(AF127,Tables!$E$99:$E$118,1),1),ROWS(Tables!$E$99:$E$118)-1))))/(INDEX(Tables!$E$99:$E$118,MAX(1,MIN(IFERROR(MATCH(AF127,Tables!$E$99:$E$118,1),1),ROWS(Tables!$E$99:$E$118)-1))+1)-INDEX(Tables!$E$99:$E$118,MAX(1,MIN(IFERROR(MATCH(AF127,Tables!$E$99:$E$118,1),1),ROWS(Tables!$E$99:$E$118)-1)))))))</f>
        <v>19.818999999999999</v>
      </c>
      <c r="AQ127" s="181">
        <f>IF(P127&lt;6,(INDEX(Tables!$B$123:$B$138,MAX(1,MIN(IFERROR(MATCH(U127,Tables!$A$123:$A$138,1),1),ROWS(Tables!$A$123:$A$138)-1)))+(U127-INDEX(Tables!$A$123:$A$138,MAX(1,MIN(IFERROR(MATCH(U127,Tables!$A$123:$A$138,1),1),ROWS(Tables!$A$123:$A$138)-1))))*(INDEX(Tables!$B$123:$B$138,MAX(1,MIN(IFERROR(MATCH(U127,Tables!$A$123:$A$138,1),1),ROWS(Tables!$A$123:$A$138)-1))+1)-INDEX(Tables!$B$123:$B$138,MAX(1,MIN(IFERROR(MATCH(U127,Tables!$A$123:$A$138,1),1),ROWS(Tables!$A$123:$A$138)-1))))/(INDEX(Tables!$A$123:$A$138,MAX(1,MIN(IFERROR(MATCH(U127,Tables!$A$123:$A$138,1),1),ROWS(Tables!$A$123:$A$138)-1))+1)-INDEX(Tables!$A$123:$A$138,MAX(1,MIN(IFERROR(MATCH(U127,Tables!$A$123:$A$138,1),1),ROWS(Tables!$A$123:$A$138)-1))))),IF(P127&lt;8,(INDEX(Tables!$D$123:$D$138,MAX(1,MIN(IFERROR(MATCH(U127,Tables!$C$123:$C$138,1),1),ROWS(Tables!$C$123:$C$138)-1)))+(U127-INDEX(Tables!$C$123:$C$138,MAX(1,MIN(IFERROR(MATCH(U127,Tables!$C$123:$C$138,1),1),ROWS(Tables!$C$123:$C$138)-1))))*(INDEX(Tables!$D$123:$D$138,MAX(1,MIN(IFERROR(MATCH(U127,Tables!$C$123:$C$138,1),1),ROWS(Tables!$C$123:$C$138)-1))+1)-INDEX(Tables!$D$123:$D$138,MAX(1,MIN(IFERROR(MATCH(U127,Tables!$C$123:$C$138,1),1),ROWS(Tables!$C$123:$C$138)-1))))/(INDEX(Tables!$C$123:$C$138,MAX(1,MIN(IFERROR(MATCH(U127,Tables!$C$123:$C$138,1),1),ROWS(Tables!$C$123:$C$138)-1))+1)-INDEX(Tables!$C$123:$C$138,MAX(1,MIN(IFERROR(MATCH(U127,Tables!$C$123:$C$138,1),1),ROWS(Tables!$C$123:$C$138)-1))))),IF(P127&lt;10,(INDEX(Tables!$F$123:$F$138,MAX(1,MIN(IFERROR(MATCH(U127,Tables!$E$123:$E$138,1),1),ROWS(Tables!$E$123:$E$138)-1)))+(U127-INDEX(Tables!$E$123:$E$138,MAX(1,MIN(IFERROR(MATCH(U127,Tables!$E$123:$E$138,1),1),ROWS(Tables!$E$123:$E$138)-1))))*(INDEX(Tables!$F$123:$F$138,MAX(1,MIN(IFERROR(MATCH(U127,Tables!$E$123:$E$138,1),1),ROWS(Tables!$E$123:$E$138)-1))+1)-INDEX(Tables!$F$123:$F$138,MAX(1,MIN(IFERROR(MATCH(U127,Tables!$E$123:$E$138,1),1),ROWS(Tables!$E$123:$E$138)-1))))/(INDEX(Tables!$E$123:$E$138,MAX(1,MIN(IFERROR(MATCH(U127,Tables!$E$123:$E$138,1),1),ROWS(Tables!$E$123:$E$138)-1))+1)-INDEX(Tables!$E$123:$E$138,MAX(1,MIN(IFERROR(MATCH(U127,Tables!$E$123:$E$138,1),1),ROWS(Tables!$E$123:$E$138)-1))))),(INDEX(Tables!$H$123:$H$138,MAX(1,MIN(IFERROR(MATCH(U127,Tables!$G$123:$G$138,1),1),ROWS(Tables!$G$123:$G$138)-1)))+(U127-INDEX(Tables!$G$123:$G$138,MAX(1,MIN(IFERROR(MATCH(U127,Tables!$G$123:$G$138,1),1),ROWS(Tables!$G$123:$G$138)-1))))*(INDEX(Tables!$H$123:$H$138,MAX(1,MIN(IFERROR(MATCH(U127,Tables!$G$123:$G$138,1),1),ROWS(Tables!$G$123:$G$138)-1))+1)-INDEX(Tables!$H$123:$H$138,MAX(1,MIN(IFERROR(MATCH(U127,Tables!$G$123:$G$138,1),1),ROWS(Tables!$G$123:$G$138)-1))))/(INDEX(Tables!$G$123:$G$138,MAX(1,MIN(IFERROR(MATCH(U127,Tables!$G$123:$G$138,1),1),ROWS(Tables!$G$123:$G$138)-1))+1)-INDEX(Tables!$G$123:$G$138,MAX(1,MIN(IFERROR(MATCH(U127,Tables!$G$123:$G$138,1),1),ROWS(Tables!$G$123:$G$138)-1))))))))</f>
        <v>0.46899999999999997</v>
      </c>
      <c r="AR127" s="181">
        <f>IF(OR(P127&gt;=4,U127&gt;12),VLOOKUP(R127&amp;" "&amp;S127,Tables!$D$143:$F$148,2,FALSE),VLOOKUP(R127&amp;" "&amp;S127,Tables!$A$143:$C$148,2,FALSE))</f>
        <v>1.1000000000000001</v>
      </c>
      <c r="AS127" s="181">
        <f>IF(OR(P127&gt;=4,U127&gt;12),VLOOKUP(R127&amp;" "&amp;S127,Tables!$D$143:$F$148,3,FALSE),VLOOKUP(R127&amp;" "&amp;S127,Tables!$A$143:$C$148,3,FALSE))</f>
        <v>1</v>
      </c>
      <c r="AT127" s="181">
        <f t="shared" si="104"/>
        <v>710.04320138888886</v>
      </c>
      <c r="AU127" s="181">
        <f>IF(AD127=5000,(INDEX(Tables!$B$244:$B$263,MAX(1,MIN(IFERROR(MATCH(AF127,Tables!$A$244:$A$263,1),1),ROWS(Tables!$A$244:$A$263)-1)))+(AF127-INDEX(Tables!$A$244:$A$263,MAX(1,MIN(IFERROR(MATCH(AF127,Tables!$A$244:$A$263,1),1),ROWS(Tables!$A$244:$A$263)-1))))*(INDEX(Tables!$B$244:$B$263,MAX(1,MIN(IFERROR(MATCH(AF127,Tables!$A$244:$A$263,1),1),ROWS(Tables!$A$244:$A$263)-1))+1)-INDEX(Tables!$B$244:$B$263,MAX(1,MIN(IFERROR(MATCH(AF127,Tables!$A$244:$A$263,1),1),ROWS(Tables!$A$244:$A$263)-1))))/(INDEX(Tables!$A$244:$A$263,MAX(1,MIN(IFERROR(MATCH(AF127,Tables!$A$244:$A$263,1),1),ROWS(Tables!$A$244:$A$263)-1))+1)-INDEX(Tables!$A$244:$A$263,MAX(1,MIN(IFERROR(MATCH(AF127,Tables!$A$244:$A$263,1),1),ROWS(Tables!$A$244:$A$263)-1))))),IF(AD127=10000,(INDEX(Tables!$D$244:$D$263,MAX(1,MIN(IFERROR(MATCH(AF127,Tables!$C$244:$C$263,1),1),ROWS(Tables!$C$244:$C$263)-1)))+(AF127-INDEX(Tables!$C$244:$C$263,MAX(1,MIN(IFERROR(MATCH(AF127,Tables!$C$244:$C$263,1),1),ROWS(Tables!$C$244:$C$263)-1))))*(INDEX(Tables!$D$244:$D$263,MAX(1,MIN(IFERROR(MATCH(AF127,Tables!$C$244:$C$263,1),1),ROWS(Tables!$C$244:$C$263)-1))+1)-INDEX(Tables!$D$244:$D$263,MAX(1,MIN(IFERROR(MATCH(AF127,Tables!$C$244:$C$263,1),1),ROWS(Tables!$C$244:$C$263)-1))))/(INDEX(Tables!$C$244:$C$263,MAX(1,MIN(IFERROR(MATCH(AF127,Tables!$C$244:$C$263,1),1),ROWS(Tables!$C$244:$C$263)-1))+1)-INDEX(Tables!$C$244:$C$263,MAX(1,MIN(IFERROR(MATCH(AF127,Tables!$C$244:$C$263,1),1),ROWS(Tables!$C$244:$C$263)-1))))),(INDEX(Tables!$F$244:$F$263,MAX(1,MIN(IFERROR(MATCH(AF127,Tables!$E$244:$E$263,1),1),ROWS(Tables!$E$244:$E$263)-1)))+(AF127-INDEX(Tables!$E$244:$E$263,MAX(1,MIN(IFERROR(MATCH(AF127,Tables!$E$244:$E$263,1),1),ROWS(Tables!$E$244:$E$263)-1))))*(INDEX(Tables!$F$244:$F$263,MAX(1,MIN(IFERROR(MATCH(AF127,Tables!$E$244:$E$263,1),1),ROWS(Tables!$E$244:$E$263)-1))+1)-INDEX(Tables!$F$244:$F$263,MAX(1,MIN(IFERROR(MATCH(AF127,Tables!$E$244:$E$263,1),1),ROWS(Tables!$E$244:$E$263)-1))))/(INDEX(Tables!$E$244:$E$263,MAX(1,MIN(IFERROR(MATCH(AF127,Tables!$E$244:$E$263,1),1),ROWS(Tables!$E$244:$E$263)-1))+1)-INDEX(Tables!$E$244:$E$263,MAX(1,MIN(IFERROR(MATCH(AF127,Tables!$E$244:$E$263,1),1),ROWS(Tables!$E$244:$E$263)-1)))))))</f>
        <v>14.659000000000001</v>
      </c>
      <c r="AV127" s="181">
        <f>IF(P127&lt;6,(INDEX(Tables!$B$260:$B$274,MAX(1,MIN(IFERROR(MATCH(U127,Tables!$A$260:$A$274,1),1),ROWS(Tables!$A$260:$A$274)-1)))+(U127-INDEX(Tables!$A$260:$A$274,MAX(1,MIN(IFERROR(MATCH(U127,Tables!$A$260:$A$274,1),1),ROWS(Tables!$A$260:$A$274)-1))))*(INDEX(Tables!$B$260:$B$274,MAX(1,MIN(IFERROR(MATCH(U127,Tables!$A$260:$A$274,1),1),ROWS(Tables!$A$260:$A$274)-1))+1)-INDEX(Tables!$B$260:$B$274,MAX(1,MIN(IFERROR(MATCH(U127,Tables!$A$260:$A$274,1),1),ROWS(Tables!$A$260:$A$274)-1))))/(INDEX(Tables!$A$260:$A$274,MAX(1,MIN(IFERROR(MATCH(U127,Tables!$A$260:$A$274,1),1),ROWS(Tables!$A$260:$A$274)-1))+1)-INDEX(Tables!$A$260:$A$274,MAX(1,MIN(IFERROR(MATCH(U127,Tables!$A$260:$A$274,1),1),ROWS(Tables!$A$260:$A$274)-1))))),IF(P127&lt;8,(INDEX(Tables!$D$260:$D$274,MAX(1,MIN(IFERROR(MATCH(U127,Tables!$C$260:$C$274,1),1),ROWS(Tables!$C$260:$C$274)-1)))+(U127-INDEX(Tables!$C$260:$C$274,MAX(1,MIN(IFERROR(MATCH(U127,Tables!$C$260:$C$274,1),1),ROWS(Tables!$C$260:$C$274)-1))))*(INDEX(Tables!$D$260:$D$274,MAX(1,MIN(IFERROR(MATCH(U127,Tables!$C$260:$C$274,1),1),ROWS(Tables!$C$260:$C$274)-1))+1)-INDEX(Tables!$D$260:$D$274,MAX(1,MIN(IFERROR(MATCH(U127,Tables!$C$260:$C$274,1),1),ROWS(Tables!$C$260:$C$274)-1))))/(INDEX(Tables!$C$260:$C$274,MAX(1,MIN(IFERROR(MATCH(U127,Tables!$C$260:$C$274,1),1),ROWS(Tables!$C$260:$C$274)-1))+1)-INDEX(Tables!$C$260:$C$274,MAX(1,MIN(IFERROR(MATCH(U127,Tables!$C$260:$C$274,1),1),ROWS(Tables!$C$260:$C$274)-1))))),IF(P127&lt;10,(INDEX(Tables!$F$260:$F$274,MAX(1,MIN(IFERROR(MATCH(U127,Tables!$E$260:$E$274,1),1),ROWS(Tables!$E$260:$E$274)-1)))+(U127-INDEX(Tables!$E$260:$E$274,MAX(1,MIN(IFERROR(MATCH(U127,Tables!$E$260:$E$274,1),1),ROWS(Tables!$E$260:$E$274)-1))))*(INDEX(Tables!$F$260:$F$274,MAX(1,MIN(IFERROR(MATCH(U127,Tables!$E$260:$E$274,1),1),ROWS(Tables!$E$260:$E$274)-1))+1)-INDEX(Tables!$F$260:$F$274,MAX(1,MIN(IFERROR(MATCH(U127,Tables!$E$260:$E$274,1),1),ROWS(Tables!$E$260:$E$274)-1))))/(INDEX(Tables!$E$260:$E$274,MAX(1,MIN(IFERROR(MATCH(U127,Tables!$E$260:$E$274,1),1),ROWS(Tables!$E$260:$E$274)-1))+1)-INDEX(Tables!$E$260:$E$274,MAX(1,MIN(IFERROR(MATCH(U127,Tables!$E$260:$E$274,1),1),ROWS(Tables!$E$260:$E$274)-1))))),(INDEX(Tables!$H$260:$H$274,MAX(1,MIN(IFERROR(MATCH(U127,Tables!$G$260:$G$274,1),1),ROWS(Tables!$G$260:$G$274)-1)))+(U127-INDEX(Tables!$G$260:$G$274,MAX(1,MIN(IFERROR(MATCH(U127,Tables!$G$260:$G$274,1),1),ROWS(Tables!$G$260:$G$274)-1))))*(INDEX(Tables!$H$260:$H$274,MAX(1,MIN(IFERROR(MATCH(U127,Tables!$G$260:$G$274,1),1),ROWS(Tables!$G$260:$G$274)-1))+1)-INDEX(Tables!$H$260:$H$274,MAX(1,MIN(IFERROR(MATCH(U127,Tables!$G$260:$G$274,1),1),ROWS(Tables!$G$260:$G$274)-1))))/(INDEX(Tables!$G$260:$G$274,MAX(1,MIN(IFERROR(MATCH(U127,Tables!$G$260:$G$274,1),1),ROWS(Tables!$G$260:$G$274)-1))+1)-INDEX(Tables!$G$260:$G$274,MAX(1,MIN(IFERROR(MATCH(U127,Tables!$G$260:$G$274,1),1),ROWS(Tables!$G$260:$G$274)-1))))))))</f>
        <v>0.45700000000000002</v>
      </c>
      <c r="AW127" s="181">
        <f t="shared" si="105"/>
        <v>511.74161805555559</v>
      </c>
      <c r="AX127" s="181">
        <f t="shared" si="106"/>
        <v>0</v>
      </c>
      <c r="AY127" s="181">
        <f t="shared" si="107"/>
        <v>23114.455605388892</v>
      </c>
      <c r="AZ127" s="181">
        <f t="shared" si="108"/>
        <v>7233.065339255556</v>
      </c>
      <c r="BA127" s="181">
        <f t="shared" si="109"/>
        <v>0</v>
      </c>
      <c r="BB127" s="181">
        <f t="shared" si="110"/>
        <v>20479.426858687584</v>
      </c>
      <c r="BC127" s="181">
        <f t="shared" si="111"/>
        <v>46800</v>
      </c>
      <c r="BD127" s="181">
        <f>VLOOKUP(V127&amp;" "&amp;J127,Tables!$A$152:$E$239,4,FALSE)</f>
        <v>12000</v>
      </c>
      <c r="BE127" s="181">
        <f>VLOOKUP(V127&amp;" "&amp;J127,Tables!$A$152:$E$239,5,FALSE)</f>
        <v>23000</v>
      </c>
      <c r="BF127" s="181">
        <f t="shared" si="112"/>
        <v>8640</v>
      </c>
      <c r="BG127" s="181">
        <f t="shared" si="113"/>
        <v>16560</v>
      </c>
      <c r="BH127" s="181">
        <f t="shared" si="114"/>
        <v>0</v>
      </c>
      <c r="BI127" s="181">
        <f t="shared" si="115"/>
        <v>46800</v>
      </c>
      <c r="BJ127" s="181">
        <f t="shared" si="116"/>
        <v>20479.426858687584</v>
      </c>
      <c r="BK127" s="181">
        <f t="shared" si="117"/>
        <v>46800</v>
      </c>
      <c r="BL127" s="181">
        <f t="shared" si="118"/>
        <v>511.74161805555559</v>
      </c>
      <c r="BM127" s="181">
        <f t="shared" si="119"/>
        <v>8640</v>
      </c>
      <c r="BN127" s="181">
        <f t="shared" si="120"/>
        <v>710.04320138888886</v>
      </c>
      <c r="BO127" s="181">
        <f t="shared" si="121"/>
        <v>16560</v>
      </c>
      <c r="BP127" t="str">
        <f t="shared" si="122"/>
        <v>Pass</v>
      </c>
      <c r="BQ127" t="str">
        <f t="shared" si="123"/>
        <v>Pass</v>
      </c>
      <c r="BR127" t="str">
        <f t="shared" si="124"/>
        <v>Pass</v>
      </c>
      <c r="BS127" t="str">
        <f t="shared" si="125"/>
        <v>Pass</v>
      </c>
      <c r="BT127" t="str">
        <f t="shared" si="126"/>
        <v>Pass</v>
      </c>
      <c r="BU127" t="str">
        <f t="shared" si="127"/>
        <v>Effective Stress</v>
      </c>
    </row>
    <row r="128" spans="1:73">
      <c r="A128" t="s">
        <v>720</v>
      </c>
      <c r="B128" s="181">
        <v>126</v>
      </c>
      <c r="C128" t="s">
        <v>594</v>
      </c>
      <c r="D128" s="181">
        <v>6</v>
      </c>
      <c r="E128" s="181">
        <v>0.86399999999999999</v>
      </c>
      <c r="F128" t="s">
        <v>117</v>
      </c>
      <c r="G128" t="s">
        <v>119</v>
      </c>
      <c r="H128" t="s">
        <v>122</v>
      </c>
      <c r="I128" s="181">
        <v>1</v>
      </c>
      <c r="J128" t="s">
        <v>126</v>
      </c>
      <c r="K128" t="s">
        <v>129</v>
      </c>
      <c r="L128" s="181">
        <v>70</v>
      </c>
      <c r="M128" s="181">
        <v>100</v>
      </c>
      <c r="N128" t="s">
        <v>389</v>
      </c>
      <c r="O128" s="181">
        <v>120</v>
      </c>
      <c r="P128" s="181">
        <v>1</v>
      </c>
      <c r="Q128" s="181">
        <v>8.625</v>
      </c>
      <c r="R128" t="s">
        <v>154</v>
      </c>
      <c r="S128" t="s">
        <v>156</v>
      </c>
      <c r="T128" s="181">
        <v>70</v>
      </c>
      <c r="U128" s="181">
        <f>HLOOKUP(D128,'Highway Loading'!$C$155:$AD$156,2,FALSE)</f>
        <v>6.625</v>
      </c>
      <c r="V128" s="181">
        <f>IF(ISBLANK(G128),"",INDEX('Highway Loading'!$C$216:$AG$216,1,MATCH(G128,'Highway Loading'!$C$215:$AG$215,0)))</f>
        <v>65000</v>
      </c>
      <c r="W128" s="181">
        <f>INDEX('Highway Loading'!$I$245:$L$253,MATCH(H128,'Highway Loading'!$H$245:$H$253,0),MATCH(I128,'Highway Loading'!$I$244:$L$244,0))</f>
        <v>0.72</v>
      </c>
      <c r="X128" s="181">
        <f t="shared" si="96"/>
        <v>1</v>
      </c>
      <c r="Y128" s="181">
        <f>VLOOKUP(K128,'Highway Loading'!$B$283:$E$292,2,FALSE)</f>
        <v>29000000</v>
      </c>
      <c r="Z128" s="181">
        <f>VLOOKUP(K128,'Highway Loading'!$B$283:$E$292,3,FALSE)</f>
        <v>0.3</v>
      </c>
      <c r="AA128" s="181">
        <f>VLOOKUP(K128,'Highway Loading'!$B$283:$E$292,4,FALSE)</f>
        <v>6.4999999999999996E-6</v>
      </c>
      <c r="AB128" s="181">
        <f t="shared" si="97"/>
        <v>1</v>
      </c>
      <c r="AC128" s="181">
        <f>VLOOKUP(N128,'Highway Loading'!$B$256:$D$261,2,FALSE)</f>
        <v>500</v>
      </c>
      <c r="AD128" s="181">
        <f>VLOOKUP(N128,'Highway Loading'!$B$256:$D$261,3,FALSE)</f>
        <v>5000</v>
      </c>
      <c r="AE128" s="181">
        <f>VLOOKUP(S128,'Highway Loading'!$B$340:$C$341,2,FALSE)</f>
        <v>10000</v>
      </c>
      <c r="AF128" s="181">
        <f t="shared" si="98"/>
        <v>0.13041509433962264</v>
      </c>
      <c r="AG128" s="181">
        <f t="shared" si="99"/>
        <v>1.3913043478260869</v>
      </c>
      <c r="AH128" s="181">
        <f t="shared" si="100"/>
        <v>1.3018867924528301</v>
      </c>
      <c r="AI128" s="181">
        <f t="shared" si="101"/>
        <v>383.3912037037037</v>
      </c>
      <c r="AJ128" s="181">
        <f t="shared" si="102"/>
        <v>46800</v>
      </c>
      <c r="AK128" s="181">
        <f>IF(AC128=200,(INDEX(Tables!$B$17:$B$38,MAX(1,MIN(IFERROR(MATCH(AF128,Tables!$A$17:$A$38,1),1),ROWS(Tables!$A$17:$A$38)-1)))+(AF128-INDEX(Tables!$A$17:$A$38,MAX(1,MIN(IFERROR(MATCH(AF128,Tables!$A$17:$A$38,1),1),ROWS(Tables!$A$17:$A$38)-1))))*(INDEX(Tables!$B$17:$B$38,MAX(1,MIN(IFERROR(MATCH(AF128,Tables!$A$17:$A$38,1),1),ROWS(Tables!$A$17:$A$38)-1))+1)-INDEX(Tables!$B$17:$B$38,MAX(1,MIN(IFERROR(MATCH(AF128,Tables!$A$17:$A$38,1),1),ROWS(Tables!$A$17:$A$38)-1))))/(INDEX(Tables!$A$17:$A$38,MAX(1,MIN(IFERROR(MATCH(AF128,Tables!$A$17:$A$38,1),1),ROWS(Tables!$A$17:$A$38)-1))+1)-INDEX(Tables!$A$17:$A$38,MAX(1,MIN(IFERROR(MATCH(AF128,Tables!$A$17:$A$38,1),1),ROWS(Tables!$A$17:$A$38)-1))))),IF(AC128=500,(INDEX(Tables!$D$17:$D$38,MAX(1,MIN(IFERROR(MATCH(AF128,Tables!$C$17:$C$38,1),1),ROWS(Tables!$C$17:$C$38)-1)))+(AF128-INDEX(Tables!$C$17:$C$38,MAX(1,MIN(IFERROR(MATCH(AF128,Tables!$C$17:$C$38,1),1),ROWS(Tables!$C$17:$C$38)-1))))*(INDEX(Tables!$D$17:$D$38,MAX(1,MIN(IFERROR(MATCH(AF128,Tables!$C$17:$C$38,1),1),ROWS(Tables!$C$17:$C$38)-1))+1)-INDEX(Tables!$D$17:$D$38,MAX(1,MIN(IFERROR(MATCH(AF128,Tables!$C$17:$C$38,1),1),ROWS(Tables!$C$17:$C$38)-1))))/(INDEX(Tables!$C$17:$C$38,MAX(1,MIN(IFERROR(MATCH(AF128,Tables!$C$17:$C$38,1),1),ROWS(Tables!$C$17:$C$38)-1))+1)-INDEX(Tables!$C$17:$C$38,MAX(1,MIN(IFERROR(MATCH(AF128,Tables!$C$17:$C$38,1),1),ROWS(Tables!$C$17:$C$38)-1))))),IF(AC128=1000,(INDEX(Tables!$F$17:$F$38,MAX(1,MIN(IFERROR(MATCH(AF128,Tables!$E$17:$E$38,1),1),ROWS(Tables!$E$17:$E$38)-1)))+(AF128-INDEX(Tables!$E$17:$E$38,MAX(1,MIN(IFERROR(MATCH(AF128,Tables!$E$17:$E$38,1),1),ROWS(Tables!$E$17:$E$38)-1))))*(INDEX(Tables!$F$17:$F$38,MAX(1,MIN(IFERROR(MATCH(AF128,Tables!$E$17:$E$38,1),1),ROWS(Tables!$E$17:$E$38)-1))+1)-INDEX(Tables!$F$17:$F$38,MAX(1,MIN(IFERROR(MATCH(AF128,Tables!$E$17:$E$38,1),1),ROWS(Tables!$E$17:$E$38)-1))))/(INDEX(Tables!$E$17:$E$38,MAX(1,MIN(IFERROR(MATCH(AF128,Tables!$E$17:$E$38,1),1),ROWS(Tables!$E$17:$E$38)-1))+1)-INDEX(Tables!$E$17:$E$38,MAX(1,MIN(IFERROR(MATCH(AF128,Tables!$E$17:$E$38,1),1),ROWS(Tables!$E$17:$E$38)-1))))),(INDEX(Tables!$H$17:$H$38,MAX(1,MIN(IFERROR(MATCH(AF128,Tables!$G$17:$G$38,1),1),ROWS(Tables!$G$17:$G$38)-1)))+(AF128-INDEX(Tables!$G$17:$G$38,MAX(1,MIN(IFERROR(MATCH(AF128,Tables!$G$17:$G$38,1),1),ROWS(Tables!$G$17:$G$38)-1))))*(INDEX(Tables!$H$17:$H$38,MAX(1,MIN(IFERROR(MATCH(AF128,Tables!$G$17:$G$38,1),1),ROWS(Tables!$G$17:$G$38)-1))+1)-INDEX(Tables!$H$17:$H$38,MAX(1,MIN(IFERROR(MATCH(AF128,Tables!$G$17:$G$38,1),1),ROWS(Tables!$G$17:$G$38)-1))))/(INDEX(Tables!$G$17:$G$38,MAX(1,MIN(IFERROR(MATCH(AF128,Tables!$G$17:$G$38,1),1),ROWS(Tables!$G$17:$G$38)-1))+1)-INDEX(Tables!$G$17:$G$38,MAX(1,MIN(IFERROR(MATCH(AF128,Tables!$G$17:$G$38,1),1),ROWS(Tables!$G$17:$G$38)-1))))))))</f>
        <v>88</v>
      </c>
      <c r="AL128" s="181">
        <f>IF(AC128&lt;1000,(INDEX(Tables!$B$43:$B$76,MAX(1,MIN(IFERROR(MATCH(AG128,Tables!$A$43:$A$76,1),1),ROWS(Tables!$A$43:$A$76)-1)))+(AG128-INDEX(Tables!$A$43:$A$76,MAX(1,MIN(IFERROR(MATCH(AG128,Tables!$A$43:$A$76,1),1),ROWS(Tables!$A$43:$A$76)-1))))*(INDEX(Tables!$B$43:$B$76,MAX(1,MIN(IFERROR(MATCH(AG128,Tables!$A$43:$A$76,1),1),ROWS(Tables!$A$43:$A$76)-1))+1)-INDEX(Tables!$B$43:$B$76,MAX(1,MIN(IFERROR(MATCH(AG128,Tables!$A$43:$A$76,1),1),ROWS(Tables!$A$43:$A$76)-1))))/(INDEX(Tables!$A$43:$A$76,MAX(1,MIN(IFERROR(MATCH(AG128,Tables!$A$43:$A$76,1),1),ROWS(Tables!$A$43:$A$76)-1))+1)-INDEX(Tables!$A$43:$A$76,MAX(1,MIN(IFERROR(MATCH(AG128,Tables!$A$43:$A$76,1),1),ROWS(Tables!$A$43:$A$76)-1))))),(INDEX(Tables!$D$43:$D$76,MAX(1,MIN(IFERROR(MATCH(AG128,Tables!$C$43:$C$76,1),1),ROWS(Tables!$C$43:$C$76)-1)))+(AG128-INDEX(Tables!$C$43:$C$76,MAX(1,MIN(IFERROR(MATCH(AG128,Tables!$C$43:$C$76,1),1),ROWS(Tables!$C$43:$C$76)-1))))*(INDEX(Tables!$D$43:$D$76,MAX(1,MIN(IFERROR(MATCH(AG128,Tables!$C$43:$C$76,1),1),ROWS(Tables!$C$43:$C$76)-1))+1)-INDEX(Tables!$D$43:$D$76,MAX(1,MIN(IFERROR(MATCH(AG128,Tables!$C$43:$C$76,1),1),ROWS(Tables!$C$43:$C$76)-1))))/(INDEX(Tables!$C$43:$C$76,MAX(1,MIN(IFERROR(MATCH(AG128,Tables!$C$43:$C$76,1),1),ROWS(Tables!$C$43:$C$76)-1))+1)-INDEX(Tables!$C$43:$C$76,MAX(1,MIN(IFERROR(MATCH(AG128,Tables!$C$43:$C$76,1),1),ROWS(Tables!$C$43:$C$76)-1))))))</f>
        <v>0.44739130434782609</v>
      </c>
      <c r="AM128" s="181">
        <f>(INDEX(Tables!$B$80:$B$87,MAX(1,MIN(IFERROR(MATCH(AH128,Tables!$A$80:$A$87,1),1),ROWS(Tables!$A$80:$A$87)-1)))+(AH128-INDEX(Tables!$A$80:$A$87,MAX(1,MIN(IFERROR(MATCH(AH128,Tables!$A$80:$A$87,1),1),ROWS(Tables!$A$80:$A$87)-1))))*(INDEX(Tables!$B$80:$B$87,MAX(1,MIN(IFERROR(MATCH(AH128,Tables!$A$80:$A$87,1),1),ROWS(Tables!$A$80:$A$87)-1))+1)-INDEX(Tables!$B$80:$B$87,MAX(1,MIN(IFERROR(MATCH(AH128,Tables!$A$80:$A$87,1),1),ROWS(Tables!$A$80:$A$87)-1))))/(INDEX(Tables!$A$80:$A$87,MAX(1,MIN(IFERROR(MATCH(AH128,Tables!$A$80:$A$87,1),1),ROWS(Tables!$A$80:$A$87)-1))+1)-INDEX(Tables!$A$80:$A$87,MAX(1,MIN(IFERROR(MATCH(AH128,Tables!$A$80:$A$87,1),1),ROWS(Tables!$A$80:$A$87)-1)))))</f>
        <v>1.403996226415094</v>
      </c>
      <c r="AN128" s="181">
        <f t="shared" si="103"/>
        <v>25.430771865942024</v>
      </c>
      <c r="AO128" s="181">
        <f>(INDEX(Tables!$B$91:$B$94,MAX(1,MIN(IFERROR(MATCH(P128,Tables!$A$91:$A$94,1),1),ROWS(Tables!$A$91:$A$94)-1)))+(P128-INDEX(Tables!$A$91:$A$94,MAX(1,MIN(IFERROR(MATCH(P128,Tables!$A$91:$A$94,1),1),ROWS(Tables!$A$91:$A$94)-1))))*(INDEX(Tables!$B$91:$B$94,MAX(1,MIN(IFERROR(MATCH(P128,Tables!$A$91:$A$94,1),1),ROWS(Tables!$A$91:$A$94)-1))+1)-INDEX(Tables!$B$91:$B$94,MAX(1,MIN(IFERROR(MATCH(P128,Tables!$A$91:$A$94,1),1),ROWS(Tables!$A$91:$A$94)-1))))/(INDEX(Tables!$A$91:$A$94,MAX(1,MIN(IFERROR(MATCH(P128,Tables!$A$91:$A$94,1),1),ROWS(Tables!$A$91:$A$94)-1))+1)-INDEX(Tables!$A$91:$A$94,MAX(1,MIN(IFERROR(MATCH(P128,Tables!$A$91:$A$94,1),1),ROWS(Tables!$A$91:$A$94)-1)))))</f>
        <v>1.5</v>
      </c>
      <c r="AP128" s="181">
        <f>IF(AD128=5000,(INDEX(Tables!$B$99:$B$118,MAX(1,MIN(IFERROR(MATCH(AF128,Tables!$A$99:$A$118,1),1),ROWS(Tables!$A$99:$A$118)-1)))+(AF128-INDEX(Tables!$A$99:$A$118,MAX(1,MIN(IFERROR(MATCH(AF128,Tables!$A$99:$A$118,1),1),ROWS(Tables!$A$99:$A$118)-1))))*(INDEX(Tables!$B$99:$B$118,MAX(1,MIN(IFERROR(MATCH(AF128,Tables!$A$99:$A$118,1),1),ROWS(Tables!$A$99:$A$118)-1))+1)-INDEX(Tables!$B$99:$B$118,MAX(1,MIN(IFERROR(MATCH(AF128,Tables!$A$99:$A$118,1),1),ROWS(Tables!$A$99:$A$118)-1))))/(INDEX(Tables!$A$99:$A$118,MAX(1,MIN(IFERROR(MATCH(AF128,Tables!$A$99:$A$118,1),1),ROWS(Tables!$A$99:$A$118)-1))+1)-INDEX(Tables!$A$99:$A$118,MAX(1,MIN(IFERROR(MATCH(AF128,Tables!$A$99:$A$118,1),1),ROWS(Tables!$A$99:$A$118)-1))))),IF(AD128=10000,(INDEX(Tables!$D$99:$D$118,MAX(1,MIN(IFERROR(MATCH(AF128,Tables!$C$99:$C$118,1),1),ROWS(Tables!$C$99:$C$118)-1)))+(AF128-INDEX(Tables!$C$99:$C$118,MAX(1,MIN(IFERROR(MATCH(AF128,Tables!$C$99:$C$118,1),1),ROWS(Tables!$C$99:$C$118)-1))))*(INDEX(Tables!$D$99:$D$118,MAX(1,MIN(IFERROR(MATCH(AF128,Tables!$C$99:$C$118,1),1),ROWS(Tables!$C$99:$C$118)-1))+1)-INDEX(Tables!$D$99:$D$118,MAX(1,MIN(IFERROR(MATCH(AF128,Tables!$C$99:$C$118,1),1),ROWS(Tables!$C$99:$C$118)-1))))/(INDEX(Tables!$C$99:$C$118,MAX(1,MIN(IFERROR(MATCH(AF128,Tables!$C$99:$C$118,1),1),ROWS(Tables!$C$99:$C$118)-1))+1)-INDEX(Tables!$C$99:$C$118,MAX(1,MIN(IFERROR(MATCH(AF128,Tables!$C$99:$C$118,1),1),ROWS(Tables!$C$99:$C$118)-1))))),(INDEX(Tables!$F$99:$F$118,MAX(1,MIN(IFERROR(MATCH(AF128,Tables!$E$99:$E$118,1),1),ROWS(Tables!$E$99:$E$118)-1)))+(AF128-INDEX(Tables!$E$99:$E$118,MAX(1,MIN(IFERROR(MATCH(AF128,Tables!$E$99:$E$118,1),1),ROWS(Tables!$E$99:$E$118)-1))))*(INDEX(Tables!$F$99:$F$118,MAX(1,MIN(IFERROR(MATCH(AF128,Tables!$E$99:$E$118,1),1),ROWS(Tables!$E$99:$E$118)-1))+1)-INDEX(Tables!$F$99:$F$118,MAX(1,MIN(IFERROR(MATCH(AF128,Tables!$E$99:$E$118,1),1),ROWS(Tables!$E$99:$E$118)-1))))/(INDEX(Tables!$E$99:$E$118,MAX(1,MIN(IFERROR(MATCH(AF128,Tables!$E$99:$E$118,1),1),ROWS(Tables!$E$99:$E$118)-1))+1)-INDEX(Tables!$E$99:$E$118,MAX(1,MIN(IFERROR(MATCH(AF128,Tables!$E$99:$E$118,1),1),ROWS(Tables!$E$99:$E$118)-1)))))))</f>
        <v>1.9059999999999999</v>
      </c>
      <c r="AQ128" s="181">
        <f>IF(P128&lt;6,(INDEX(Tables!$B$123:$B$138,MAX(1,MIN(IFERROR(MATCH(U128,Tables!$A$123:$A$138,1),1),ROWS(Tables!$A$123:$A$138)-1)))+(U128-INDEX(Tables!$A$123:$A$138,MAX(1,MIN(IFERROR(MATCH(U128,Tables!$A$123:$A$138,1),1),ROWS(Tables!$A$123:$A$138)-1))))*(INDEX(Tables!$B$123:$B$138,MAX(1,MIN(IFERROR(MATCH(U128,Tables!$A$123:$A$138,1),1),ROWS(Tables!$A$123:$A$138)-1))+1)-INDEX(Tables!$B$123:$B$138,MAX(1,MIN(IFERROR(MATCH(U128,Tables!$A$123:$A$138,1),1),ROWS(Tables!$A$123:$A$138)-1))))/(INDEX(Tables!$A$123:$A$138,MAX(1,MIN(IFERROR(MATCH(U128,Tables!$A$123:$A$138,1),1),ROWS(Tables!$A$123:$A$138)-1))+1)-INDEX(Tables!$A$123:$A$138,MAX(1,MIN(IFERROR(MATCH(U128,Tables!$A$123:$A$138,1),1),ROWS(Tables!$A$123:$A$138)-1))))),IF(P128&lt;8,(INDEX(Tables!$D$123:$D$138,MAX(1,MIN(IFERROR(MATCH(U128,Tables!$C$123:$C$138,1),1),ROWS(Tables!$C$123:$C$138)-1)))+(U128-INDEX(Tables!$C$123:$C$138,MAX(1,MIN(IFERROR(MATCH(U128,Tables!$C$123:$C$138,1),1),ROWS(Tables!$C$123:$C$138)-1))))*(INDEX(Tables!$D$123:$D$138,MAX(1,MIN(IFERROR(MATCH(U128,Tables!$C$123:$C$138,1),1),ROWS(Tables!$C$123:$C$138)-1))+1)-INDEX(Tables!$D$123:$D$138,MAX(1,MIN(IFERROR(MATCH(U128,Tables!$C$123:$C$138,1),1),ROWS(Tables!$C$123:$C$138)-1))))/(INDEX(Tables!$C$123:$C$138,MAX(1,MIN(IFERROR(MATCH(U128,Tables!$C$123:$C$138,1),1),ROWS(Tables!$C$123:$C$138)-1))+1)-INDEX(Tables!$C$123:$C$138,MAX(1,MIN(IFERROR(MATCH(U128,Tables!$C$123:$C$138,1),1),ROWS(Tables!$C$123:$C$138)-1))))),IF(P128&lt;10,(INDEX(Tables!$F$123:$F$138,MAX(1,MIN(IFERROR(MATCH(U128,Tables!$E$123:$E$138,1),1),ROWS(Tables!$E$123:$E$138)-1)))+(U128-INDEX(Tables!$E$123:$E$138,MAX(1,MIN(IFERROR(MATCH(U128,Tables!$E$123:$E$138,1),1),ROWS(Tables!$E$123:$E$138)-1))))*(INDEX(Tables!$F$123:$F$138,MAX(1,MIN(IFERROR(MATCH(U128,Tables!$E$123:$E$138,1),1),ROWS(Tables!$E$123:$E$138)-1))+1)-INDEX(Tables!$F$123:$F$138,MAX(1,MIN(IFERROR(MATCH(U128,Tables!$E$123:$E$138,1),1),ROWS(Tables!$E$123:$E$138)-1))))/(INDEX(Tables!$E$123:$E$138,MAX(1,MIN(IFERROR(MATCH(U128,Tables!$E$123:$E$138,1),1),ROWS(Tables!$E$123:$E$138)-1))+1)-INDEX(Tables!$E$123:$E$138,MAX(1,MIN(IFERROR(MATCH(U128,Tables!$E$123:$E$138,1),1),ROWS(Tables!$E$123:$E$138)-1))))),(INDEX(Tables!$H$123:$H$138,MAX(1,MIN(IFERROR(MATCH(U128,Tables!$G$123:$G$138,1),1),ROWS(Tables!$G$123:$G$138)-1)))+(U128-INDEX(Tables!$G$123:$G$138,MAX(1,MIN(IFERROR(MATCH(U128,Tables!$G$123:$G$138,1),1),ROWS(Tables!$G$123:$G$138)-1))))*(INDEX(Tables!$H$123:$H$138,MAX(1,MIN(IFERROR(MATCH(U128,Tables!$G$123:$G$138,1),1),ROWS(Tables!$G$123:$G$138)-1))+1)-INDEX(Tables!$H$123:$H$138,MAX(1,MIN(IFERROR(MATCH(U128,Tables!$G$123:$G$138,1),1),ROWS(Tables!$G$123:$G$138)-1))))/(INDEX(Tables!$G$123:$G$138,MAX(1,MIN(IFERROR(MATCH(U128,Tables!$G$123:$G$138,1),1),ROWS(Tables!$G$123:$G$138)-1))+1)-INDEX(Tables!$G$123:$G$138,MAX(1,MIN(IFERROR(MATCH(U128,Tables!$G$123:$G$138,1),1),ROWS(Tables!$G$123:$G$138)-1))))))))</f>
        <v>1.4501250000000001</v>
      </c>
      <c r="AR128" s="181">
        <f>IF(OR(P128&gt;=4,U128&gt;12),VLOOKUP(R128&amp;" "&amp;S128,Tables!$D$143:$F$148,2,FALSE),VLOOKUP(R128&amp;" "&amp;S128,Tables!$A$143:$C$148,2,FALSE))</f>
        <v>1</v>
      </c>
      <c r="AS128" s="181">
        <f>IF(OR(P128&gt;=4,U128&gt;12),VLOOKUP(R128&amp;" "&amp;S128,Tables!$D$143:$F$148,3,FALSE),VLOOKUP(R128&amp;" "&amp;S128,Tables!$A$143:$C$148,3,FALSE))</f>
        <v>1</v>
      </c>
      <c r="AT128" s="181">
        <f t="shared" si="104"/>
        <v>287.91023437500002</v>
      </c>
      <c r="AU128" s="181">
        <f>IF(AD128=5000,(INDEX(Tables!$B$244:$B$263,MAX(1,MIN(IFERROR(MATCH(AF128,Tables!$A$244:$A$263,1),1),ROWS(Tables!$A$244:$A$263)-1)))+(AF128-INDEX(Tables!$A$244:$A$263,MAX(1,MIN(IFERROR(MATCH(AF128,Tables!$A$244:$A$263,1),1),ROWS(Tables!$A$244:$A$263)-1))))*(INDEX(Tables!$B$244:$B$263,MAX(1,MIN(IFERROR(MATCH(AF128,Tables!$A$244:$A$263,1),1),ROWS(Tables!$A$244:$A$263)-1))+1)-INDEX(Tables!$B$244:$B$263,MAX(1,MIN(IFERROR(MATCH(AF128,Tables!$A$244:$A$263,1),1),ROWS(Tables!$A$244:$A$263)-1))))/(INDEX(Tables!$A$244:$A$263,MAX(1,MIN(IFERROR(MATCH(AF128,Tables!$A$244:$A$263,1),1),ROWS(Tables!$A$244:$A$263)-1))+1)-INDEX(Tables!$A$244:$A$263,MAX(1,MIN(IFERROR(MATCH(AF128,Tables!$A$244:$A$263,1),1),ROWS(Tables!$A$244:$A$263)-1))))),IF(AD128=10000,(INDEX(Tables!$D$244:$D$263,MAX(1,MIN(IFERROR(MATCH(AF128,Tables!$C$244:$C$263,1),1),ROWS(Tables!$C$244:$C$263)-1)))+(AF128-INDEX(Tables!$C$244:$C$263,MAX(1,MIN(IFERROR(MATCH(AF128,Tables!$C$244:$C$263,1),1),ROWS(Tables!$C$244:$C$263)-1))))*(INDEX(Tables!$D$244:$D$263,MAX(1,MIN(IFERROR(MATCH(AF128,Tables!$C$244:$C$263,1),1),ROWS(Tables!$C$244:$C$263)-1))+1)-INDEX(Tables!$D$244:$D$263,MAX(1,MIN(IFERROR(MATCH(AF128,Tables!$C$244:$C$263,1),1),ROWS(Tables!$C$244:$C$263)-1))))/(INDEX(Tables!$C$244:$C$263,MAX(1,MIN(IFERROR(MATCH(AF128,Tables!$C$244:$C$263,1),1),ROWS(Tables!$C$244:$C$263)-1))+1)-INDEX(Tables!$C$244:$C$263,MAX(1,MIN(IFERROR(MATCH(AF128,Tables!$C$244:$C$263,1),1),ROWS(Tables!$C$244:$C$263)-1))))),(INDEX(Tables!$F$244:$F$263,MAX(1,MIN(IFERROR(MATCH(AF128,Tables!$E$244:$E$263,1),1),ROWS(Tables!$E$244:$E$263)-1)))+(AF128-INDEX(Tables!$E$244:$E$263,MAX(1,MIN(IFERROR(MATCH(AF128,Tables!$E$244:$E$263,1),1),ROWS(Tables!$E$244:$E$263)-1))))*(INDEX(Tables!$F$244:$F$263,MAX(1,MIN(IFERROR(MATCH(AF128,Tables!$E$244:$E$263,1),1),ROWS(Tables!$E$244:$E$263)-1))+1)-INDEX(Tables!$F$244:$F$263,MAX(1,MIN(IFERROR(MATCH(AF128,Tables!$E$244:$E$263,1),1),ROWS(Tables!$E$244:$E$263)-1))))/(INDEX(Tables!$E$244:$E$263,MAX(1,MIN(IFERROR(MATCH(AF128,Tables!$E$244:$E$263,1),1),ROWS(Tables!$E$244:$E$263)-1))+1)-INDEX(Tables!$E$244:$E$263,MAX(1,MIN(IFERROR(MATCH(AF128,Tables!$E$244:$E$263,1),1),ROWS(Tables!$E$244:$E$263)-1)))))))</f>
        <v>2.5920000000000001</v>
      </c>
      <c r="AV128" s="181">
        <f>IF(P128&lt;6,(INDEX(Tables!$B$260:$B$274,MAX(1,MIN(IFERROR(MATCH(U128,Tables!$A$260:$A$274,1),1),ROWS(Tables!$A$260:$A$274)-1)))+(U128-INDEX(Tables!$A$260:$A$274,MAX(1,MIN(IFERROR(MATCH(U128,Tables!$A$260:$A$274,1),1),ROWS(Tables!$A$260:$A$274)-1))))*(INDEX(Tables!$B$260:$B$274,MAX(1,MIN(IFERROR(MATCH(U128,Tables!$A$260:$A$274,1),1),ROWS(Tables!$A$260:$A$274)-1))+1)-INDEX(Tables!$B$260:$B$274,MAX(1,MIN(IFERROR(MATCH(U128,Tables!$A$260:$A$274,1),1),ROWS(Tables!$A$260:$A$274)-1))))/(INDEX(Tables!$A$260:$A$274,MAX(1,MIN(IFERROR(MATCH(U128,Tables!$A$260:$A$274,1),1),ROWS(Tables!$A$260:$A$274)-1))+1)-INDEX(Tables!$A$260:$A$274,MAX(1,MIN(IFERROR(MATCH(U128,Tables!$A$260:$A$274,1),1),ROWS(Tables!$A$260:$A$274)-1))))),IF(P128&lt;8,(INDEX(Tables!$D$260:$D$274,MAX(1,MIN(IFERROR(MATCH(U128,Tables!$C$260:$C$274,1),1),ROWS(Tables!$C$260:$C$274)-1)))+(U128-INDEX(Tables!$C$260:$C$274,MAX(1,MIN(IFERROR(MATCH(U128,Tables!$C$260:$C$274,1),1),ROWS(Tables!$C$260:$C$274)-1))))*(INDEX(Tables!$D$260:$D$274,MAX(1,MIN(IFERROR(MATCH(U128,Tables!$C$260:$C$274,1),1),ROWS(Tables!$C$260:$C$274)-1))+1)-INDEX(Tables!$D$260:$D$274,MAX(1,MIN(IFERROR(MATCH(U128,Tables!$C$260:$C$274,1),1),ROWS(Tables!$C$260:$C$274)-1))))/(INDEX(Tables!$C$260:$C$274,MAX(1,MIN(IFERROR(MATCH(U128,Tables!$C$260:$C$274,1),1),ROWS(Tables!$C$260:$C$274)-1))+1)-INDEX(Tables!$C$260:$C$274,MAX(1,MIN(IFERROR(MATCH(U128,Tables!$C$260:$C$274,1),1),ROWS(Tables!$C$260:$C$274)-1))))),IF(P128&lt;10,(INDEX(Tables!$F$260:$F$274,MAX(1,MIN(IFERROR(MATCH(U128,Tables!$E$260:$E$274,1),1),ROWS(Tables!$E$260:$E$274)-1)))+(U128-INDEX(Tables!$E$260:$E$274,MAX(1,MIN(IFERROR(MATCH(U128,Tables!$E$260:$E$274,1),1),ROWS(Tables!$E$260:$E$274)-1))))*(INDEX(Tables!$F$260:$F$274,MAX(1,MIN(IFERROR(MATCH(U128,Tables!$E$260:$E$274,1),1),ROWS(Tables!$E$260:$E$274)-1))+1)-INDEX(Tables!$F$260:$F$274,MAX(1,MIN(IFERROR(MATCH(U128,Tables!$E$260:$E$274,1),1),ROWS(Tables!$E$260:$E$274)-1))))/(INDEX(Tables!$E$260:$E$274,MAX(1,MIN(IFERROR(MATCH(U128,Tables!$E$260:$E$274,1),1),ROWS(Tables!$E$260:$E$274)-1))+1)-INDEX(Tables!$E$260:$E$274,MAX(1,MIN(IFERROR(MATCH(U128,Tables!$E$260:$E$274,1),1),ROWS(Tables!$E$260:$E$274)-1))))),(INDEX(Tables!$H$260:$H$274,MAX(1,MIN(IFERROR(MATCH(U128,Tables!$G$260:$G$274,1),1),ROWS(Tables!$G$260:$G$274)-1)))+(U128-INDEX(Tables!$G$260:$G$274,MAX(1,MIN(IFERROR(MATCH(U128,Tables!$G$260:$G$274,1),1),ROWS(Tables!$G$260:$G$274)-1))))*(INDEX(Tables!$H$260:$H$274,MAX(1,MIN(IFERROR(MATCH(U128,Tables!$G$260:$G$274,1),1),ROWS(Tables!$G$260:$G$274)-1))+1)-INDEX(Tables!$H$260:$H$274,MAX(1,MIN(IFERROR(MATCH(U128,Tables!$G$260:$G$274,1),1),ROWS(Tables!$G$260:$G$274)-1))))/(INDEX(Tables!$G$260:$G$274,MAX(1,MIN(IFERROR(MATCH(U128,Tables!$G$260:$G$274,1),1),ROWS(Tables!$G$260:$G$274)-1))+1)-INDEX(Tables!$G$260:$G$274,MAX(1,MIN(IFERROR(MATCH(U128,Tables!$G$260:$G$274,1),1),ROWS(Tables!$G$260:$G$274)-1))))))))</f>
        <v>1.4965000000000002</v>
      </c>
      <c r="AW128" s="181">
        <f t="shared" si="105"/>
        <v>404.05500000000006</v>
      </c>
      <c r="AX128" s="181">
        <f t="shared" si="106"/>
        <v>333.3912037037037</v>
      </c>
      <c r="AY128" s="181">
        <f t="shared" si="107"/>
        <v>646.73220994464577</v>
      </c>
      <c r="AZ128" s="181">
        <f t="shared" si="108"/>
        <v>511.70159267089377</v>
      </c>
      <c r="BA128" s="181">
        <f t="shared" si="109"/>
        <v>-100</v>
      </c>
      <c r="BB128" s="181">
        <f t="shared" si="110"/>
        <v>689.21009113558875</v>
      </c>
      <c r="BC128" s="181">
        <f t="shared" si="111"/>
        <v>46800</v>
      </c>
      <c r="BD128" s="181">
        <f>VLOOKUP(V128&amp;" "&amp;J128,Tables!$A$152:$E$239,4,FALSE)</f>
        <v>12000</v>
      </c>
      <c r="BE128" s="181">
        <f>VLOOKUP(V128&amp;" "&amp;J128,Tables!$A$152:$E$239,5,FALSE)</f>
        <v>23000</v>
      </c>
      <c r="BF128" s="181">
        <f t="shared" si="112"/>
        <v>8640</v>
      </c>
      <c r="BG128" s="181">
        <f t="shared" si="113"/>
        <v>16560</v>
      </c>
      <c r="BH128" s="181">
        <f t="shared" si="114"/>
        <v>383.3912037037037</v>
      </c>
      <c r="BI128" s="181">
        <f t="shared" si="115"/>
        <v>46800</v>
      </c>
      <c r="BJ128" s="181">
        <f t="shared" si="116"/>
        <v>689.21009113558875</v>
      </c>
      <c r="BK128" s="181">
        <f t="shared" si="117"/>
        <v>46800</v>
      </c>
      <c r="BL128" s="181">
        <f t="shared" si="118"/>
        <v>404.05500000000006</v>
      </c>
      <c r="BM128" s="181">
        <f t="shared" si="119"/>
        <v>8640</v>
      </c>
      <c r="BN128" s="181">
        <f t="shared" si="120"/>
        <v>287.91023437500002</v>
      </c>
      <c r="BO128" s="181">
        <f t="shared" si="121"/>
        <v>16560</v>
      </c>
      <c r="BP128" t="str">
        <f t="shared" si="122"/>
        <v>Pass</v>
      </c>
      <c r="BQ128" t="str">
        <f t="shared" si="123"/>
        <v>Pass</v>
      </c>
      <c r="BR128" t="str">
        <f t="shared" si="124"/>
        <v>Pass</v>
      </c>
      <c r="BS128" t="str">
        <f t="shared" si="125"/>
        <v>Pass</v>
      </c>
      <c r="BT128" t="str">
        <f t="shared" si="126"/>
        <v>Pass</v>
      </c>
      <c r="BU128" t="str">
        <f t="shared" si="127"/>
        <v>Girth Weld Stress</v>
      </c>
    </row>
    <row r="129" spans="1:73">
      <c r="A129" t="s">
        <v>721</v>
      </c>
      <c r="B129" s="181">
        <v>127</v>
      </c>
      <c r="C129" t="s">
        <v>594</v>
      </c>
      <c r="D129" s="181">
        <v>8</v>
      </c>
      <c r="E129" s="181">
        <v>0.90600000000000003</v>
      </c>
      <c r="F129" t="s">
        <v>117</v>
      </c>
      <c r="G129" t="s">
        <v>119</v>
      </c>
      <c r="H129" t="s">
        <v>122</v>
      </c>
      <c r="I129" s="181">
        <v>1</v>
      </c>
      <c r="J129" t="s">
        <v>126</v>
      </c>
      <c r="K129" t="s">
        <v>129</v>
      </c>
      <c r="L129" s="181">
        <v>70</v>
      </c>
      <c r="M129" s="181">
        <v>100</v>
      </c>
      <c r="N129" t="s">
        <v>389</v>
      </c>
      <c r="O129" s="181">
        <v>120</v>
      </c>
      <c r="P129" s="181">
        <v>3</v>
      </c>
      <c r="Q129" s="181">
        <v>10.625</v>
      </c>
      <c r="R129" t="s">
        <v>154</v>
      </c>
      <c r="S129" t="s">
        <v>156</v>
      </c>
      <c r="T129" s="181">
        <v>70</v>
      </c>
      <c r="U129" s="181">
        <f>HLOOKUP(D129,'Highway Loading'!$C$155:$AD$156,2,FALSE)</f>
        <v>8.625</v>
      </c>
      <c r="V129" s="181">
        <f>IF(ISBLANK(G129),"",INDEX('Highway Loading'!$C$216:$AG$216,1,MATCH(G129,'Highway Loading'!$C$215:$AG$215,0)))</f>
        <v>65000</v>
      </c>
      <c r="W129" s="181">
        <f>INDEX('Highway Loading'!$I$245:$L$253,MATCH(H129,'Highway Loading'!$H$245:$H$253,0),MATCH(I129,'Highway Loading'!$I$244:$L$244,0))</f>
        <v>0.72</v>
      </c>
      <c r="X129" s="181">
        <f t="shared" si="96"/>
        <v>1</v>
      </c>
      <c r="Y129" s="181">
        <f>VLOOKUP(K129,'Highway Loading'!$B$283:$E$292,2,FALSE)</f>
        <v>29000000</v>
      </c>
      <c r="Z129" s="181">
        <f>VLOOKUP(K129,'Highway Loading'!$B$283:$E$292,3,FALSE)</f>
        <v>0.3</v>
      </c>
      <c r="AA129" s="181">
        <f>VLOOKUP(K129,'Highway Loading'!$B$283:$E$292,4,FALSE)</f>
        <v>6.4999999999999996E-6</v>
      </c>
      <c r="AB129" s="181">
        <f t="shared" si="97"/>
        <v>1</v>
      </c>
      <c r="AC129" s="181">
        <f>VLOOKUP(N129,'Highway Loading'!$B$256:$D$261,2,FALSE)</f>
        <v>500</v>
      </c>
      <c r="AD129" s="181">
        <f>VLOOKUP(N129,'Highway Loading'!$B$256:$D$261,3,FALSE)</f>
        <v>5000</v>
      </c>
      <c r="AE129" s="181">
        <f>VLOOKUP(S129,'Highway Loading'!$B$340:$C$341,2,FALSE)</f>
        <v>10000</v>
      </c>
      <c r="AF129" s="181">
        <f t="shared" si="98"/>
        <v>0.10504347826086957</v>
      </c>
      <c r="AG129" s="181">
        <f t="shared" si="99"/>
        <v>3.388235294117647</v>
      </c>
      <c r="AH129" s="181">
        <f t="shared" si="100"/>
        <v>1.2318840579710144</v>
      </c>
      <c r="AI129" s="181">
        <f t="shared" si="101"/>
        <v>475.99337748344368</v>
      </c>
      <c r="AJ129" s="181">
        <f t="shared" si="102"/>
        <v>46800</v>
      </c>
      <c r="AK129" s="181">
        <f>IF(AC129=200,(INDEX(Tables!$B$17:$B$38,MAX(1,MIN(IFERROR(MATCH(AF129,Tables!$A$17:$A$38,1),1),ROWS(Tables!$A$17:$A$38)-1)))+(AF129-INDEX(Tables!$A$17:$A$38,MAX(1,MIN(IFERROR(MATCH(AF129,Tables!$A$17:$A$38,1),1),ROWS(Tables!$A$17:$A$38)-1))))*(INDEX(Tables!$B$17:$B$38,MAX(1,MIN(IFERROR(MATCH(AF129,Tables!$A$17:$A$38,1),1),ROWS(Tables!$A$17:$A$38)-1))+1)-INDEX(Tables!$B$17:$B$38,MAX(1,MIN(IFERROR(MATCH(AF129,Tables!$A$17:$A$38,1),1),ROWS(Tables!$A$17:$A$38)-1))))/(INDEX(Tables!$A$17:$A$38,MAX(1,MIN(IFERROR(MATCH(AF129,Tables!$A$17:$A$38,1),1),ROWS(Tables!$A$17:$A$38)-1))+1)-INDEX(Tables!$A$17:$A$38,MAX(1,MIN(IFERROR(MATCH(AF129,Tables!$A$17:$A$38,1),1),ROWS(Tables!$A$17:$A$38)-1))))),IF(AC129=500,(INDEX(Tables!$D$17:$D$38,MAX(1,MIN(IFERROR(MATCH(AF129,Tables!$C$17:$C$38,1),1),ROWS(Tables!$C$17:$C$38)-1)))+(AF129-INDEX(Tables!$C$17:$C$38,MAX(1,MIN(IFERROR(MATCH(AF129,Tables!$C$17:$C$38,1),1),ROWS(Tables!$C$17:$C$38)-1))))*(INDEX(Tables!$D$17:$D$38,MAX(1,MIN(IFERROR(MATCH(AF129,Tables!$C$17:$C$38,1),1),ROWS(Tables!$C$17:$C$38)-1))+1)-INDEX(Tables!$D$17:$D$38,MAX(1,MIN(IFERROR(MATCH(AF129,Tables!$C$17:$C$38,1),1),ROWS(Tables!$C$17:$C$38)-1))))/(INDEX(Tables!$C$17:$C$38,MAX(1,MIN(IFERROR(MATCH(AF129,Tables!$C$17:$C$38,1),1),ROWS(Tables!$C$17:$C$38)-1))+1)-INDEX(Tables!$C$17:$C$38,MAX(1,MIN(IFERROR(MATCH(AF129,Tables!$C$17:$C$38,1),1),ROWS(Tables!$C$17:$C$38)-1))))),IF(AC129=1000,(INDEX(Tables!$F$17:$F$38,MAX(1,MIN(IFERROR(MATCH(AF129,Tables!$E$17:$E$38,1),1),ROWS(Tables!$E$17:$E$38)-1)))+(AF129-INDEX(Tables!$E$17:$E$38,MAX(1,MIN(IFERROR(MATCH(AF129,Tables!$E$17:$E$38,1),1),ROWS(Tables!$E$17:$E$38)-1))))*(INDEX(Tables!$F$17:$F$38,MAX(1,MIN(IFERROR(MATCH(AF129,Tables!$E$17:$E$38,1),1),ROWS(Tables!$E$17:$E$38)-1))+1)-INDEX(Tables!$F$17:$F$38,MAX(1,MIN(IFERROR(MATCH(AF129,Tables!$E$17:$E$38,1),1),ROWS(Tables!$E$17:$E$38)-1))))/(INDEX(Tables!$E$17:$E$38,MAX(1,MIN(IFERROR(MATCH(AF129,Tables!$E$17:$E$38,1),1),ROWS(Tables!$E$17:$E$38)-1))+1)-INDEX(Tables!$E$17:$E$38,MAX(1,MIN(IFERROR(MATCH(AF129,Tables!$E$17:$E$38,1),1),ROWS(Tables!$E$17:$E$38)-1))))),(INDEX(Tables!$H$17:$H$38,MAX(1,MIN(IFERROR(MATCH(AF129,Tables!$G$17:$G$38,1),1),ROWS(Tables!$G$17:$G$38)-1)))+(AF129-INDEX(Tables!$G$17:$G$38,MAX(1,MIN(IFERROR(MATCH(AF129,Tables!$G$17:$G$38,1),1),ROWS(Tables!$G$17:$G$38)-1))))*(INDEX(Tables!$H$17:$H$38,MAX(1,MIN(IFERROR(MATCH(AF129,Tables!$G$17:$G$38,1),1),ROWS(Tables!$G$17:$G$38)-1))+1)-INDEX(Tables!$H$17:$H$38,MAX(1,MIN(IFERROR(MATCH(AF129,Tables!$G$17:$G$38,1),1),ROWS(Tables!$G$17:$G$38)-1))))/(INDEX(Tables!$G$17:$G$38,MAX(1,MIN(IFERROR(MATCH(AF129,Tables!$G$17:$G$38,1),1),ROWS(Tables!$G$17:$G$38)-1))+1)-INDEX(Tables!$G$17:$G$38,MAX(1,MIN(IFERROR(MATCH(AF129,Tables!$G$17:$G$38,1),1),ROWS(Tables!$G$17:$G$38)-1))))))))</f>
        <v>88</v>
      </c>
      <c r="AL129" s="181">
        <f>IF(AC129&lt;1000,(INDEX(Tables!$B$43:$B$76,MAX(1,MIN(IFERROR(MATCH(AG129,Tables!$A$43:$A$76,1),1),ROWS(Tables!$A$43:$A$76)-1)))+(AG129-INDEX(Tables!$A$43:$A$76,MAX(1,MIN(IFERROR(MATCH(AG129,Tables!$A$43:$A$76,1),1),ROWS(Tables!$A$43:$A$76)-1))))*(INDEX(Tables!$B$43:$B$76,MAX(1,MIN(IFERROR(MATCH(AG129,Tables!$A$43:$A$76,1),1),ROWS(Tables!$A$43:$A$76)-1))+1)-INDEX(Tables!$B$43:$B$76,MAX(1,MIN(IFERROR(MATCH(AG129,Tables!$A$43:$A$76,1),1),ROWS(Tables!$A$43:$A$76)-1))))/(INDEX(Tables!$A$43:$A$76,MAX(1,MIN(IFERROR(MATCH(AG129,Tables!$A$43:$A$76,1),1),ROWS(Tables!$A$43:$A$76)-1))+1)-INDEX(Tables!$A$43:$A$76,MAX(1,MIN(IFERROR(MATCH(AG129,Tables!$A$43:$A$76,1),1),ROWS(Tables!$A$43:$A$76)-1))))),(INDEX(Tables!$D$43:$D$76,MAX(1,MIN(IFERROR(MATCH(AG129,Tables!$C$43:$C$76,1),1),ROWS(Tables!$C$43:$C$76)-1)))+(AG129-INDEX(Tables!$C$43:$C$76,MAX(1,MIN(IFERROR(MATCH(AG129,Tables!$C$43:$C$76,1),1),ROWS(Tables!$C$43:$C$76)-1))))*(INDEX(Tables!$D$43:$D$76,MAX(1,MIN(IFERROR(MATCH(AG129,Tables!$C$43:$C$76,1),1),ROWS(Tables!$C$43:$C$76)-1))+1)-INDEX(Tables!$D$43:$D$76,MAX(1,MIN(IFERROR(MATCH(AG129,Tables!$C$43:$C$76,1),1),ROWS(Tables!$C$43:$C$76)-1))))/(INDEX(Tables!$C$43:$C$76,MAX(1,MIN(IFERROR(MATCH(AG129,Tables!$C$43:$C$76,1),1),ROWS(Tables!$C$43:$C$76)-1))+1)-INDEX(Tables!$C$43:$C$76,MAX(1,MIN(IFERROR(MATCH(AG129,Tables!$C$43:$C$76,1),1),ROWS(Tables!$C$43:$C$76)-1))))))</f>
        <v>0.89796470588235289</v>
      </c>
      <c r="AM129" s="181">
        <f>(INDEX(Tables!$B$80:$B$87,MAX(1,MIN(IFERROR(MATCH(AH129,Tables!$A$80:$A$87,1),1),ROWS(Tables!$A$80:$A$87)-1)))+(AH129-INDEX(Tables!$A$80:$A$87,MAX(1,MIN(IFERROR(MATCH(AH129,Tables!$A$80:$A$87,1),1),ROWS(Tables!$A$80:$A$87)-1))))*(INDEX(Tables!$B$80:$B$87,MAX(1,MIN(IFERROR(MATCH(AH129,Tables!$A$80:$A$87,1),1),ROWS(Tables!$A$80:$A$87)-1))+1)-INDEX(Tables!$B$80:$B$87,MAX(1,MIN(IFERROR(MATCH(AH129,Tables!$A$80:$A$87,1),1),ROWS(Tables!$A$80:$A$87)-1))))/(INDEX(Tables!$A$80:$A$87,MAX(1,MIN(IFERROR(MATCH(AH129,Tables!$A$80:$A$87,1),1),ROWS(Tables!$A$80:$A$87)-1))+1)-INDEX(Tables!$A$80:$A$87,MAX(1,MIN(IFERROR(MATCH(AH129,Tables!$A$80:$A$87,1),1),ROWS(Tables!$A$80:$A$87)-1)))))</f>
        <v>1.2567086956521738</v>
      </c>
      <c r="AN129" s="181">
        <f t="shared" si="103"/>
        <v>59.480302860539219</v>
      </c>
      <c r="AO129" s="181">
        <f>(INDEX(Tables!$B$91:$B$94,MAX(1,MIN(IFERROR(MATCH(P129,Tables!$A$91:$A$94,1),1),ROWS(Tables!$A$91:$A$94)-1)))+(P129-INDEX(Tables!$A$91:$A$94,MAX(1,MIN(IFERROR(MATCH(P129,Tables!$A$91:$A$94,1),1),ROWS(Tables!$A$91:$A$94)-1))))*(INDEX(Tables!$B$91:$B$94,MAX(1,MIN(IFERROR(MATCH(P129,Tables!$A$91:$A$94,1),1),ROWS(Tables!$A$91:$A$94)-1))+1)-INDEX(Tables!$B$91:$B$94,MAX(1,MIN(IFERROR(MATCH(P129,Tables!$A$91:$A$94,1),1),ROWS(Tables!$A$91:$A$94)-1))))/(INDEX(Tables!$A$91:$A$94,MAX(1,MIN(IFERROR(MATCH(P129,Tables!$A$91:$A$94,1),1),ROWS(Tables!$A$91:$A$94)-1))+1)-INDEX(Tables!$A$91:$A$94,MAX(1,MIN(IFERROR(MATCH(P129,Tables!$A$91:$A$94,1),1),ROWS(Tables!$A$91:$A$94)-1)))))</f>
        <v>1.5</v>
      </c>
      <c r="AP129" s="181">
        <f>IF(AD129=5000,(INDEX(Tables!$B$99:$B$118,MAX(1,MIN(IFERROR(MATCH(AF129,Tables!$A$99:$A$118,1),1),ROWS(Tables!$A$99:$A$118)-1)))+(AF129-INDEX(Tables!$A$99:$A$118,MAX(1,MIN(IFERROR(MATCH(AF129,Tables!$A$99:$A$118,1),1),ROWS(Tables!$A$99:$A$118)-1))))*(INDEX(Tables!$B$99:$B$118,MAX(1,MIN(IFERROR(MATCH(AF129,Tables!$A$99:$A$118,1),1),ROWS(Tables!$A$99:$A$118)-1))+1)-INDEX(Tables!$B$99:$B$118,MAX(1,MIN(IFERROR(MATCH(AF129,Tables!$A$99:$A$118,1),1),ROWS(Tables!$A$99:$A$118)-1))))/(INDEX(Tables!$A$99:$A$118,MAX(1,MIN(IFERROR(MATCH(AF129,Tables!$A$99:$A$118,1),1),ROWS(Tables!$A$99:$A$118)-1))+1)-INDEX(Tables!$A$99:$A$118,MAX(1,MIN(IFERROR(MATCH(AF129,Tables!$A$99:$A$118,1),1),ROWS(Tables!$A$99:$A$118)-1))))),IF(AD129=10000,(INDEX(Tables!$D$99:$D$118,MAX(1,MIN(IFERROR(MATCH(AF129,Tables!$C$99:$C$118,1),1),ROWS(Tables!$C$99:$C$118)-1)))+(AF129-INDEX(Tables!$C$99:$C$118,MAX(1,MIN(IFERROR(MATCH(AF129,Tables!$C$99:$C$118,1),1),ROWS(Tables!$C$99:$C$118)-1))))*(INDEX(Tables!$D$99:$D$118,MAX(1,MIN(IFERROR(MATCH(AF129,Tables!$C$99:$C$118,1),1),ROWS(Tables!$C$99:$C$118)-1))+1)-INDEX(Tables!$D$99:$D$118,MAX(1,MIN(IFERROR(MATCH(AF129,Tables!$C$99:$C$118,1),1),ROWS(Tables!$C$99:$C$118)-1))))/(INDEX(Tables!$C$99:$C$118,MAX(1,MIN(IFERROR(MATCH(AF129,Tables!$C$99:$C$118,1),1),ROWS(Tables!$C$99:$C$118)-1))+1)-INDEX(Tables!$C$99:$C$118,MAX(1,MIN(IFERROR(MATCH(AF129,Tables!$C$99:$C$118,1),1),ROWS(Tables!$C$99:$C$118)-1))))),(INDEX(Tables!$F$99:$F$118,MAX(1,MIN(IFERROR(MATCH(AF129,Tables!$E$99:$E$118,1),1),ROWS(Tables!$E$99:$E$118)-1)))+(AF129-INDEX(Tables!$E$99:$E$118,MAX(1,MIN(IFERROR(MATCH(AF129,Tables!$E$99:$E$118,1),1),ROWS(Tables!$E$99:$E$118)-1))))*(INDEX(Tables!$F$99:$F$118,MAX(1,MIN(IFERROR(MATCH(AF129,Tables!$E$99:$E$118,1),1),ROWS(Tables!$E$99:$E$118)-1))+1)-INDEX(Tables!$F$99:$F$118,MAX(1,MIN(IFERROR(MATCH(AF129,Tables!$E$99:$E$118,1),1),ROWS(Tables!$E$99:$E$118)-1))))/(INDEX(Tables!$E$99:$E$118,MAX(1,MIN(IFERROR(MATCH(AF129,Tables!$E$99:$E$118,1),1),ROWS(Tables!$E$99:$E$118)-1))+1)-INDEX(Tables!$E$99:$E$118,MAX(1,MIN(IFERROR(MATCH(AF129,Tables!$E$99:$E$118,1),1),ROWS(Tables!$E$99:$E$118)-1)))))))</f>
        <v>1.9059999999999999</v>
      </c>
      <c r="AQ129" s="181">
        <f>IF(P129&lt;6,(INDEX(Tables!$B$123:$B$138,MAX(1,MIN(IFERROR(MATCH(U129,Tables!$A$123:$A$138,1),1),ROWS(Tables!$A$123:$A$138)-1)))+(U129-INDEX(Tables!$A$123:$A$138,MAX(1,MIN(IFERROR(MATCH(U129,Tables!$A$123:$A$138,1),1),ROWS(Tables!$A$123:$A$138)-1))))*(INDEX(Tables!$B$123:$B$138,MAX(1,MIN(IFERROR(MATCH(U129,Tables!$A$123:$A$138,1),1),ROWS(Tables!$A$123:$A$138)-1))+1)-INDEX(Tables!$B$123:$B$138,MAX(1,MIN(IFERROR(MATCH(U129,Tables!$A$123:$A$138,1),1),ROWS(Tables!$A$123:$A$138)-1))))/(INDEX(Tables!$A$123:$A$138,MAX(1,MIN(IFERROR(MATCH(U129,Tables!$A$123:$A$138,1),1),ROWS(Tables!$A$123:$A$138)-1))+1)-INDEX(Tables!$A$123:$A$138,MAX(1,MIN(IFERROR(MATCH(U129,Tables!$A$123:$A$138,1),1),ROWS(Tables!$A$123:$A$138)-1))))),IF(P129&lt;8,(INDEX(Tables!$D$123:$D$138,MAX(1,MIN(IFERROR(MATCH(U129,Tables!$C$123:$C$138,1),1),ROWS(Tables!$C$123:$C$138)-1)))+(U129-INDEX(Tables!$C$123:$C$138,MAX(1,MIN(IFERROR(MATCH(U129,Tables!$C$123:$C$138,1),1),ROWS(Tables!$C$123:$C$138)-1))))*(INDEX(Tables!$D$123:$D$138,MAX(1,MIN(IFERROR(MATCH(U129,Tables!$C$123:$C$138,1),1),ROWS(Tables!$C$123:$C$138)-1))+1)-INDEX(Tables!$D$123:$D$138,MAX(1,MIN(IFERROR(MATCH(U129,Tables!$C$123:$C$138,1),1),ROWS(Tables!$C$123:$C$138)-1))))/(INDEX(Tables!$C$123:$C$138,MAX(1,MIN(IFERROR(MATCH(U129,Tables!$C$123:$C$138,1),1),ROWS(Tables!$C$123:$C$138)-1))+1)-INDEX(Tables!$C$123:$C$138,MAX(1,MIN(IFERROR(MATCH(U129,Tables!$C$123:$C$138,1),1),ROWS(Tables!$C$123:$C$138)-1))))),IF(P129&lt;10,(INDEX(Tables!$F$123:$F$138,MAX(1,MIN(IFERROR(MATCH(U129,Tables!$E$123:$E$138,1),1),ROWS(Tables!$E$123:$E$138)-1)))+(U129-INDEX(Tables!$E$123:$E$138,MAX(1,MIN(IFERROR(MATCH(U129,Tables!$E$123:$E$138,1),1),ROWS(Tables!$E$123:$E$138)-1))))*(INDEX(Tables!$F$123:$F$138,MAX(1,MIN(IFERROR(MATCH(U129,Tables!$E$123:$E$138,1),1),ROWS(Tables!$E$123:$E$138)-1))+1)-INDEX(Tables!$F$123:$F$138,MAX(1,MIN(IFERROR(MATCH(U129,Tables!$E$123:$E$138,1),1),ROWS(Tables!$E$123:$E$138)-1))))/(INDEX(Tables!$E$123:$E$138,MAX(1,MIN(IFERROR(MATCH(U129,Tables!$E$123:$E$138,1),1),ROWS(Tables!$E$123:$E$138)-1))+1)-INDEX(Tables!$E$123:$E$138,MAX(1,MIN(IFERROR(MATCH(U129,Tables!$E$123:$E$138,1),1),ROWS(Tables!$E$123:$E$138)-1))))),(INDEX(Tables!$H$123:$H$138,MAX(1,MIN(IFERROR(MATCH(U129,Tables!$G$123:$G$138,1),1),ROWS(Tables!$G$123:$G$138)-1)))+(U129-INDEX(Tables!$G$123:$G$138,MAX(1,MIN(IFERROR(MATCH(U129,Tables!$G$123:$G$138,1),1),ROWS(Tables!$G$123:$G$138)-1))))*(INDEX(Tables!$H$123:$H$138,MAX(1,MIN(IFERROR(MATCH(U129,Tables!$G$123:$G$138,1),1),ROWS(Tables!$G$123:$G$138)-1))+1)-INDEX(Tables!$H$123:$H$138,MAX(1,MIN(IFERROR(MATCH(U129,Tables!$G$123:$G$138,1),1),ROWS(Tables!$G$123:$G$138)-1))))/(INDEX(Tables!$G$123:$G$138,MAX(1,MIN(IFERROR(MATCH(U129,Tables!$G$123:$G$138,1),1),ROWS(Tables!$G$123:$G$138)-1))+1)-INDEX(Tables!$G$123:$G$138,MAX(1,MIN(IFERROR(MATCH(U129,Tables!$G$123:$G$138,1),1),ROWS(Tables!$G$123:$G$138)-1))))))))</f>
        <v>1.389875</v>
      </c>
      <c r="AR129" s="181">
        <f>IF(OR(P129&gt;=4,U129&gt;12),VLOOKUP(R129&amp;" "&amp;S129,Tables!$D$143:$F$148,2,FALSE),VLOOKUP(R129&amp;" "&amp;S129,Tables!$A$143:$C$148,2,FALSE))</f>
        <v>1</v>
      </c>
      <c r="AS129" s="181">
        <f>IF(OR(P129&gt;=4,U129&gt;12),VLOOKUP(R129&amp;" "&amp;S129,Tables!$D$143:$F$148,3,FALSE),VLOOKUP(R129&amp;" "&amp;S129,Tables!$A$143:$C$148,3,FALSE))</f>
        <v>1</v>
      </c>
      <c r="AT129" s="181">
        <f t="shared" si="104"/>
        <v>275.94809895833328</v>
      </c>
      <c r="AU129" s="181">
        <f>IF(AD129=5000,(INDEX(Tables!$B$244:$B$263,MAX(1,MIN(IFERROR(MATCH(AF129,Tables!$A$244:$A$263,1),1),ROWS(Tables!$A$244:$A$263)-1)))+(AF129-INDEX(Tables!$A$244:$A$263,MAX(1,MIN(IFERROR(MATCH(AF129,Tables!$A$244:$A$263,1),1),ROWS(Tables!$A$244:$A$263)-1))))*(INDEX(Tables!$B$244:$B$263,MAX(1,MIN(IFERROR(MATCH(AF129,Tables!$A$244:$A$263,1),1),ROWS(Tables!$A$244:$A$263)-1))+1)-INDEX(Tables!$B$244:$B$263,MAX(1,MIN(IFERROR(MATCH(AF129,Tables!$A$244:$A$263,1),1),ROWS(Tables!$A$244:$A$263)-1))))/(INDEX(Tables!$A$244:$A$263,MAX(1,MIN(IFERROR(MATCH(AF129,Tables!$A$244:$A$263,1),1),ROWS(Tables!$A$244:$A$263)-1))+1)-INDEX(Tables!$A$244:$A$263,MAX(1,MIN(IFERROR(MATCH(AF129,Tables!$A$244:$A$263,1),1),ROWS(Tables!$A$244:$A$263)-1))))),IF(AD129=10000,(INDEX(Tables!$D$244:$D$263,MAX(1,MIN(IFERROR(MATCH(AF129,Tables!$C$244:$C$263,1),1),ROWS(Tables!$C$244:$C$263)-1)))+(AF129-INDEX(Tables!$C$244:$C$263,MAX(1,MIN(IFERROR(MATCH(AF129,Tables!$C$244:$C$263,1),1),ROWS(Tables!$C$244:$C$263)-1))))*(INDEX(Tables!$D$244:$D$263,MAX(1,MIN(IFERROR(MATCH(AF129,Tables!$C$244:$C$263,1),1),ROWS(Tables!$C$244:$C$263)-1))+1)-INDEX(Tables!$D$244:$D$263,MAX(1,MIN(IFERROR(MATCH(AF129,Tables!$C$244:$C$263,1),1),ROWS(Tables!$C$244:$C$263)-1))))/(INDEX(Tables!$C$244:$C$263,MAX(1,MIN(IFERROR(MATCH(AF129,Tables!$C$244:$C$263,1),1),ROWS(Tables!$C$244:$C$263)-1))+1)-INDEX(Tables!$C$244:$C$263,MAX(1,MIN(IFERROR(MATCH(AF129,Tables!$C$244:$C$263,1),1),ROWS(Tables!$C$244:$C$263)-1))))),(INDEX(Tables!$F$244:$F$263,MAX(1,MIN(IFERROR(MATCH(AF129,Tables!$E$244:$E$263,1),1),ROWS(Tables!$E$244:$E$263)-1)))+(AF129-INDEX(Tables!$E$244:$E$263,MAX(1,MIN(IFERROR(MATCH(AF129,Tables!$E$244:$E$263,1),1),ROWS(Tables!$E$244:$E$263)-1))))*(INDEX(Tables!$F$244:$F$263,MAX(1,MIN(IFERROR(MATCH(AF129,Tables!$E$244:$E$263,1),1),ROWS(Tables!$E$244:$E$263)-1))+1)-INDEX(Tables!$F$244:$F$263,MAX(1,MIN(IFERROR(MATCH(AF129,Tables!$E$244:$E$263,1),1),ROWS(Tables!$E$244:$E$263)-1))))/(INDEX(Tables!$E$244:$E$263,MAX(1,MIN(IFERROR(MATCH(AF129,Tables!$E$244:$E$263,1),1),ROWS(Tables!$E$244:$E$263)-1))+1)-INDEX(Tables!$E$244:$E$263,MAX(1,MIN(IFERROR(MATCH(AF129,Tables!$E$244:$E$263,1),1),ROWS(Tables!$E$244:$E$263)-1)))))))</f>
        <v>2.5920000000000001</v>
      </c>
      <c r="AV129" s="181">
        <f>IF(P129&lt;6,(INDEX(Tables!$B$260:$B$274,MAX(1,MIN(IFERROR(MATCH(U129,Tables!$A$260:$A$274,1),1),ROWS(Tables!$A$260:$A$274)-1)))+(U129-INDEX(Tables!$A$260:$A$274,MAX(1,MIN(IFERROR(MATCH(U129,Tables!$A$260:$A$274,1),1),ROWS(Tables!$A$260:$A$274)-1))))*(INDEX(Tables!$B$260:$B$274,MAX(1,MIN(IFERROR(MATCH(U129,Tables!$A$260:$A$274,1),1),ROWS(Tables!$A$260:$A$274)-1))+1)-INDEX(Tables!$B$260:$B$274,MAX(1,MIN(IFERROR(MATCH(U129,Tables!$A$260:$A$274,1),1),ROWS(Tables!$A$260:$A$274)-1))))/(INDEX(Tables!$A$260:$A$274,MAX(1,MIN(IFERROR(MATCH(U129,Tables!$A$260:$A$274,1),1),ROWS(Tables!$A$260:$A$274)-1))+1)-INDEX(Tables!$A$260:$A$274,MAX(1,MIN(IFERROR(MATCH(U129,Tables!$A$260:$A$274,1),1),ROWS(Tables!$A$260:$A$274)-1))))),IF(P129&lt;8,(INDEX(Tables!$D$260:$D$274,MAX(1,MIN(IFERROR(MATCH(U129,Tables!$C$260:$C$274,1),1),ROWS(Tables!$C$260:$C$274)-1)))+(U129-INDEX(Tables!$C$260:$C$274,MAX(1,MIN(IFERROR(MATCH(U129,Tables!$C$260:$C$274,1),1),ROWS(Tables!$C$260:$C$274)-1))))*(INDEX(Tables!$D$260:$D$274,MAX(1,MIN(IFERROR(MATCH(U129,Tables!$C$260:$C$274,1),1),ROWS(Tables!$C$260:$C$274)-1))+1)-INDEX(Tables!$D$260:$D$274,MAX(1,MIN(IFERROR(MATCH(U129,Tables!$C$260:$C$274,1),1),ROWS(Tables!$C$260:$C$274)-1))))/(INDEX(Tables!$C$260:$C$274,MAX(1,MIN(IFERROR(MATCH(U129,Tables!$C$260:$C$274,1),1),ROWS(Tables!$C$260:$C$274)-1))+1)-INDEX(Tables!$C$260:$C$274,MAX(1,MIN(IFERROR(MATCH(U129,Tables!$C$260:$C$274,1),1),ROWS(Tables!$C$260:$C$274)-1))))),IF(P129&lt;10,(INDEX(Tables!$F$260:$F$274,MAX(1,MIN(IFERROR(MATCH(U129,Tables!$E$260:$E$274,1),1),ROWS(Tables!$E$260:$E$274)-1)))+(U129-INDEX(Tables!$E$260:$E$274,MAX(1,MIN(IFERROR(MATCH(U129,Tables!$E$260:$E$274,1),1),ROWS(Tables!$E$260:$E$274)-1))))*(INDEX(Tables!$F$260:$F$274,MAX(1,MIN(IFERROR(MATCH(U129,Tables!$E$260:$E$274,1),1),ROWS(Tables!$E$260:$E$274)-1))+1)-INDEX(Tables!$F$260:$F$274,MAX(1,MIN(IFERROR(MATCH(U129,Tables!$E$260:$E$274,1),1),ROWS(Tables!$E$260:$E$274)-1))))/(INDEX(Tables!$E$260:$E$274,MAX(1,MIN(IFERROR(MATCH(U129,Tables!$E$260:$E$274,1),1),ROWS(Tables!$E$260:$E$274)-1))+1)-INDEX(Tables!$E$260:$E$274,MAX(1,MIN(IFERROR(MATCH(U129,Tables!$E$260:$E$274,1),1),ROWS(Tables!$E$260:$E$274)-1))))),(INDEX(Tables!$H$260:$H$274,MAX(1,MIN(IFERROR(MATCH(U129,Tables!$G$260:$G$274,1),1),ROWS(Tables!$G$260:$G$274)-1)))+(U129-INDEX(Tables!$G$260:$G$274,MAX(1,MIN(IFERROR(MATCH(U129,Tables!$G$260:$G$274,1),1),ROWS(Tables!$G$260:$G$274)-1))))*(INDEX(Tables!$H$260:$H$274,MAX(1,MIN(IFERROR(MATCH(U129,Tables!$G$260:$G$274,1),1),ROWS(Tables!$G$260:$G$274)-1))+1)-INDEX(Tables!$H$260:$H$274,MAX(1,MIN(IFERROR(MATCH(U129,Tables!$G$260:$G$274,1),1),ROWS(Tables!$G$260:$G$274)-1))))/(INDEX(Tables!$G$260:$G$274,MAX(1,MIN(IFERROR(MATCH(U129,Tables!$G$260:$G$274,1),1),ROWS(Tables!$G$260:$G$274)-1))+1)-INDEX(Tables!$G$260:$G$274,MAX(1,MIN(IFERROR(MATCH(U129,Tables!$G$260:$G$274,1),1),ROWS(Tables!$G$260:$G$274)-1))))))))</f>
        <v>1.3123750000000001</v>
      </c>
      <c r="AW129" s="181">
        <f t="shared" si="105"/>
        <v>354.34125</v>
      </c>
      <c r="AX129" s="181">
        <f t="shared" si="106"/>
        <v>425.99337748344368</v>
      </c>
      <c r="AY129" s="181">
        <f t="shared" si="107"/>
        <v>761.42177930231617</v>
      </c>
      <c r="AZ129" s="181">
        <f t="shared" si="108"/>
        <v>499.98335410319487</v>
      </c>
      <c r="BA129" s="181">
        <f t="shared" si="109"/>
        <v>-100</v>
      </c>
      <c r="BB129" s="181">
        <f t="shared" si="110"/>
        <v>764.97632552513824</v>
      </c>
      <c r="BC129" s="181">
        <f t="shared" si="111"/>
        <v>46800</v>
      </c>
      <c r="BD129" s="181">
        <f>VLOOKUP(V129&amp;" "&amp;J129,Tables!$A$152:$E$239,4,FALSE)</f>
        <v>12000</v>
      </c>
      <c r="BE129" s="181">
        <f>VLOOKUP(V129&amp;" "&amp;J129,Tables!$A$152:$E$239,5,FALSE)</f>
        <v>23000</v>
      </c>
      <c r="BF129" s="181">
        <f t="shared" si="112"/>
        <v>8640</v>
      </c>
      <c r="BG129" s="181">
        <f t="shared" si="113"/>
        <v>16560</v>
      </c>
      <c r="BH129" s="181">
        <f t="shared" si="114"/>
        <v>475.99337748344368</v>
      </c>
      <c r="BI129" s="181">
        <f t="shared" si="115"/>
        <v>46800</v>
      </c>
      <c r="BJ129" s="181">
        <f t="shared" si="116"/>
        <v>764.97632552513824</v>
      </c>
      <c r="BK129" s="181">
        <f t="shared" si="117"/>
        <v>46800</v>
      </c>
      <c r="BL129" s="181">
        <f t="shared" si="118"/>
        <v>354.34125</v>
      </c>
      <c r="BM129" s="181">
        <f t="shared" si="119"/>
        <v>8640</v>
      </c>
      <c r="BN129" s="181">
        <f t="shared" si="120"/>
        <v>275.94809895833328</v>
      </c>
      <c r="BO129" s="181">
        <f t="shared" si="121"/>
        <v>16560</v>
      </c>
      <c r="BP129" t="str">
        <f t="shared" si="122"/>
        <v>Pass</v>
      </c>
      <c r="BQ129" t="str">
        <f t="shared" si="123"/>
        <v>Pass</v>
      </c>
      <c r="BR129" t="str">
        <f t="shared" si="124"/>
        <v>Pass</v>
      </c>
      <c r="BS129" t="str">
        <f t="shared" si="125"/>
        <v>Pass</v>
      </c>
      <c r="BT129" t="str">
        <f t="shared" si="126"/>
        <v>Pass</v>
      </c>
      <c r="BU129" t="str">
        <f t="shared" si="127"/>
        <v>Girth Weld Stress</v>
      </c>
    </row>
    <row r="130" spans="1:73">
      <c r="A130" t="s">
        <v>722</v>
      </c>
      <c r="B130" s="181">
        <v>128</v>
      </c>
      <c r="C130" t="s">
        <v>594</v>
      </c>
      <c r="D130" s="181">
        <v>12</v>
      </c>
      <c r="E130" s="181">
        <v>1.3120000000000001</v>
      </c>
      <c r="F130" t="s">
        <v>117</v>
      </c>
      <c r="G130" t="s">
        <v>119</v>
      </c>
      <c r="H130" t="s">
        <v>122</v>
      </c>
      <c r="I130" s="181">
        <v>1</v>
      </c>
      <c r="J130" t="s">
        <v>126</v>
      </c>
      <c r="K130" t="s">
        <v>129</v>
      </c>
      <c r="L130" s="181">
        <v>70</v>
      </c>
      <c r="M130" s="181">
        <v>100</v>
      </c>
      <c r="N130" t="s">
        <v>389</v>
      </c>
      <c r="O130" s="181">
        <v>120</v>
      </c>
      <c r="P130" s="181">
        <v>6</v>
      </c>
      <c r="Q130" s="181">
        <v>14.75</v>
      </c>
      <c r="R130" t="s">
        <v>154</v>
      </c>
      <c r="S130" t="s">
        <v>156</v>
      </c>
      <c r="T130" s="181">
        <v>70</v>
      </c>
      <c r="U130" s="181">
        <f>HLOOKUP(D130,'Highway Loading'!$C$155:$AD$156,2,FALSE)</f>
        <v>12.75</v>
      </c>
      <c r="V130" s="181">
        <f>IF(ISBLANK(G130),"",INDEX('Highway Loading'!$C$216:$AG$216,1,MATCH(G130,'Highway Loading'!$C$215:$AG$215,0)))</f>
        <v>65000</v>
      </c>
      <c r="W130" s="181">
        <f>INDEX('Highway Loading'!$I$245:$L$253,MATCH(H130,'Highway Loading'!$H$245:$H$253,0),MATCH(I130,'Highway Loading'!$I$244:$L$244,0))</f>
        <v>0.72</v>
      </c>
      <c r="X130" s="181">
        <f t="shared" ref="X130:X161" si="128">IF(ISBLANK(J130),"",IF(OR(J130="SEAMLESS",J130="ELECTRIC RESISTANCE WELDED",J130="SUBMERGED ARC WELDED",J130="COMBINATION WELDED"),1,IF(J130="FURNACE BUTT WELDED",0.6,IF(J130="ELECTRIC FUSION WELDED, EVEN CLASS",1,IF(J130="ELECTRIC FUSION WELDED, ODD CLASS",0.8,IF(U130&gt;4.5,0.8,0.6))))))</f>
        <v>1</v>
      </c>
      <c r="Y130" s="181">
        <f>VLOOKUP(K130,'Highway Loading'!$B$283:$E$292,2,FALSE)</f>
        <v>29000000</v>
      </c>
      <c r="Z130" s="181">
        <f>VLOOKUP(K130,'Highway Loading'!$B$283:$E$292,3,FALSE)</f>
        <v>0.3</v>
      </c>
      <c r="AA130" s="181">
        <f>VLOOKUP(K130,'Highway Loading'!$B$283:$E$292,4,FALSE)</f>
        <v>6.4999999999999996E-6</v>
      </c>
      <c r="AB130" s="181">
        <f t="shared" ref="AB130:AB161" si="129">IF(L130&gt;250,1-(1/30/50*(L130-250)),1)</f>
        <v>1</v>
      </c>
      <c r="AC130" s="181">
        <f>VLOOKUP(N130,'Highway Loading'!$B$256:$D$261,2,FALSE)</f>
        <v>500</v>
      </c>
      <c r="AD130" s="181">
        <f>VLOOKUP(N130,'Highway Loading'!$B$256:$D$261,3,FALSE)</f>
        <v>5000</v>
      </c>
      <c r="AE130" s="181">
        <f>VLOOKUP(S130,'Highway Loading'!$B$340:$C$341,2,FALSE)</f>
        <v>10000</v>
      </c>
      <c r="AF130" s="181">
        <f t="shared" ref="AF130:AF161" si="130">E130/U130</f>
        <v>0.10290196078431373</v>
      </c>
      <c r="AG130" s="181">
        <f t="shared" ref="AG130:AG161" si="131">P130*12/Q130</f>
        <v>4.8813559322033901</v>
      </c>
      <c r="AH130" s="181">
        <f t="shared" ref="AH130:AH161" si="132">Q130/U130</f>
        <v>1.1568627450980393</v>
      </c>
      <c r="AI130" s="181">
        <f t="shared" ref="AI130:AI161" si="133">M130*U130/(2*E130)</f>
        <v>485.89939024390242</v>
      </c>
      <c r="AJ130" s="181">
        <f t="shared" ref="AJ130:AJ161" si="134">W130*X130*AB130*V130</f>
        <v>46800</v>
      </c>
      <c r="AK130" s="181">
        <f>IF(AC130=200,(INDEX(Tables!$B$17:$B$38,MAX(1,MIN(IFERROR(MATCH(AF130,Tables!$A$17:$A$38,1),1),ROWS(Tables!$A$17:$A$38)-1)))+(AF130-INDEX(Tables!$A$17:$A$38,MAX(1,MIN(IFERROR(MATCH(AF130,Tables!$A$17:$A$38,1),1),ROWS(Tables!$A$17:$A$38)-1))))*(INDEX(Tables!$B$17:$B$38,MAX(1,MIN(IFERROR(MATCH(AF130,Tables!$A$17:$A$38,1),1),ROWS(Tables!$A$17:$A$38)-1))+1)-INDEX(Tables!$B$17:$B$38,MAX(1,MIN(IFERROR(MATCH(AF130,Tables!$A$17:$A$38,1),1),ROWS(Tables!$A$17:$A$38)-1))))/(INDEX(Tables!$A$17:$A$38,MAX(1,MIN(IFERROR(MATCH(AF130,Tables!$A$17:$A$38,1),1),ROWS(Tables!$A$17:$A$38)-1))+1)-INDEX(Tables!$A$17:$A$38,MAX(1,MIN(IFERROR(MATCH(AF130,Tables!$A$17:$A$38,1),1),ROWS(Tables!$A$17:$A$38)-1))))),IF(AC130=500,(INDEX(Tables!$D$17:$D$38,MAX(1,MIN(IFERROR(MATCH(AF130,Tables!$C$17:$C$38,1),1),ROWS(Tables!$C$17:$C$38)-1)))+(AF130-INDEX(Tables!$C$17:$C$38,MAX(1,MIN(IFERROR(MATCH(AF130,Tables!$C$17:$C$38,1),1),ROWS(Tables!$C$17:$C$38)-1))))*(INDEX(Tables!$D$17:$D$38,MAX(1,MIN(IFERROR(MATCH(AF130,Tables!$C$17:$C$38,1),1),ROWS(Tables!$C$17:$C$38)-1))+1)-INDEX(Tables!$D$17:$D$38,MAX(1,MIN(IFERROR(MATCH(AF130,Tables!$C$17:$C$38,1),1),ROWS(Tables!$C$17:$C$38)-1))))/(INDEX(Tables!$C$17:$C$38,MAX(1,MIN(IFERROR(MATCH(AF130,Tables!$C$17:$C$38,1),1),ROWS(Tables!$C$17:$C$38)-1))+1)-INDEX(Tables!$C$17:$C$38,MAX(1,MIN(IFERROR(MATCH(AF130,Tables!$C$17:$C$38,1),1),ROWS(Tables!$C$17:$C$38)-1))))),IF(AC130=1000,(INDEX(Tables!$F$17:$F$38,MAX(1,MIN(IFERROR(MATCH(AF130,Tables!$E$17:$E$38,1),1),ROWS(Tables!$E$17:$E$38)-1)))+(AF130-INDEX(Tables!$E$17:$E$38,MAX(1,MIN(IFERROR(MATCH(AF130,Tables!$E$17:$E$38,1),1),ROWS(Tables!$E$17:$E$38)-1))))*(INDEX(Tables!$F$17:$F$38,MAX(1,MIN(IFERROR(MATCH(AF130,Tables!$E$17:$E$38,1),1),ROWS(Tables!$E$17:$E$38)-1))+1)-INDEX(Tables!$F$17:$F$38,MAX(1,MIN(IFERROR(MATCH(AF130,Tables!$E$17:$E$38,1),1),ROWS(Tables!$E$17:$E$38)-1))))/(INDEX(Tables!$E$17:$E$38,MAX(1,MIN(IFERROR(MATCH(AF130,Tables!$E$17:$E$38,1),1),ROWS(Tables!$E$17:$E$38)-1))+1)-INDEX(Tables!$E$17:$E$38,MAX(1,MIN(IFERROR(MATCH(AF130,Tables!$E$17:$E$38,1),1),ROWS(Tables!$E$17:$E$38)-1))))),(INDEX(Tables!$H$17:$H$38,MAX(1,MIN(IFERROR(MATCH(AF130,Tables!$G$17:$G$38,1),1),ROWS(Tables!$G$17:$G$38)-1)))+(AF130-INDEX(Tables!$G$17:$G$38,MAX(1,MIN(IFERROR(MATCH(AF130,Tables!$G$17:$G$38,1),1),ROWS(Tables!$G$17:$G$38)-1))))*(INDEX(Tables!$H$17:$H$38,MAX(1,MIN(IFERROR(MATCH(AF130,Tables!$G$17:$G$38,1),1),ROWS(Tables!$G$17:$G$38)-1))+1)-INDEX(Tables!$H$17:$H$38,MAX(1,MIN(IFERROR(MATCH(AF130,Tables!$G$17:$G$38,1),1),ROWS(Tables!$G$17:$G$38)-1))))/(INDEX(Tables!$G$17:$G$38,MAX(1,MIN(IFERROR(MATCH(AF130,Tables!$G$17:$G$38,1),1),ROWS(Tables!$G$17:$G$38)-1))+1)-INDEX(Tables!$G$17:$G$38,MAX(1,MIN(IFERROR(MATCH(AF130,Tables!$G$17:$G$38,1),1),ROWS(Tables!$G$17:$G$38)-1))))))))</f>
        <v>88</v>
      </c>
      <c r="AL130" s="181">
        <f>IF(AC130&lt;1000,(INDEX(Tables!$B$43:$B$76,MAX(1,MIN(IFERROR(MATCH(AG130,Tables!$A$43:$A$76,1),1),ROWS(Tables!$A$43:$A$76)-1)))+(AG130-INDEX(Tables!$A$43:$A$76,MAX(1,MIN(IFERROR(MATCH(AG130,Tables!$A$43:$A$76,1),1),ROWS(Tables!$A$43:$A$76)-1))))*(INDEX(Tables!$B$43:$B$76,MAX(1,MIN(IFERROR(MATCH(AG130,Tables!$A$43:$A$76,1),1),ROWS(Tables!$A$43:$A$76)-1))+1)-INDEX(Tables!$B$43:$B$76,MAX(1,MIN(IFERROR(MATCH(AG130,Tables!$A$43:$A$76,1),1),ROWS(Tables!$A$43:$A$76)-1))))/(INDEX(Tables!$A$43:$A$76,MAX(1,MIN(IFERROR(MATCH(AG130,Tables!$A$43:$A$76,1),1),ROWS(Tables!$A$43:$A$76)-1))+1)-INDEX(Tables!$A$43:$A$76,MAX(1,MIN(IFERROR(MATCH(AG130,Tables!$A$43:$A$76,1),1),ROWS(Tables!$A$43:$A$76)-1))))),(INDEX(Tables!$D$43:$D$76,MAX(1,MIN(IFERROR(MATCH(AG130,Tables!$C$43:$C$76,1),1),ROWS(Tables!$C$43:$C$76)-1)))+(AG130-INDEX(Tables!$C$43:$C$76,MAX(1,MIN(IFERROR(MATCH(AG130,Tables!$C$43:$C$76,1),1),ROWS(Tables!$C$43:$C$76)-1))))*(INDEX(Tables!$D$43:$D$76,MAX(1,MIN(IFERROR(MATCH(AG130,Tables!$C$43:$C$76,1),1),ROWS(Tables!$C$43:$C$76)-1))+1)-INDEX(Tables!$D$43:$D$76,MAX(1,MIN(IFERROR(MATCH(AG130,Tables!$C$43:$C$76,1),1),ROWS(Tables!$C$43:$C$76)-1))))/(INDEX(Tables!$C$43:$C$76,MAX(1,MIN(IFERROR(MATCH(AG130,Tables!$C$43:$C$76,1),1),ROWS(Tables!$C$43:$C$76)-1))+1)-INDEX(Tables!$C$43:$C$76,MAX(1,MIN(IFERROR(MATCH(AG130,Tables!$C$43:$C$76,1),1),ROWS(Tables!$C$43:$C$76)-1))))))</f>
        <v>1.0658474576271186</v>
      </c>
      <c r="AM130" s="181">
        <f>(INDEX(Tables!$B$80:$B$87,MAX(1,MIN(IFERROR(MATCH(AH130,Tables!$A$80:$A$87,1),1),ROWS(Tables!$A$80:$A$87)-1)))+(AH130-INDEX(Tables!$A$80:$A$87,MAX(1,MIN(IFERROR(MATCH(AH130,Tables!$A$80:$A$87,1),1),ROWS(Tables!$A$80:$A$87)-1))))*(INDEX(Tables!$B$80:$B$87,MAX(1,MIN(IFERROR(MATCH(AH130,Tables!$A$80:$A$87,1),1),ROWS(Tables!$A$80:$A$87)-1))+1)-INDEX(Tables!$B$80:$B$87,MAX(1,MIN(IFERROR(MATCH(AH130,Tables!$A$80:$A$87,1),1),ROWS(Tables!$A$80:$A$87)-1))))/(INDEX(Tables!$A$80:$A$87,MAX(1,MIN(IFERROR(MATCH(AH130,Tables!$A$80:$A$87,1),1),ROWS(Tables!$A$80:$A$87)-1))+1)-INDEX(Tables!$A$80:$A$87,MAX(1,MIN(IFERROR(MATCH(AH130,Tables!$A$80:$A$87,1),1),ROWS(Tables!$A$80:$A$87)-1)))))</f>
        <v>1.1041078431372553</v>
      </c>
      <c r="AN130" s="181">
        <f t="shared" ref="AN130:AN161" si="135">AK130*AL130*AM130*(O130/(12^3))*U130</f>
        <v>91.693154384416232</v>
      </c>
      <c r="AO130" s="181">
        <f>(INDEX(Tables!$B$91:$B$94,MAX(1,MIN(IFERROR(MATCH(P130,Tables!$A$91:$A$94,1),1),ROWS(Tables!$A$91:$A$94)-1)))+(P130-INDEX(Tables!$A$91:$A$94,MAX(1,MIN(IFERROR(MATCH(P130,Tables!$A$91:$A$94,1),1),ROWS(Tables!$A$91:$A$94)-1))))*(INDEX(Tables!$B$91:$B$94,MAX(1,MIN(IFERROR(MATCH(P130,Tables!$A$91:$A$94,1),1),ROWS(Tables!$A$91:$A$94)-1))+1)-INDEX(Tables!$B$91:$B$94,MAX(1,MIN(IFERROR(MATCH(P130,Tables!$A$91:$A$94,1),1),ROWS(Tables!$A$91:$A$94)-1))))/(INDEX(Tables!$A$91:$A$94,MAX(1,MIN(IFERROR(MATCH(P130,Tables!$A$91:$A$94,1),1),ROWS(Tables!$A$91:$A$94)-1))+1)-INDEX(Tables!$A$91:$A$94,MAX(1,MIN(IFERROR(MATCH(P130,Tables!$A$91:$A$94,1),1),ROWS(Tables!$A$91:$A$94)-1)))))</f>
        <v>1.476219512195122</v>
      </c>
      <c r="AP130" s="181">
        <f>IF(AD130=5000,(INDEX(Tables!$B$99:$B$118,MAX(1,MIN(IFERROR(MATCH(AF130,Tables!$A$99:$A$118,1),1),ROWS(Tables!$A$99:$A$118)-1)))+(AF130-INDEX(Tables!$A$99:$A$118,MAX(1,MIN(IFERROR(MATCH(AF130,Tables!$A$99:$A$118,1),1),ROWS(Tables!$A$99:$A$118)-1))))*(INDEX(Tables!$B$99:$B$118,MAX(1,MIN(IFERROR(MATCH(AF130,Tables!$A$99:$A$118,1),1),ROWS(Tables!$A$99:$A$118)-1))+1)-INDEX(Tables!$B$99:$B$118,MAX(1,MIN(IFERROR(MATCH(AF130,Tables!$A$99:$A$118,1),1),ROWS(Tables!$A$99:$A$118)-1))))/(INDEX(Tables!$A$99:$A$118,MAX(1,MIN(IFERROR(MATCH(AF130,Tables!$A$99:$A$118,1),1),ROWS(Tables!$A$99:$A$118)-1))+1)-INDEX(Tables!$A$99:$A$118,MAX(1,MIN(IFERROR(MATCH(AF130,Tables!$A$99:$A$118,1),1),ROWS(Tables!$A$99:$A$118)-1))))),IF(AD130=10000,(INDEX(Tables!$D$99:$D$118,MAX(1,MIN(IFERROR(MATCH(AF130,Tables!$C$99:$C$118,1),1),ROWS(Tables!$C$99:$C$118)-1)))+(AF130-INDEX(Tables!$C$99:$C$118,MAX(1,MIN(IFERROR(MATCH(AF130,Tables!$C$99:$C$118,1),1),ROWS(Tables!$C$99:$C$118)-1))))*(INDEX(Tables!$D$99:$D$118,MAX(1,MIN(IFERROR(MATCH(AF130,Tables!$C$99:$C$118,1),1),ROWS(Tables!$C$99:$C$118)-1))+1)-INDEX(Tables!$D$99:$D$118,MAX(1,MIN(IFERROR(MATCH(AF130,Tables!$C$99:$C$118,1),1),ROWS(Tables!$C$99:$C$118)-1))))/(INDEX(Tables!$C$99:$C$118,MAX(1,MIN(IFERROR(MATCH(AF130,Tables!$C$99:$C$118,1),1),ROWS(Tables!$C$99:$C$118)-1))+1)-INDEX(Tables!$C$99:$C$118,MAX(1,MIN(IFERROR(MATCH(AF130,Tables!$C$99:$C$118,1),1),ROWS(Tables!$C$99:$C$118)-1))))),(INDEX(Tables!$F$99:$F$118,MAX(1,MIN(IFERROR(MATCH(AF130,Tables!$E$99:$E$118,1),1),ROWS(Tables!$E$99:$E$118)-1)))+(AF130-INDEX(Tables!$E$99:$E$118,MAX(1,MIN(IFERROR(MATCH(AF130,Tables!$E$99:$E$118,1),1),ROWS(Tables!$E$99:$E$118)-1))))*(INDEX(Tables!$F$99:$F$118,MAX(1,MIN(IFERROR(MATCH(AF130,Tables!$E$99:$E$118,1),1),ROWS(Tables!$E$99:$E$118)-1))+1)-INDEX(Tables!$F$99:$F$118,MAX(1,MIN(IFERROR(MATCH(AF130,Tables!$E$99:$E$118,1),1),ROWS(Tables!$E$99:$E$118)-1))))/(INDEX(Tables!$E$99:$E$118,MAX(1,MIN(IFERROR(MATCH(AF130,Tables!$E$99:$E$118,1),1),ROWS(Tables!$E$99:$E$118)-1))+1)-INDEX(Tables!$E$99:$E$118,MAX(1,MIN(IFERROR(MATCH(AF130,Tables!$E$99:$E$118,1),1),ROWS(Tables!$E$99:$E$118)-1)))))))</f>
        <v>1.9059999999999999</v>
      </c>
      <c r="AQ130" s="181">
        <f>IF(P130&lt;6,(INDEX(Tables!$B$123:$B$138,MAX(1,MIN(IFERROR(MATCH(U130,Tables!$A$123:$A$138,1),1),ROWS(Tables!$A$123:$A$138)-1)))+(U130-INDEX(Tables!$A$123:$A$138,MAX(1,MIN(IFERROR(MATCH(U130,Tables!$A$123:$A$138,1),1),ROWS(Tables!$A$123:$A$138)-1))))*(INDEX(Tables!$B$123:$B$138,MAX(1,MIN(IFERROR(MATCH(U130,Tables!$A$123:$A$138,1),1),ROWS(Tables!$A$123:$A$138)-1))+1)-INDEX(Tables!$B$123:$B$138,MAX(1,MIN(IFERROR(MATCH(U130,Tables!$A$123:$A$138,1),1),ROWS(Tables!$A$123:$A$138)-1))))/(INDEX(Tables!$A$123:$A$138,MAX(1,MIN(IFERROR(MATCH(U130,Tables!$A$123:$A$138,1),1),ROWS(Tables!$A$123:$A$138)-1))+1)-INDEX(Tables!$A$123:$A$138,MAX(1,MIN(IFERROR(MATCH(U130,Tables!$A$123:$A$138,1),1),ROWS(Tables!$A$123:$A$138)-1))))),IF(P130&lt;8,(INDEX(Tables!$D$123:$D$138,MAX(1,MIN(IFERROR(MATCH(U130,Tables!$C$123:$C$138,1),1),ROWS(Tables!$C$123:$C$138)-1)))+(U130-INDEX(Tables!$C$123:$C$138,MAX(1,MIN(IFERROR(MATCH(U130,Tables!$C$123:$C$138,1),1),ROWS(Tables!$C$123:$C$138)-1))))*(INDEX(Tables!$D$123:$D$138,MAX(1,MIN(IFERROR(MATCH(U130,Tables!$C$123:$C$138,1),1),ROWS(Tables!$C$123:$C$138)-1))+1)-INDEX(Tables!$D$123:$D$138,MAX(1,MIN(IFERROR(MATCH(U130,Tables!$C$123:$C$138,1),1),ROWS(Tables!$C$123:$C$138)-1))))/(INDEX(Tables!$C$123:$C$138,MAX(1,MIN(IFERROR(MATCH(U130,Tables!$C$123:$C$138,1),1),ROWS(Tables!$C$123:$C$138)-1))+1)-INDEX(Tables!$C$123:$C$138,MAX(1,MIN(IFERROR(MATCH(U130,Tables!$C$123:$C$138,1),1),ROWS(Tables!$C$123:$C$138)-1))))),IF(P130&lt;10,(INDEX(Tables!$F$123:$F$138,MAX(1,MIN(IFERROR(MATCH(U130,Tables!$E$123:$E$138,1),1),ROWS(Tables!$E$123:$E$138)-1)))+(U130-INDEX(Tables!$E$123:$E$138,MAX(1,MIN(IFERROR(MATCH(U130,Tables!$E$123:$E$138,1),1),ROWS(Tables!$E$123:$E$138)-1))))*(INDEX(Tables!$F$123:$F$138,MAX(1,MIN(IFERROR(MATCH(U130,Tables!$E$123:$E$138,1),1),ROWS(Tables!$E$123:$E$138)-1))+1)-INDEX(Tables!$F$123:$F$138,MAX(1,MIN(IFERROR(MATCH(U130,Tables!$E$123:$E$138,1),1),ROWS(Tables!$E$123:$E$138)-1))))/(INDEX(Tables!$E$123:$E$138,MAX(1,MIN(IFERROR(MATCH(U130,Tables!$E$123:$E$138,1),1),ROWS(Tables!$E$123:$E$138)-1))+1)-INDEX(Tables!$E$123:$E$138,MAX(1,MIN(IFERROR(MATCH(U130,Tables!$E$123:$E$138,1),1),ROWS(Tables!$E$123:$E$138)-1))))),(INDEX(Tables!$H$123:$H$138,MAX(1,MIN(IFERROR(MATCH(U130,Tables!$G$123:$G$138,1),1),ROWS(Tables!$G$123:$G$138)-1)))+(U130-INDEX(Tables!$G$123:$G$138,MAX(1,MIN(IFERROR(MATCH(U130,Tables!$G$123:$G$138,1),1),ROWS(Tables!$G$123:$G$138)-1))))*(INDEX(Tables!$H$123:$H$138,MAX(1,MIN(IFERROR(MATCH(U130,Tables!$G$123:$G$138,1),1),ROWS(Tables!$G$123:$G$138)-1))+1)-INDEX(Tables!$H$123:$H$138,MAX(1,MIN(IFERROR(MATCH(U130,Tables!$G$123:$G$138,1),1),ROWS(Tables!$G$123:$G$138)-1))))/(INDEX(Tables!$G$123:$G$138,MAX(1,MIN(IFERROR(MATCH(U130,Tables!$G$123:$G$138,1),1),ROWS(Tables!$G$123:$G$138)-1))+1)-INDEX(Tables!$G$123:$G$138,MAX(1,MIN(IFERROR(MATCH(U130,Tables!$G$123:$G$138,1),1),ROWS(Tables!$G$123:$G$138)-1))))))))</f>
        <v>1.01675</v>
      </c>
      <c r="AR130" s="181">
        <f>IF(OR(P130&gt;=4,U130&gt;12),VLOOKUP(R130&amp;" "&amp;S130,Tables!$D$143:$F$148,2,FALSE),VLOOKUP(R130&amp;" "&amp;S130,Tables!$A$143:$C$148,2,FALSE))</f>
        <v>1</v>
      </c>
      <c r="AS130" s="181">
        <f>IF(OR(P130&gt;=4,U130&gt;12),VLOOKUP(R130&amp;" "&amp;S130,Tables!$D$143:$F$148,3,FALSE),VLOOKUP(R130&amp;" "&amp;S130,Tables!$A$143:$C$148,3,FALSE))</f>
        <v>1</v>
      </c>
      <c r="AT130" s="181">
        <f t="shared" ref="AT130:AT161" si="136">AP130*AQ130*AR130*AS130*AO130*AE130/(12^2)</f>
        <v>198.66690529725611</v>
      </c>
      <c r="AU130" s="181">
        <f>IF(AD130=5000,(INDEX(Tables!$B$244:$B$263,MAX(1,MIN(IFERROR(MATCH(AF130,Tables!$A$244:$A$263,1),1),ROWS(Tables!$A$244:$A$263)-1)))+(AF130-INDEX(Tables!$A$244:$A$263,MAX(1,MIN(IFERROR(MATCH(AF130,Tables!$A$244:$A$263,1),1),ROWS(Tables!$A$244:$A$263)-1))))*(INDEX(Tables!$B$244:$B$263,MAX(1,MIN(IFERROR(MATCH(AF130,Tables!$A$244:$A$263,1),1),ROWS(Tables!$A$244:$A$263)-1))+1)-INDEX(Tables!$B$244:$B$263,MAX(1,MIN(IFERROR(MATCH(AF130,Tables!$A$244:$A$263,1),1),ROWS(Tables!$A$244:$A$263)-1))))/(INDEX(Tables!$A$244:$A$263,MAX(1,MIN(IFERROR(MATCH(AF130,Tables!$A$244:$A$263,1),1),ROWS(Tables!$A$244:$A$263)-1))+1)-INDEX(Tables!$A$244:$A$263,MAX(1,MIN(IFERROR(MATCH(AF130,Tables!$A$244:$A$263,1),1),ROWS(Tables!$A$244:$A$263)-1))))),IF(AD130=10000,(INDEX(Tables!$D$244:$D$263,MAX(1,MIN(IFERROR(MATCH(AF130,Tables!$C$244:$C$263,1),1),ROWS(Tables!$C$244:$C$263)-1)))+(AF130-INDEX(Tables!$C$244:$C$263,MAX(1,MIN(IFERROR(MATCH(AF130,Tables!$C$244:$C$263,1),1),ROWS(Tables!$C$244:$C$263)-1))))*(INDEX(Tables!$D$244:$D$263,MAX(1,MIN(IFERROR(MATCH(AF130,Tables!$C$244:$C$263,1),1),ROWS(Tables!$C$244:$C$263)-1))+1)-INDEX(Tables!$D$244:$D$263,MAX(1,MIN(IFERROR(MATCH(AF130,Tables!$C$244:$C$263,1),1),ROWS(Tables!$C$244:$C$263)-1))))/(INDEX(Tables!$C$244:$C$263,MAX(1,MIN(IFERROR(MATCH(AF130,Tables!$C$244:$C$263,1),1),ROWS(Tables!$C$244:$C$263)-1))+1)-INDEX(Tables!$C$244:$C$263,MAX(1,MIN(IFERROR(MATCH(AF130,Tables!$C$244:$C$263,1),1),ROWS(Tables!$C$244:$C$263)-1))))),(INDEX(Tables!$F$244:$F$263,MAX(1,MIN(IFERROR(MATCH(AF130,Tables!$E$244:$E$263,1),1),ROWS(Tables!$E$244:$E$263)-1)))+(AF130-INDEX(Tables!$E$244:$E$263,MAX(1,MIN(IFERROR(MATCH(AF130,Tables!$E$244:$E$263,1),1),ROWS(Tables!$E$244:$E$263)-1))))*(INDEX(Tables!$F$244:$F$263,MAX(1,MIN(IFERROR(MATCH(AF130,Tables!$E$244:$E$263,1),1),ROWS(Tables!$E$244:$E$263)-1))+1)-INDEX(Tables!$F$244:$F$263,MAX(1,MIN(IFERROR(MATCH(AF130,Tables!$E$244:$E$263,1),1),ROWS(Tables!$E$244:$E$263)-1))))/(INDEX(Tables!$E$244:$E$263,MAX(1,MIN(IFERROR(MATCH(AF130,Tables!$E$244:$E$263,1),1),ROWS(Tables!$E$244:$E$263)-1))+1)-INDEX(Tables!$E$244:$E$263,MAX(1,MIN(IFERROR(MATCH(AF130,Tables!$E$244:$E$263,1),1),ROWS(Tables!$E$244:$E$263)-1)))))))</f>
        <v>2.5920000000000001</v>
      </c>
      <c r="AV130" s="181">
        <f>IF(P130&lt;6,(INDEX(Tables!$B$260:$B$274,MAX(1,MIN(IFERROR(MATCH(U130,Tables!$A$260:$A$274,1),1),ROWS(Tables!$A$260:$A$274)-1)))+(U130-INDEX(Tables!$A$260:$A$274,MAX(1,MIN(IFERROR(MATCH(U130,Tables!$A$260:$A$274,1),1),ROWS(Tables!$A$260:$A$274)-1))))*(INDEX(Tables!$B$260:$B$274,MAX(1,MIN(IFERROR(MATCH(U130,Tables!$A$260:$A$274,1),1),ROWS(Tables!$A$260:$A$274)-1))+1)-INDEX(Tables!$B$260:$B$274,MAX(1,MIN(IFERROR(MATCH(U130,Tables!$A$260:$A$274,1),1),ROWS(Tables!$A$260:$A$274)-1))))/(INDEX(Tables!$A$260:$A$274,MAX(1,MIN(IFERROR(MATCH(U130,Tables!$A$260:$A$274,1),1),ROWS(Tables!$A$260:$A$274)-1))+1)-INDEX(Tables!$A$260:$A$274,MAX(1,MIN(IFERROR(MATCH(U130,Tables!$A$260:$A$274,1),1),ROWS(Tables!$A$260:$A$274)-1))))),IF(P130&lt;8,(INDEX(Tables!$D$260:$D$274,MAX(1,MIN(IFERROR(MATCH(U130,Tables!$C$260:$C$274,1),1),ROWS(Tables!$C$260:$C$274)-1)))+(U130-INDEX(Tables!$C$260:$C$274,MAX(1,MIN(IFERROR(MATCH(U130,Tables!$C$260:$C$274,1),1),ROWS(Tables!$C$260:$C$274)-1))))*(INDEX(Tables!$D$260:$D$274,MAX(1,MIN(IFERROR(MATCH(U130,Tables!$C$260:$C$274,1),1),ROWS(Tables!$C$260:$C$274)-1))+1)-INDEX(Tables!$D$260:$D$274,MAX(1,MIN(IFERROR(MATCH(U130,Tables!$C$260:$C$274,1),1),ROWS(Tables!$C$260:$C$274)-1))))/(INDEX(Tables!$C$260:$C$274,MAX(1,MIN(IFERROR(MATCH(U130,Tables!$C$260:$C$274,1),1),ROWS(Tables!$C$260:$C$274)-1))+1)-INDEX(Tables!$C$260:$C$274,MAX(1,MIN(IFERROR(MATCH(U130,Tables!$C$260:$C$274,1),1),ROWS(Tables!$C$260:$C$274)-1))))),IF(P130&lt;10,(INDEX(Tables!$F$260:$F$274,MAX(1,MIN(IFERROR(MATCH(U130,Tables!$E$260:$E$274,1),1),ROWS(Tables!$E$260:$E$274)-1)))+(U130-INDEX(Tables!$E$260:$E$274,MAX(1,MIN(IFERROR(MATCH(U130,Tables!$E$260:$E$274,1),1),ROWS(Tables!$E$260:$E$274)-1))))*(INDEX(Tables!$F$260:$F$274,MAX(1,MIN(IFERROR(MATCH(U130,Tables!$E$260:$E$274,1),1),ROWS(Tables!$E$260:$E$274)-1))+1)-INDEX(Tables!$F$260:$F$274,MAX(1,MIN(IFERROR(MATCH(U130,Tables!$E$260:$E$274,1),1),ROWS(Tables!$E$260:$E$274)-1))))/(INDEX(Tables!$E$260:$E$274,MAX(1,MIN(IFERROR(MATCH(U130,Tables!$E$260:$E$274,1),1),ROWS(Tables!$E$260:$E$274)-1))+1)-INDEX(Tables!$E$260:$E$274,MAX(1,MIN(IFERROR(MATCH(U130,Tables!$E$260:$E$274,1),1),ROWS(Tables!$E$260:$E$274)-1))))),(INDEX(Tables!$H$260:$H$274,MAX(1,MIN(IFERROR(MATCH(U130,Tables!$G$260:$G$274,1),1),ROWS(Tables!$G$260:$G$274)-1)))+(U130-INDEX(Tables!$G$260:$G$274,MAX(1,MIN(IFERROR(MATCH(U130,Tables!$G$260:$G$274,1),1),ROWS(Tables!$G$260:$G$274)-1))))*(INDEX(Tables!$H$260:$H$274,MAX(1,MIN(IFERROR(MATCH(U130,Tables!$G$260:$G$274,1),1),ROWS(Tables!$G$260:$G$274)-1))+1)-INDEX(Tables!$H$260:$H$274,MAX(1,MIN(IFERROR(MATCH(U130,Tables!$G$260:$G$274,1),1),ROWS(Tables!$G$260:$G$274)-1))))/(INDEX(Tables!$G$260:$G$274,MAX(1,MIN(IFERROR(MATCH(U130,Tables!$G$260:$G$274,1),1),ROWS(Tables!$G$260:$G$274)-1))+1)-INDEX(Tables!$G$260:$G$274,MAX(1,MIN(IFERROR(MATCH(U130,Tables!$G$260:$G$274,1),1),ROWS(Tables!$G$260:$G$274)-1))))))))</f>
        <v>1.0024999999999999</v>
      </c>
      <c r="AW130" s="181">
        <f t="shared" ref="AW130:AW161" si="137">AU130*AV130*AR130*AS130*AO130*(AE130/(12^2))</f>
        <v>266.38381097560978</v>
      </c>
      <c r="AX130" s="181">
        <f t="shared" ref="AX130:AX161" si="138">M130*(U130-E130)/(2*E130)</f>
        <v>435.89939024390242</v>
      </c>
      <c r="AY130" s="181">
        <f t="shared" ref="AY130:AY161" si="139">AN130+AT130+AX130</f>
        <v>726.2594499255747</v>
      </c>
      <c r="AZ130" s="181">
        <f t="shared" ref="AZ130:AZ161" si="140">AW130-(Y130)*(AA130)*(L130-T130)+(Z130*(AN130+AX130))</f>
        <v>424.66157436410538</v>
      </c>
      <c r="BA130" s="181">
        <f t="shared" ref="BA130:BA161" si="141">-M130</f>
        <v>-100</v>
      </c>
      <c r="BB130" s="181">
        <f t="shared" ref="BB130:BB161" si="142">SQRT(0.5*((AY130-AZ130)^2+(AZ130-BA130)^2+(BA130-AY130)^2))</f>
        <v>724.20153436344174</v>
      </c>
      <c r="BC130" s="181">
        <f t="shared" ref="BC130:BC161" si="143">V130*W130</f>
        <v>46800</v>
      </c>
      <c r="BD130" s="181">
        <f>VLOOKUP(V130&amp;" "&amp;J130,Tables!$A$152:$E$239,4,FALSE)</f>
        <v>12000</v>
      </c>
      <c r="BE130" s="181">
        <f>VLOOKUP(V130&amp;" "&amp;J130,Tables!$A$152:$E$239,5,FALSE)</f>
        <v>23000</v>
      </c>
      <c r="BF130" s="181">
        <f t="shared" ref="BF130:BF161" si="144">BD130*W130</f>
        <v>8640</v>
      </c>
      <c r="BG130" s="181">
        <f t="shared" ref="BG130:BG161" si="145">BE130*W130</f>
        <v>16560</v>
      </c>
      <c r="BH130" s="181">
        <f t="shared" ref="BH130:BH161" si="146">AI130</f>
        <v>485.89939024390242</v>
      </c>
      <c r="BI130" s="181">
        <f t="shared" ref="BI130:BI161" si="147">AJ130</f>
        <v>46800</v>
      </c>
      <c r="BJ130" s="181">
        <f t="shared" ref="BJ130:BJ161" si="148">BB130</f>
        <v>724.20153436344174</v>
      </c>
      <c r="BK130" s="181">
        <f t="shared" ref="BK130:BK161" si="149">BC130</f>
        <v>46800</v>
      </c>
      <c r="BL130" s="181">
        <f t="shared" ref="BL130:BL161" si="150">AW130</f>
        <v>266.38381097560978</v>
      </c>
      <c r="BM130" s="181">
        <f t="shared" ref="BM130:BM161" si="151">BF130</f>
        <v>8640</v>
      </c>
      <c r="BN130" s="181">
        <f t="shared" ref="BN130:BN161" si="152">AT130</f>
        <v>198.66690529725611</v>
      </c>
      <c r="BO130" s="181">
        <f t="shared" ref="BO130:BO161" si="153">BG130</f>
        <v>16560</v>
      </c>
      <c r="BP130" t="str">
        <f t="shared" ref="BP130:BP161" si="154">IF(BH130&lt;=BI130,"Pass","Fail")</f>
        <v>Pass</v>
      </c>
      <c r="BQ130" t="str">
        <f t="shared" ref="BQ130:BQ161" si="155">IF(BJ130&lt;=BK130,"Pass","Fail")</f>
        <v>Pass</v>
      </c>
      <c r="BR130" t="str">
        <f t="shared" ref="BR130:BR161" si="156">IF(BL130&lt;=BM130,"Pass","Fail")</f>
        <v>Pass</v>
      </c>
      <c r="BS130" t="str">
        <f t="shared" ref="BS130:BS161" si="157">IF(BN130&lt;=BO130,"Pass","Fail")</f>
        <v>Pass</v>
      </c>
      <c r="BT130" t="str">
        <f t="shared" ref="BT130:BT161" si="158">IF(OR(BP130="Fail",BQ130="Fail",BR130="Fail",BS130="Fail"),"Fail","Pass")</f>
        <v>Pass</v>
      </c>
      <c r="BU130" t="str">
        <f t="shared" ref="BU130:BU161" si="159">IF(MAX(BH130/BI130,BJ130/BK130,BL130/BM130,BN130/BO130)=BH130/BI130,"Barlow Stress",IF(MAX(BH130/BI130,BJ130/BK130,BL130/BM130,BN130/BO130)=BJ130/BK130,"Effective Stress",IF(MAX(BH130/BI130,BJ130/BK130,BL130/BM130,BN130/BO130)=BL130/BM130,"Girth Weld Stress","Longitudinal Weld Stress")))</f>
        <v>Girth Weld Stress</v>
      </c>
    </row>
    <row r="131" spans="1:73">
      <c r="A131" t="s">
        <v>723</v>
      </c>
      <c r="B131" s="181">
        <v>129</v>
      </c>
      <c r="C131" t="s">
        <v>594</v>
      </c>
      <c r="D131" s="181">
        <v>16</v>
      </c>
      <c r="E131" s="181">
        <v>1.9690000000000001</v>
      </c>
      <c r="F131" t="s">
        <v>117</v>
      </c>
      <c r="G131" t="s">
        <v>119</v>
      </c>
      <c r="H131" t="s">
        <v>122</v>
      </c>
      <c r="I131" s="181">
        <v>1</v>
      </c>
      <c r="J131" t="s">
        <v>126</v>
      </c>
      <c r="K131" t="s">
        <v>129</v>
      </c>
      <c r="L131" s="181">
        <v>70</v>
      </c>
      <c r="M131" s="181">
        <v>800</v>
      </c>
      <c r="N131" t="s">
        <v>389</v>
      </c>
      <c r="O131" s="181">
        <v>120</v>
      </c>
      <c r="P131" s="181">
        <v>8</v>
      </c>
      <c r="Q131" s="181">
        <v>18</v>
      </c>
      <c r="R131" t="s">
        <v>154</v>
      </c>
      <c r="S131" t="s">
        <v>156</v>
      </c>
      <c r="T131" s="181">
        <v>70</v>
      </c>
      <c r="U131" s="181">
        <f>HLOOKUP(D131,'Highway Loading'!$C$155:$AD$156,2,FALSE)</f>
        <v>16</v>
      </c>
      <c r="V131" s="181">
        <f>IF(ISBLANK(G131),"",INDEX('Highway Loading'!$C$216:$AG$216,1,MATCH(G131,'Highway Loading'!$C$215:$AG$215,0)))</f>
        <v>65000</v>
      </c>
      <c r="W131" s="181">
        <f>INDEX('Highway Loading'!$I$245:$L$253,MATCH(H131,'Highway Loading'!$H$245:$H$253,0),MATCH(I131,'Highway Loading'!$I$244:$L$244,0))</f>
        <v>0.72</v>
      </c>
      <c r="X131" s="181">
        <f t="shared" si="128"/>
        <v>1</v>
      </c>
      <c r="Y131" s="181">
        <f>VLOOKUP(K131,'Highway Loading'!$B$283:$E$292,2,FALSE)</f>
        <v>29000000</v>
      </c>
      <c r="Z131" s="181">
        <f>VLOOKUP(K131,'Highway Loading'!$B$283:$E$292,3,FALSE)</f>
        <v>0.3</v>
      </c>
      <c r="AA131" s="181">
        <f>VLOOKUP(K131,'Highway Loading'!$B$283:$E$292,4,FALSE)</f>
        <v>6.4999999999999996E-6</v>
      </c>
      <c r="AB131" s="181">
        <f t="shared" si="129"/>
        <v>1</v>
      </c>
      <c r="AC131" s="181">
        <f>VLOOKUP(N131,'Highway Loading'!$B$256:$D$261,2,FALSE)</f>
        <v>500</v>
      </c>
      <c r="AD131" s="181">
        <f>VLOOKUP(N131,'Highway Loading'!$B$256:$D$261,3,FALSE)</f>
        <v>5000</v>
      </c>
      <c r="AE131" s="181">
        <f>VLOOKUP(S131,'Highway Loading'!$B$340:$C$341,2,FALSE)</f>
        <v>10000</v>
      </c>
      <c r="AF131" s="181">
        <f t="shared" si="130"/>
        <v>0.12306250000000001</v>
      </c>
      <c r="AG131" s="181">
        <f t="shared" si="131"/>
        <v>5.333333333333333</v>
      </c>
      <c r="AH131" s="181">
        <f t="shared" si="132"/>
        <v>1.125</v>
      </c>
      <c r="AI131" s="181">
        <f t="shared" si="133"/>
        <v>3250.3809040121887</v>
      </c>
      <c r="AJ131" s="181">
        <f t="shared" si="134"/>
        <v>46800</v>
      </c>
      <c r="AK131" s="181">
        <f>IF(AC131=200,(INDEX(Tables!$B$17:$B$38,MAX(1,MIN(IFERROR(MATCH(AF131,Tables!$A$17:$A$38,1),1),ROWS(Tables!$A$17:$A$38)-1)))+(AF131-INDEX(Tables!$A$17:$A$38,MAX(1,MIN(IFERROR(MATCH(AF131,Tables!$A$17:$A$38,1),1),ROWS(Tables!$A$17:$A$38)-1))))*(INDEX(Tables!$B$17:$B$38,MAX(1,MIN(IFERROR(MATCH(AF131,Tables!$A$17:$A$38,1),1),ROWS(Tables!$A$17:$A$38)-1))+1)-INDEX(Tables!$B$17:$B$38,MAX(1,MIN(IFERROR(MATCH(AF131,Tables!$A$17:$A$38,1),1),ROWS(Tables!$A$17:$A$38)-1))))/(INDEX(Tables!$A$17:$A$38,MAX(1,MIN(IFERROR(MATCH(AF131,Tables!$A$17:$A$38,1),1),ROWS(Tables!$A$17:$A$38)-1))+1)-INDEX(Tables!$A$17:$A$38,MAX(1,MIN(IFERROR(MATCH(AF131,Tables!$A$17:$A$38,1),1),ROWS(Tables!$A$17:$A$38)-1))))),IF(AC131=500,(INDEX(Tables!$D$17:$D$38,MAX(1,MIN(IFERROR(MATCH(AF131,Tables!$C$17:$C$38,1),1),ROWS(Tables!$C$17:$C$38)-1)))+(AF131-INDEX(Tables!$C$17:$C$38,MAX(1,MIN(IFERROR(MATCH(AF131,Tables!$C$17:$C$38,1),1),ROWS(Tables!$C$17:$C$38)-1))))*(INDEX(Tables!$D$17:$D$38,MAX(1,MIN(IFERROR(MATCH(AF131,Tables!$C$17:$C$38,1),1),ROWS(Tables!$C$17:$C$38)-1))+1)-INDEX(Tables!$D$17:$D$38,MAX(1,MIN(IFERROR(MATCH(AF131,Tables!$C$17:$C$38,1),1),ROWS(Tables!$C$17:$C$38)-1))))/(INDEX(Tables!$C$17:$C$38,MAX(1,MIN(IFERROR(MATCH(AF131,Tables!$C$17:$C$38,1),1),ROWS(Tables!$C$17:$C$38)-1))+1)-INDEX(Tables!$C$17:$C$38,MAX(1,MIN(IFERROR(MATCH(AF131,Tables!$C$17:$C$38,1),1),ROWS(Tables!$C$17:$C$38)-1))))),IF(AC131=1000,(INDEX(Tables!$F$17:$F$38,MAX(1,MIN(IFERROR(MATCH(AF131,Tables!$E$17:$E$38,1),1),ROWS(Tables!$E$17:$E$38)-1)))+(AF131-INDEX(Tables!$E$17:$E$38,MAX(1,MIN(IFERROR(MATCH(AF131,Tables!$E$17:$E$38,1),1),ROWS(Tables!$E$17:$E$38)-1))))*(INDEX(Tables!$F$17:$F$38,MAX(1,MIN(IFERROR(MATCH(AF131,Tables!$E$17:$E$38,1),1),ROWS(Tables!$E$17:$E$38)-1))+1)-INDEX(Tables!$F$17:$F$38,MAX(1,MIN(IFERROR(MATCH(AF131,Tables!$E$17:$E$38,1),1),ROWS(Tables!$E$17:$E$38)-1))))/(INDEX(Tables!$E$17:$E$38,MAX(1,MIN(IFERROR(MATCH(AF131,Tables!$E$17:$E$38,1),1),ROWS(Tables!$E$17:$E$38)-1))+1)-INDEX(Tables!$E$17:$E$38,MAX(1,MIN(IFERROR(MATCH(AF131,Tables!$E$17:$E$38,1),1),ROWS(Tables!$E$17:$E$38)-1))))),(INDEX(Tables!$H$17:$H$38,MAX(1,MIN(IFERROR(MATCH(AF131,Tables!$G$17:$G$38,1),1),ROWS(Tables!$G$17:$G$38)-1)))+(AF131-INDEX(Tables!$G$17:$G$38,MAX(1,MIN(IFERROR(MATCH(AF131,Tables!$G$17:$G$38,1),1),ROWS(Tables!$G$17:$G$38)-1))))*(INDEX(Tables!$H$17:$H$38,MAX(1,MIN(IFERROR(MATCH(AF131,Tables!$G$17:$G$38,1),1),ROWS(Tables!$G$17:$G$38)-1))+1)-INDEX(Tables!$H$17:$H$38,MAX(1,MIN(IFERROR(MATCH(AF131,Tables!$G$17:$G$38,1),1),ROWS(Tables!$G$17:$G$38)-1))))/(INDEX(Tables!$G$17:$G$38,MAX(1,MIN(IFERROR(MATCH(AF131,Tables!$G$17:$G$38,1),1),ROWS(Tables!$G$17:$G$38)-1))+1)-INDEX(Tables!$G$17:$G$38,MAX(1,MIN(IFERROR(MATCH(AF131,Tables!$G$17:$G$38,1),1),ROWS(Tables!$G$17:$G$38)-1))))))))</f>
        <v>88</v>
      </c>
      <c r="AL131" s="181">
        <f>IF(AC131&lt;1000,(INDEX(Tables!$B$43:$B$76,MAX(1,MIN(IFERROR(MATCH(AG131,Tables!$A$43:$A$76,1),1),ROWS(Tables!$A$43:$A$76)-1)))+(AG131-INDEX(Tables!$A$43:$A$76,MAX(1,MIN(IFERROR(MATCH(AG131,Tables!$A$43:$A$76,1),1),ROWS(Tables!$A$43:$A$76)-1))))*(INDEX(Tables!$B$43:$B$76,MAX(1,MIN(IFERROR(MATCH(AG131,Tables!$A$43:$A$76,1),1),ROWS(Tables!$A$43:$A$76)-1))+1)-INDEX(Tables!$B$43:$B$76,MAX(1,MIN(IFERROR(MATCH(AG131,Tables!$A$43:$A$76,1),1),ROWS(Tables!$A$43:$A$76)-1))))/(INDEX(Tables!$A$43:$A$76,MAX(1,MIN(IFERROR(MATCH(AG131,Tables!$A$43:$A$76,1),1),ROWS(Tables!$A$43:$A$76)-1))+1)-INDEX(Tables!$A$43:$A$76,MAX(1,MIN(IFERROR(MATCH(AG131,Tables!$A$43:$A$76,1),1),ROWS(Tables!$A$43:$A$76)-1))))),(INDEX(Tables!$D$43:$D$76,MAX(1,MIN(IFERROR(MATCH(AG131,Tables!$C$43:$C$76,1),1),ROWS(Tables!$C$43:$C$76)-1)))+(AG131-INDEX(Tables!$C$43:$C$76,MAX(1,MIN(IFERROR(MATCH(AG131,Tables!$C$43:$C$76,1),1),ROWS(Tables!$C$43:$C$76)-1))))*(INDEX(Tables!$D$43:$D$76,MAX(1,MIN(IFERROR(MATCH(AG131,Tables!$C$43:$C$76,1),1),ROWS(Tables!$C$43:$C$76)-1))+1)-INDEX(Tables!$D$43:$D$76,MAX(1,MIN(IFERROR(MATCH(AG131,Tables!$C$43:$C$76,1),1),ROWS(Tables!$C$43:$C$76)-1))))/(INDEX(Tables!$C$43:$C$76,MAX(1,MIN(IFERROR(MATCH(AG131,Tables!$C$43:$C$76,1),1),ROWS(Tables!$C$43:$C$76)-1))+1)-INDEX(Tables!$C$43:$C$76,MAX(1,MIN(IFERROR(MATCH(AG131,Tables!$C$43:$C$76,1),1),ROWS(Tables!$C$43:$C$76)-1))))))</f>
        <v>1.1053333333333333</v>
      </c>
      <c r="AM131" s="181">
        <f>(INDEX(Tables!$B$80:$B$87,MAX(1,MIN(IFERROR(MATCH(AH131,Tables!$A$80:$A$87,1),1),ROWS(Tables!$A$80:$A$87)-1)))+(AH131-INDEX(Tables!$A$80:$A$87,MAX(1,MIN(IFERROR(MATCH(AH131,Tables!$A$80:$A$87,1),1),ROWS(Tables!$A$80:$A$87)-1))))*(INDEX(Tables!$B$80:$B$87,MAX(1,MIN(IFERROR(MATCH(AH131,Tables!$A$80:$A$87,1),1),ROWS(Tables!$A$80:$A$87)-1))+1)-INDEX(Tables!$B$80:$B$87,MAX(1,MIN(IFERROR(MATCH(AH131,Tables!$A$80:$A$87,1),1),ROWS(Tables!$A$80:$A$87)-1))))/(INDEX(Tables!$A$80:$A$87,MAX(1,MIN(IFERROR(MATCH(AH131,Tables!$A$80:$A$87,1),1),ROWS(Tables!$A$80:$A$87)-1))+1)-INDEX(Tables!$A$80:$A$87,MAX(1,MIN(IFERROR(MATCH(AH131,Tables!$A$80:$A$87,1),1),ROWS(Tables!$A$80:$A$87)-1)))))</f>
        <v>1.04345</v>
      </c>
      <c r="AN131" s="181">
        <f t="shared" si="135"/>
        <v>112.77298429629629</v>
      </c>
      <c r="AO131" s="181">
        <f>(INDEX(Tables!$B$91:$B$94,MAX(1,MIN(IFERROR(MATCH(P131,Tables!$A$91:$A$94,1),1),ROWS(Tables!$A$91:$A$94)-1)))+(P131-INDEX(Tables!$A$91:$A$94,MAX(1,MIN(IFERROR(MATCH(P131,Tables!$A$91:$A$94,1),1),ROWS(Tables!$A$91:$A$94)-1))))*(INDEX(Tables!$B$91:$B$94,MAX(1,MIN(IFERROR(MATCH(P131,Tables!$A$91:$A$94,1),1),ROWS(Tables!$A$91:$A$94)-1))+1)-INDEX(Tables!$B$91:$B$94,MAX(1,MIN(IFERROR(MATCH(P131,Tables!$A$91:$A$94,1),1),ROWS(Tables!$A$91:$A$94)-1))))/(INDEX(Tables!$A$91:$A$94,MAX(1,MIN(IFERROR(MATCH(P131,Tables!$A$91:$A$94,1),1),ROWS(Tables!$A$91:$A$94)-1))+1)-INDEX(Tables!$A$91:$A$94,MAX(1,MIN(IFERROR(MATCH(P131,Tables!$A$91:$A$94,1),1),ROWS(Tables!$A$91:$A$94)-1)))))</f>
        <v>1.4152439024390244</v>
      </c>
      <c r="AP131" s="181">
        <f>IF(AD131=5000,(INDEX(Tables!$B$99:$B$118,MAX(1,MIN(IFERROR(MATCH(AF131,Tables!$A$99:$A$118,1),1),ROWS(Tables!$A$99:$A$118)-1)))+(AF131-INDEX(Tables!$A$99:$A$118,MAX(1,MIN(IFERROR(MATCH(AF131,Tables!$A$99:$A$118,1),1),ROWS(Tables!$A$99:$A$118)-1))))*(INDEX(Tables!$B$99:$B$118,MAX(1,MIN(IFERROR(MATCH(AF131,Tables!$A$99:$A$118,1),1),ROWS(Tables!$A$99:$A$118)-1))+1)-INDEX(Tables!$B$99:$B$118,MAX(1,MIN(IFERROR(MATCH(AF131,Tables!$A$99:$A$118,1),1),ROWS(Tables!$A$99:$A$118)-1))))/(INDEX(Tables!$A$99:$A$118,MAX(1,MIN(IFERROR(MATCH(AF131,Tables!$A$99:$A$118,1),1),ROWS(Tables!$A$99:$A$118)-1))+1)-INDEX(Tables!$A$99:$A$118,MAX(1,MIN(IFERROR(MATCH(AF131,Tables!$A$99:$A$118,1),1),ROWS(Tables!$A$99:$A$118)-1))))),IF(AD131=10000,(INDEX(Tables!$D$99:$D$118,MAX(1,MIN(IFERROR(MATCH(AF131,Tables!$C$99:$C$118,1),1),ROWS(Tables!$C$99:$C$118)-1)))+(AF131-INDEX(Tables!$C$99:$C$118,MAX(1,MIN(IFERROR(MATCH(AF131,Tables!$C$99:$C$118,1),1),ROWS(Tables!$C$99:$C$118)-1))))*(INDEX(Tables!$D$99:$D$118,MAX(1,MIN(IFERROR(MATCH(AF131,Tables!$C$99:$C$118,1),1),ROWS(Tables!$C$99:$C$118)-1))+1)-INDEX(Tables!$D$99:$D$118,MAX(1,MIN(IFERROR(MATCH(AF131,Tables!$C$99:$C$118,1),1),ROWS(Tables!$C$99:$C$118)-1))))/(INDEX(Tables!$C$99:$C$118,MAX(1,MIN(IFERROR(MATCH(AF131,Tables!$C$99:$C$118,1),1),ROWS(Tables!$C$99:$C$118)-1))+1)-INDEX(Tables!$C$99:$C$118,MAX(1,MIN(IFERROR(MATCH(AF131,Tables!$C$99:$C$118,1),1),ROWS(Tables!$C$99:$C$118)-1))))),(INDEX(Tables!$F$99:$F$118,MAX(1,MIN(IFERROR(MATCH(AF131,Tables!$E$99:$E$118,1),1),ROWS(Tables!$E$99:$E$118)-1)))+(AF131-INDEX(Tables!$E$99:$E$118,MAX(1,MIN(IFERROR(MATCH(AF131,Tables!$E$99:$E$118,1),1),ROWS(Tables!$E$99:$E$118)-1))))*(INDEX(Tables!$F$99:$F$118,MAX(1,MIN(IFERROR(MATCH(AF131,Tables!$E$99:$E$118,1),1),ROWS(Tables!$E$99:$E$118)-1))+1)-INDEX(Tables!$F$99:$F$118,MAX(1,MIN(IFERROR(MATCH(AF131,Tables!$E$99:$E$118,1),1),ROWS(Tables!$E$99:$E$118)-1))))/(INDEX(Tables!$E$99:$E$118,MAX(1,MIN(IFERROR(MATCH(AF131,Tables!$E$99:$E$118,1),1),ROWS(Tables!$E$99:$E$118)-1))+1)-INDEX(Tables!$E$99:$E$118,MAX(1,MIN(IFERROR(MATCH(AF131,Tables!$E$99:$E$118,1),1),ROWS(Tables!$E$99:$E$118)-1)))))))</f>
        <v>1.9059999999999999</v>
      </c>
      <c r="AQ131" s="181">
        <f>IF(P131&lt;6,(INDEX(Tables!$B$123:$B$138,MAX(1,MIN(IFERROR(MATCH(U131,Tables!$A$123:$A$138,1),1),ROWS(Tables!$A$123:$A$138)-1)))+(U131-INDEX(Tables!$A$123:$A$138,MAX(1,MIN(IFERROR(MATCH(U131,Tables!$A$123:$A$138,1),1),ROWS(Tables!$A$123:$A$138)-1))))*(INDEX(Tables!$B$123:$B$138,MAX(1,MIN(IFERROR(MATCH(U131,Tables!$A$123:$A$138,1),1),ROWS(Tables!$A$123:$A$138)-1))+1)-INDEX(Tables!$B$123:$B$138,MAX(1,MIN(IFERROR(MATCH(U131,Tables!$A$123:$A$138,1),1),ROWS(Tables!$A$123:$A$138)-1))))/(INDEX(Tables!$A$123:$A$138,MAX(1,MIN(IFERROR(MATCH(U131,Tables!$A$123:$A$138,1),1),ROWS(Tables!$A$123:$A$138)-1))+1)-INDEX(Tables!$A$123:$A$138,MAX(1,MIN(IFERROR(MATCH(U131,Tables!$A$123:$A$138,1),1),ROWS(Tables!$A$123:$A$138)-1))))),IF(P131&lt;8,(INDEX(Tables!$D$123:$D$138,MAX(1,MIN(IFERROR(MATCH(U131,Tables!$C$123:$C$138,1),1),ROWS(Tables!$C$123:$C$138)-1)))+(U131-INDEX(Tables!$C$123:$C$138,MAX(1,MIN(IFERROR(MATCH(U131,Tables!$C$123:$C$138,1),1),ROWS(Tables!$C$123:$C$138)-1))))*(INDEX(Tables!$D$123:$D$138,MAX(1,MIN(IFERROR(MATCH(U131,Tables!$C$123:$C$138,1),1),ROWS(Tables!$C$123:$C$138)-1))+1)-INDEX(Tables!$D$123:$D$138,MAX(1,MIN(IFERROR(MATCH(U131,Tables!$C$123:$C$138,1),1),ROWS(Tables!$C$123:$C$138)-1))))/(INDEX(Tables!$C$123:$C$138,MAX(1,MIN(IFERROR(MATCH(U131,Tables!$C$123:$C$138,1),1),ROWS(Tables!$C$123:$C$138)-1))+1)-INDEX(Tables!$C$123:$C$138,MAX(1,MIN(IFERROR(MATCH(U131,Tables!$C$123:$C$138,1),1),ROWS(Tables!$C$123:$C$138)-1))))),IF(P131&lt;10,(INDEX(Tables!$F$123:$F$138,MAX(1,MIN(IFERROR(MATCH(U131,Tables!$E$123:$E$138,1),1),ROWS(Tables!$E$123:$E$138)-1)))+(U131-INDEX(Tables!$E$123:$E$138,MAX(1,MIN(IFERROR(MATCH(U131,Tables!$E$123:$E$138,1),1),ROWS(Tables!$E$123:$E$138)-1))))*(INDEX(Tables!$F$123:$F$138,MAX(1,MIN(IFERROR(MATCH(U131,Tables!$E$123:$E$138,1),1),ROWS(Tables!$E$123:$E$138)-1))+1)-INDEX(Tables!$F$123:$F$138,MAX(1,MIN(IFERROR(MATCH(U131,Tables!$E$123:$E$138,1),1),ROWS(Tables!$E$123:$E$138)-1))))/(INDEX(Tables!$E$123:$E$138,MAX(1,MIN(IFERROR(MATCH(U131,Tables!$E$123:$E$138,1),1),ROWS(Tables!$E$123:$E$138)-1))+1)-INDEX(Tables!$E$123:$E$138,MAX(1,MIN(IFERROR(MATCH(U131,Tables!$E$123:$E$138,1),1),ROWS(Tables!$E$123:$E$138)-1))))),(INDEX(Tables!$H$123:$H$138,MAX(1,MIN(IFERROR(MATCH(U131,Tables!$G$123:$G$138,1),1),ROWS(Tables!$G$123:$G$138)-1)))+(U131-INDEX(Tables!$G$123:$G$138,MAX(1,MIN(IFERROR(MATCH(U131,Tables!$G$123:$G$138,1),1),ROWS(Tables!$G$123:$G$138)-1))))*(INDEX(Tables!$H$123:$H$138,MAX(1,MIN(IFERROR(MATCH(U131,Tables!$G$123:$G$138,1),1),ROWS(Tables!$G$123:$G$138)-1))+1)-INDEX(Tables!$H$123:$H$138,MAX(1,MIN(IFERROR(MATCH(U131,Tables!$G$123:$G$138,1),1),ROWS(Tables!$G$123:$G$138)-1))))/(INDEX(Tables!$G$123:$G$138,MAX(1,MIN(IFERROR(MATCH(U131,Tables!$G$123:$G$138,1),1),ROWS(Tables!$G$123:$G$138)-1))+1)-INDEX(Tables!$G$123:$G$138,MAX(1,MIN(IFERROR(MATCH(U131,Tables!$G$123:$G$138,1),1),ROWS(Tables!$G$123:$G$138)-1))))))))</f>
        <v>0.79200000000000004</v>
      </c>
      <c r="AR131" s="181">
        <f>IF(OR(P131&gt;=4,U131&gt;12),VLOOKUP(R131&amp;" "&amp;S131,Tables!$D$143:$F$148,2,FALSE),VLOOKUP(R131&amp;" "&amp;S131,Tables!$A$143:$C$148,2,FALSE))</f>
        <v>1</v>
      </c>
      <c r="AS131" s="181">
        <f>IF(OR(P131&gt;=4,U131&gt;12),VLOOKUP(R131&amp;" "&amp;S131,Tables!$D$143:$F$148,3,FALSE),VLOOKUP(R131&amp;" "&amp;S131,Tables!$A$143:$C$148,3,FALSE))</f>
        <v>1</v>
      </c>
      <c r="AT131" s="181">
        <f t="shared" si="136"/>
        <v>148.36001829268292</v>
      </c>
      <c r="AU131" s="181">
        <f>IF(AD131=5000,(INDEX(Tables!$B$244:$B$263,MAX(1,MIN(IFERROR(MATCH(AF131,Tables!$A$244:$A$263,1),1),ROWS(Tables!$A$244:$A$263)-1)))+(AF131-INDEX(Tables!$A$244:$A$263,MAX(1,MIN(IFERROR(MATCH(AF131,Tables!$A$244:$A$263,1),1),ROWS(Tables!$A$244:$A$263)-1))))*(INDEX(Tables!$B$244:$B$263,MAX(1,MIN(IFERROR(MATCH(AF131,Tables!$A$244:$A$263,1),1),ROWS(Tables!$A$244:$A$263)-1))+1)-INDEX(Tables!$B$244:$B$263,MAX(1,MIN(IFERROR(MATCH(AF131,Tables!$A$244:$A$263,1),1),ROWS(Tables!$A$244:$A$263)-1))))/(INDEX(Tables!$A$244:$A$263,MAX(1,MIN(IFERROR(MATCH(AF131,Tables!$A$244:$A$263,1),1),ROWS(Tables!$A$244:$A$263)-1))+1)-INDEX(Tables!$A$244:$A$263,MAX(1,MIN(IFERROR(MATCH(AF131,Tables!$A$244:$A$263,1),1),ROWS(Tables!$A$244:$A$263)-1))))),IF(AD131=10000,(INDEX(Tables!$D$244:$D$263,MAX(1,MIN(IFERROR(MATCH(AF131,Tables!$C$244:$C$263,1),1),ROWS(Tables!$C$244:$C$263)-1)))+(AF131-INDEX(Tables!$C$244:$C$263,MAX(1,MIN(IFERROR(MATCH(AF131,Tables!$C$244:$C$263,1),1),ROWS(Tables!$C$244:$C$263)-1))))*(INDEX(Tables!$D$244:$D$263,MAX(1,MIN(IFERROR(MATCH(AF131,Tables!$C$244:$C$263,1),1),ROWS(Tables!$C$244:$C$263)-1))+1)-INDEX(Tables!$D$244:$D$263,MAX(1,MIN(IFERROR(MATCH(AF131,Tables!$C$244:$C$263,1),1),ROWS(Tables!$C$244:$C$263)-1))))/(INDEX(Tables!$C$244:$C$263,MAX(1,MIN(IFERROR(MATCH(AF131,Tables!$C$244:$C$263,1),1),ROWS(Tables!$C$244:$C$263)-1))+1)-INDEX(Tables!$C$244:$C$263,MAX(1,MIN(IFERROR(MATCH(AF131,Tables!$C$244:$C$263,1),1),ROWS(Tables!$C$244:$C$263)-1))))),(INDEX(Tables!$F$244:$F$263,MAX(1,MIN(IFERROR(MATCH(AF131,Tables!$E$244:$E$263,1),1),ROWS(Tables!$E$244:$E$263)-1)))+(AF131-INDEX(Tables!$E$244:$E$263,MAX(1,MIN(IFERROR(MATCH(AF131,Tables!$E$244:$E$263,1),1),ROWS(Tables!$E$244:$E$263)-1))))*(INDEX(Tables!$F$244:$F$263,MAX(1,MIN(IFERROR(MATCH(AF131,Tables!$E$244:$E$263,1),1),ROWS(Tables!$E$244:$E$263)-1))+1)-INDEX(Tables!$F$244:$F$263,MAX(1,MIN(IFERROR(MATCH(AF131,Tables!$E$244:$E$263,1),1),ROWS(Tables!$E$244:$E$263)-1))))/(INDEX(Tables!$E$244:$E$263,MAX(1,MIN(IFERROR(MATCH(AF131,Tables!$E$244:$E$263,1),1),ROWS(Tables!$E$244:$E$263)-1))+1)-INDEX(Tables!$E$244:$E$263,MAX(1,MIN(IFERROR(MATCH(AF131,Tables!$E$244:$E$263,1),1),ROWS(Tables!$E$244:$E$263)-1)))))))</f>
        <v>2.5920000000000001</v>
      </c>
      <c r="AV131" s="181">
        <f>IF(P131&lt;6,(INDEX(Tables!$B$260:$B$274,MAX(1,MIN(IFERROR(MATCH(U131,Tables!$A$260:$A$274,1),1),ROWS(Tables!$A$260:$A$274)-1)))+(U131-INDEX(Tables!$A$260:$A$274,MAX(1,MIN(IFERROR(MATCH(U131,Tables!$A$260:$A$274,1),1),ROWS(Tables!$A$260:$A$274)-1))))*(INDEX(Tables!$B$260:$B$274,MAX(1,MIN(IFERROR(MATCH(U131,Tables!$A$260:$A$274,1),1),ROWS(Tables!$A$260:$A$274)-1))+1)-INDEX(Tables!$B$260:$B$274,MAX(1,MIN(IFERROR(MATCH(U131,Tables!$A$260:$A$274,1),1),ROWS(Tables!$A$260:$A$274)-1))))/(INDEX(Tables!$A$260:$A$274,MAX(1,MIN(IFERROR(MATCH(U131,Tables!$A$260:$A$274,1),1),ROWS(Tables!$A$260:$A$274)-1))+1)-INDEX(Tables!$A$260:$A$274,MAX(1,MIN(IFERROR(MATCH(U131,Tables!$A$260:$A$274,1),1),ROWS(Tables!$A$260:$A$274)-1))))),IF(P131&lt;8,(INDEX(Tables!$D$260:$D$274,MAX(1,MIN(IFERROR(MATCH(U131,Tables!$C$260:$C$274,1),1),ROWS(Tables!$C$260:$C$274)-1)))+(U131-INDEX(Tables!$C$260:$C$274,MAX(1,MIN(IFERROR(MATCH(U131,Tables!$C$260:$C$274,1),1),ROWS(Tables!$C$260:$C$274)-1))))*(INDEX(Tables!$D$260:$D$274,MAX(1,MIN(IFERROR(MATCH(U131,Tables!$C$260:$C$274,1),1),ROWS(Tables!$C$260:$C$274)-1))+1)-INDEX(Tables!$D$260:$D$274,MAX(1,MIN(IFERROR(MATCH(U131,Tables!$C$260:$C$274,1),1),ROWS(Tables!$C$260:$C$274)-1))))/(INDEX(Tables!$C$260:$C$274,MAX(1,MIN(IFERROR(MATCH(U131,Tables!$C$260:$C$274,1),1),ROWS(Tables!$C$260:$C$274)-1))+1)-INDEX(Tables!$C$260:$C$274,MAX(1,MIN(IFERROR(MATCH(U131,Tables!$C$260:$C$274,1),1),ROWS(Tables!$C$260:$C$274)-1))))),IF(P131&lt;10,(INDEX(Tables!$F$260:$F$274,MAX(1,MIN(IFERROR(MATCH(U131,Tables!$E$260:$E$274,1),1),ROWS(Tables!$E$260:$E$274)-1)))+(U131-INDEX(Tables!$E$260:$E$274,MAX(1,MIN(IFERROR(MATCH(U131,Tables!$E$260:$E$274,1),1),ROWS(Tables!$E$260:$E$274)-1))))*(INDEX(Tables!$F$260:$F$274,MAX(1,MIN(IFERROR(MATCH(U131,Tables!$E$260:$E$274,1),1),ROWS(Tables!$E$260:$E$274)-1))+1)-INDEX(Tables!$F$260:$F$274,MAX(1,MIN(IFERROR(MATCH(U131,Tables!$E$260:$E$274,1),1),ROWS(Tables!$E$260:$E$274)-1))))/(INDEX(Tables!$E$260:$E$274,MAX(1,MIN(IFERROR(MATCH(U131,Tables!$E$260:$E$274,1),1),ROWS(Tables!$E$260:$E$274)-1))+1)-INDEX(Tables!$E$260:$E$274,MAX(1,MIN(IFERROR(MATCH(U131,Tables!$E$260:$E$274,1),1),ROWS(Tables!$E$260:$E$274)-1))))),(INDEX(Tables!$H$260:$H$274,MAX(1,MIN(IFERROR(MATCH(U131,Tables!$G$260:$G$274,1),1),ROWS(Tables!$G$260:$G$274)-1)))+(U131-INDEX(Tables!$G$260:$G$274,MAX(1,MIN(IFERROR(MATCH(U131,Tables!$G$260:$G$274,1),1),ROWS(Tables!$G$260:$G$274)-1))))*(INDEX(Tables!$H$260:$H$274,MAX(1,MIN(IFERROR(MATCH(U131,Tables!$G$260:$G$274,1),1),ROWS(Tables!$G$260:$G$274)-1))+1)-INDEX(Tables!$H$260:$H$274,MAX(1,MIN(IFERROR(MATCH(U131,Tables!$G$260:$G$274,1),1),ROWS(Tables!$G$260:$G$274)-1))))/(INDEX(Tables!$G$260:$G$274,MAX(1,MIN(IFERROR(MATCH(U131,Tables!$G$260:$G$274,1),1),ROWS(Tables!$G$260:$G$274)-1))+1)-INDEX(Tables!$G$260:$G$274,MAX(1,MIN(IFERROR(MATCH(U131,Tables!$G$260:$G$274,1),1),ROWS(Tables!$G$260:$G$274)-1))))))))</f>
        <v>0.84099999999999997</v>
      </c>
      <c r="AW131" s="181">
        <f t="shared" si="137"/>
        <v>214.23962195121953</v>
      </c>
      <c r="AX131" s="181">
        <f t="shared" si="138"/>
        <v>2850.3809040121891</v>
      </c>
      <c r="AY131" s="181">
        <f t="shared" si="139"/>
        <v>3111.5139066011684</v>
      </c>
      <c r="AZ131" s="181">
        <f t="shared" si="140"/>
        <v>1103.185788443765</v>
      </c>
      <c r="BA131" s="181">
        <f t="shared" si="141"/>
        <v>-800</v>
      </c>
      <c r="BB131" s="181">
        <f t="shared" si="142"/>
        <v>3387.8783196161507</v>
      </c>
      <c r="BC131" s="181">
        <f t="shared" si="143"/>
        <v>46800</v>
      </c>
      <c r="BD131" s="181">
        <f>VLOOKUP(V131&amp;" "&amp;J131,Tables!$A$152:$E$239,4,FALSE)</f>
        <v>12000</v>
      </c>
      <c r="BE131" s="181">
        <f>VLOOKUP(V131&amp;" "&amp;J131,Tables!$A$152:$E$239,5,FALSE)</f>
        <v>23000</v>
      </c>
      <c r="BF131" s="181">
        <f t="shared" si="144"/>
        <v>8640</v>
      </c>
      <c r="BG131" s="181">
        <f t="shared" si="145"/>
        <v>16560</v>
      </c>
      <c r="BH131" s="181">
        <f t="shared" si="146"/>
        <v>3250.3809040121887</v>
      </c>
      <c r="BI131" s="181">
        <f t="shared" si="147"/>
        <v>46800</v>
      </c>
      <c r="BJ131" s="181">
        <f t="shared" si="148"/>
        <v>3387.8783196161507</v>
      </c>
      <c r="BK131" s="181">
        <f t="shared" si="149"/>
        <v>46800</v>
      </c>
      <c r="BL131" s="181">
        <f t="shared" si="150"/>
        <v>214.23962195121953</v>
      </c>
      <c r="BM131" s="181">
        <f t="shared" si="151"/>
        <v>8640</v>
      </c>
      <c r="BN131" s="181">
        <f t="shared" si="152"/>
        <v>148.36001829268292</v>
      </c>
      <c r="BO131" s="181">
        <f t="shared" si="153"/>
        <v>16560</v>
      </c>
      <c r="BP131" t="str">
        <f t="shared" si="154"/>
        <v>Pass</v>
      </c>
      <c r="BQ131" t="str">
        <f t="shared" si="155"/>
        <v>Pass</v>
      </c>
      <c r="BR131" t="str">
        <f t="shared" si="156"/>
        <v>Pass</v>
      </c>
      <c r="BS131" t="str">
        <f t="shared" si="157"/>
        <v>Pass</v>
      </c>
      <c r="BT131" t="str">
        <f t="shared" si="158"/>
        <v>Pass</v>
      </c>
      <c r="BU131" t="str">
        <f t="shared" si="159"/>
        <v>Effective Stress</v>
      </c>
    </row>
    <row r="132" spans="1:73">
      <c r="A132" t="s">
        <v>724</v>
      </c>
      <c r="B132" s="181">
        <v>130</v>
      </c>
      <c r="C132" t="s">
        <v>594</v>
      </c>
      <c r="D132" s="181">
        <v>24</v>
      </c>
      <c r="E132" s="181">
        <v>2.3439999999999999</v>
      </c>
      <c r="F132" t="s">
        <v>117</v>
      </c>
      <c r="G132" t="s">
        <v>119</v>
      </c>
      <c r="H132" t="s">
        <v>122</v>
      </c>
      <c r="I132" s="181">
        <v>1</v>
      </c>
      <c r="J132" t="s">
        <v>126</v>
      </c>
      <c r="K132" t="s">
        <v>129</v>
      </c>
      <c r="L132" s="181">
        <v>70</v>
      </c>
      <c r="M132" s="181">
        <v>800</v>
      </c>
      <c r="N132" t="s">
        <v>141</v>
      </c>
      <c r="O132" s="181">
        <v>120</v>
      </c>
      <c r="P132" s="181">
        <v>10</v>
      </c>
      <c r="Q132" s="181">
        <v>26</v>
      </c>
      <c r="R132" t="s">
        <v>154</v>
      </c>
      <c r="S132" t="s">
        <v>156</v>
      </c>
      <c r="T132" s="181">
        <v>70</v>
      </c>
      <c r="U132" s="181">
        <f>HLOOKUP(D132,'Highway Loading'!$C$155:$AD$156,2,FALSE)</f>
        <v>24</v>
      </c>
      <c r="V132" s="181">
        <f>IF(ISBLANK(G132),"",INDEX('Highway Loading'!$C$216:$AG$216,1,MATCH(G132,'Highway Loading'!$C$215:$AG$215,0)))</f>
        <v>65000</v>
      </c>
      <c r="W132" s="181">
        <f>INDEX('Highway Loading'!$I$245:$L$253,MATCH(H132,'Highway Loading'!$H$245:$H$253,0),MATCH(I132,'Highway Loading'!$I$244:$L$244,0))</f>
        <v>0.72</v>
      </c>
      <c r="X132" s="181">
        <f t="shared" si="128"/>
        <v>1</v>
      </c>
      <c r="Y132" s="181">
        <f>VLOOKUP(K132,'Highway Loading'!$B$283:$E$292,2,FALSE)</f>
        <v>29000000</v>
      </c>
      <c r="Z132" s="181">
        <f>VLOOKUP(K132,'Highway Loading'!$B$283:$E$292,3,FALSE)</f>
        <v>0.3</v>
      </c>
      <c r="AA132" s="181">
        <f>VLOOKUP(K132,'Highway Loading'!$B$283:$E$292,4,FALSE)</f>
        <v>6.4999999999999996E-6</v>
      </c>
      <c r="AB132" s="181">
        <f t="shared" si="129"/>
        <v>1</v>
      </c>
      <c r="AC132" s="181">
        <f>VLOOKUP(N132,'Highway Loading'!$B$256:$D$261,2,FALSE)</f>
        <v>500</v>
      </c>
      <c r="AD132" s="181">
        <f>VLOOKUP(N132,'Highway Loading'!$B$256:$D$261,3,FALSE)</f>
        <v>10000</v>
      </c>
      <c r="AE132" s="181">
        <f>VLOOKUP(S132,'Highway Loading'!$B$340:$C$341,2,FALSE)</f>
        <v>10000</v>
      </c>
      <c r="AF132" s="181">
        <f t="shared" si="130"/>
        <v>9.7666666666666666E-2</v>
      </c>
      <c r="AG132" s="181">
        <f t="shared" si="131"/>
        <v>4.615384615384615</v>
      </c>
      <c r="AH132" s="181">
        <f t="shared" si="132"/>
        <v>1.0833333333333333</v>
      </c>
      <c r="AI132" s="181">
        <f t="shared" si="133"/>
        <v>4095.5631399317408</v>
      </c>
      <c r="AJ132" s="181">
        <f t="shared" si="134"/>
        <v>46800</v>
      </c>
      <c r="AK132" s="181">
        <f>IF(AC132=200,(INDEX(Tables!$B$17:$B$38,MAX(1,MIN(IFERROR(MATCH(AF132,Tables!$A$17:$A$38,1),1),ROWS(Tables!$A$17:$A$38)-1)))+(AF132-INDEX(Tables!$A$17:$A$38,MAX(1,MIN(IFERROR(MATCH(AF132,Tables!$A$17:$A$38,1),1),ROWS(Tables!$A$17:$A$38)-1))))*(INDEX(Tables!$B$17:$B$38,MAX(1,MIN(IFERROR(MATCH(AF132,Tables!$A$17:$A$38,1),1),ROWS(Tables!$A$17:$A$38)-1))+1)-INDEX(Tables!$B$17:$B$38,MAX(1,MIN(IFERROR(MATCH(AF132,Tables!$A$17:$A$38,1),1),ROWS(Tables!$A$17:$A$38)-1))))/(INDEX(Tables!$A$17:$A$38,MAX(1,MIN(IFERROR(MATCH(AF132,Tables!$A$17:$A$38,1),1),ROWS(Tables!$A$17:$A$38)-1))+1)-INDEX(Tables!$A$17:$A$38,MAX(1,MIN(IFERROR(MATCH(AF132,Tables!$A$17:$A$38,1),1),ROWS(Tables!$A$17:$A$38)-1))))),IF(AC132=500,(INDEX(Tables!$D$17:$D$38,MAX(1,MIN(IFERROR(MATCH(AF132,Tables!$C$17:$C$38,1),1),ROWS(Tables!$C$17:$C$38)-1)))+(AF132-INDEX(Tables!$C$17:$C$38,MAX(1,MIN(IFERROR(MATCH(AF132,Tables!$C$17:$C$38,1),1),ROWS(Tables!$C$17:$C$38)-1))))*(INDEX(Tables!$D$17:$D$38,MAX(1,MIN(IFERROR(MATCH(AF132,Tables!$C$17:$C$38,1),1),ROWS(Tables!$C$17:$C$38)-1))+1)-INDEX(Tables!$D$17:$D$38,MAX(1,MIN(IFERROR(MATCH(AF132,Tables!$C$17:$C$38,1),1),ROWS(Tables!$C$17:$C$38)-1))))/(INDEX(Tables!$C$17:$C$38,MAX(1,MIN(IFERROR(MATCH(AF132,Tables!$C$17:$C$38,1),1),ROWS(Tables!$C$17:$C$38)-1))+1)-INDEX(Tables!$C$17:$C$38,MAX(1,MIN(IFERROR(MATCH(AF132,Tables!$C$17:$C$38,1),1),ROWS(Tables!$C$17:$C$38)-1))))),IF(AC132=1000,(INDEX(Tables!$F$17:$F$38,MAX(1,MIN(IFERROR(MATCH(AF132,Tables!$E$17:$E$38,1),1),ROWS(Tables!$E$17:$E$38)-1)))+(AF132-INDEX(Tables!$E$17:$E$38,MAX(1,MIN(IFERROR(MATCH(AF132,Tables!$E$17:$E$38,1),1),ROWS(Tables!$E$17:$E$38)-1))))*(INDEX(Tables!$F$17:$F$38,MAX(1,MIN(IFERROR(MATCH(AF132,Tables!$E$17:$E$38,1),1),ROWS(Tables!$E$17:$E$38)-1))+1)-INDEX(Tables!$F$17:$F$38,MAX(1,MIN(IFERROR(MATCH(AF132,Tables!$E$17:$E$38,1),1),ROWS(Tables!$E$17:$E$38)-1))))/(INDEX(Tables!$E$17:$E$38,MAX(1,MIN(IFERROR(MATCH(AF132,Tables!$E$17:$E$38,1),1),ROWS(Tables!$E$17:$E$38)-1))+1)-INDEX(Tables!$E$17:$E$38,MAX(1,MIN(IFERROR(MATCH(AF132,Tables!$E$17:$E$38,1),1),ROWS(Tables!$E$17:$E$38)-1))))),(INDEX(Tables!$H$17:$H$38,MAX(1,MIN(IFERROR(MATCH(AF132,Tables!$G$17:$G$38,1),1),ROWS(Tables!$G$17:$G$38)-1)))+(AF132-INDEX(Tables!$G$17:$G$38,MAX(1,MIN(IFERROR(MATCH(AF132,Tables!$G$17:$G$38,1),1),ROWS(Tables!$G$17:$G$38)-1))))*(INDEX(Tables!$H$17:$H$38,MAX(1,MIN(IFERROR(MATCH(AF132,Tables!$G$17:$G$38,1),1),ROWS(Tables!$G$17:$G$38)-1))+1)-INDEX(Tables!$H$17:$H$38,MAX(1,MIN(IFERROR(MATCH(AF132,Tables!$G$17:$G$38,1),1),ROWS(Tables!$G$17:$G$38)-1))))/(INDEX(Tables!$G$17:$G$38,MAX(1,MIN(IFERROR(MATCH(AF132,Tables!$G$17:$G$38,1),1),ROWS(Tables!$G$17:$G$38)-1))+1)-INDEX(Tables!$G$17:$G$38,MAX(1,MIN(IFERROR(MATCH(AF132,Tables!$G$17:$G$38,1),1),ROWS(Tables!$G$17:$G$38)-1))))))))</f>
        <v>88</v>
      </c>
      <c r="AL132" s="181">
        <f>IF(AC132&lt;1000,(INDEX(Tables!$B$43:$B$76,MAX(1,MIN(IFERROR(MATCH(AG132,Tables!$A$43:$A$76,1),1),ROWS(Tables!$A$43:$A$76)-1)))+(AG132-INDEX(Tables!$A$43:$A$76,MAX(1,MIN(IFERROR(MATCH(AG132,Tables!$A$43:$A$76,1),1),ROWS(Tables!$A$43:$A$76)-1))))*(INDEX(Tables!$B$43:$B$76,MAX(1,MIN(IFERROR(MATCH(AG132,Tables!$A$43:$A$76,1),1),ROWS(Tables!$A$43:$A$76)-1))+1)-INDEX(Tables!$B$43:$B$76,MAX(1,MIN(IFERROR(MATCH(AG132,Tables!$A$43:$A$76,1),1),ROWS(Tables!$A$43:$A$76)-1))))/(INDEX(Tables!$A$43:$A$76,MAX(1,MIN(IFERROR(MATCH(AG132,Tables!$A$43:$A$76,1),1),ROWS(Tables!$A$43:$A$76)-1))+1)-INDEX(Tables!$A$43:$A$76,MAX(1,MIN(IFERROR(MATCH(AG132,Tables!$A$43:$A$76,1),1),ROWS(Tables!$A$43:$A$76)-1))))),(INDEX(Tables!$D$43:$D$76,MAX(1,MIN(IFERROR(MATCH(AG132,Tables!$C$43:$C$76,1),1),ROWS(Tables!$C$43:$C$76)-1)))+(AG132-INDEX(Tables!$C$43:$C$76,MAX(1,MIN(IFERROR(MATCH(AG132,Tables!$C$43:$C$76,1),1),ROWS(Tables!$C$43:$C$76)-1))))*(INDEX(Tables!$D$43:$D$76,MAX(1,MIN(IFERROR(MATCH(AG132,Tables!$C$43:$C$76,1),1),ROWS(Tables!$C$43:$C$76)-1))+1)-INDEX(Tables!$D$43:$D$76,MAX(1,MIN(IFERROR(MATCH(AG132,Tables!$C$43:$C$76,1),1),ROWS(Tables!$C$43:$C$76)-1))))/(INDEX(Tables!$C$43:$C$76,MAX(1,MIN(IFERROR(MATCH(AG132,Tables!$C$43:$C$76,1),1),ROWS(Tables!$C$43:$C$76)-1))+1)-INDEX(Tables!$C$43:$C$76,MAX(1,MIN(IFERROR(MATCH(AG132,Tables!$C$43:$C$76,1),1),ROWS(Tables!$C$43:$C$76)-1))))))</f>
        <v>1.0408461538461538</v>
      </c>
      <c r="AM132" s="181">
        <f>(INDEX(Tables!$B$80:$B$87,MAX(1,MIN(IFERROR(MATCH(AH132,Tables!$A$80:$A$87,1),1),ROWS(Tables!$A$80:$A$87)-1)))+(AH132-INDEX(Tables!$A$80:$A$87,MAX(1,MIN(IFERROR(MATCH(AH132,Tables!$A$80:$A$87,1),1),ROWS(Tables!$A$80:$A$87)-1))))*(INDEX(Tables!$B$80:$B$87,MAX(1,MIN(IFERROR(MATCH(AH132,Tables!$A$80:$A$87,1),1),ROWS(Tables!$A$80:$A$87)-1))+1)-INDEX(Tables!$B$80:$B$87,MAX(1,MIN(IFERROR(MATCH(AH132,Tables!$A$80:$A$87,1),1),ROWS(Tables!$A$80:$A$87)-1))))/(INDEX(Tables!$A$80:$A$87,MAX(1,MIN(IFERROR(MATCH(AH132,Tables!$A$80:$A$87,1),1),ROWS(Tables!$A$80:$A$87)-1))+1)-INDEX(Tables!$A$80:$A$87,MAX(1,MIN(IFERROR(MATCH(AH132,Tables!$A$80:$A$87,1),1),ROWS(Tables!$A$80:$A$87)-1)))))</f>
        <v>0.96739999999999982</v>
      </c>
      <c r="AN132" s="181">
        <f t="shared" si="135"/>
        <v>147.68080348717945</v>
      </c>
      <c r="AO132" s="181">
        <f>(INDEX(Tables!$B$91:$B$94,MAX(1,MIN(IFERROR(MATCH(P132,Tables!$A$91:$A$94,1),1),ROWS(Tables!$A$91:$A$94)-1)))+(P132-INDEX(Tables!$A$91:$A$94,MAX(1,MIN(IFERROR(MATCH(P132,Tables!$A$91:$A$94,1),1),ROWS(Tables!$A$91:$A$94)-1))))*(INDEX(Tables!$B$91:$B$94,MAX(1,MIN(IFERROR(MATCH(P132,Tables!$A$91:$A$94,1),1),ROWS(Tables!$A$91:$A$94)-1))+1)-INDEX(Tables!$B$91:$B$94,MAX(1,MIN(IFERROR(MATCH(P132,Tables!$A$91:$A$94,1),1),ROWS(Tables!$A$91:$A$94)-1))))/(INDEX(Tables!$A$91:$A$94,MAX(1,MIN(IFERROR(MATCH(P132,Tables!$A$91:$A$94,1),1),ROWS(Tables!$A$91:$A$94)-1))+1)-INDEX(Tables!$A$91:$A$94,MAX(1,MIN(IFERROR(MATCH(P132,Tables!$A$91:$A$94,1),1),ROWS(Tables!$A$91:$A$94)-1)))))</f>
        <v>1.3542682926829268</v>
      </c>
      <c r="AP132" s="181">
        <f>IF(AD132=5000,(INDEX(Tables!$B$99:$B$118,MAX(1,MIN(IFERROR(MATCH(AF132,Tables!$A$99:$A$118,1),1),ROWS(Tables!$A$99:$A$118)-1)))+(AF132-INDEX(Tables!$A$99:$A$118,MAX(1,MIN(IFERROR(MATCH(AF132,Tables!$A$99:$A$118,1),1),ROWS(Tables!$A$99:$A$118)-1))))*(INDEX(Tables!$B$99:$B$118,MAX(1,MIN(IFERROR(MATCH(AF132,Tables!$A$99:$A$118,1),1),ROWS(Tables!$A$99:$A$118)-1))+1)-INDEX(Tables!$B$99:$B$118,MAX(1,MIN(IFERROR(MATCH(AF132,Tables!$A$99:$A$118,1),1),ROWS(Tables!$A$99:$A$118)-1))))/(INDEX(Tables!$A$99:$A$118,MAX(1,MIN(IFERROR(MATCH(AF132,Tables!$A$99:$A$118,1),1),ROWS(Tables!$A$99:$A$118)-1))+1)-INDEX(Tables!$A$99:$A$118,MAX(1,MIN(IFERROR(MATCH(AF132,Tables!$A$99:$A$118,1),1),ROWS(Tables!$A$99:$A$118)-1))))),IF(AD132=10000,(INDEX(Tables!$D$99:$D$118,MAX(1,MIN(IFERROR(MATCH(AF132,Tables!$C$99:$C$118,1),1),ROWS(Tables!$C$99:$C$118)-1)))+(AF132-INDEX(Tables!$C$99:$C$118,MAX(1,MIN(IFERROR(MATCH(AF132,Tables!$C$99:$C$118,1),1),ROWS(Tables!$C$99:$C$118)-1))))*(INDEX(Tables!$D$99:$D$118,MAX(1,MIN(IFERROR(MATCH(AF132,Tables!$C$99:$C$118,1),1),ROWS(Tables!$C$99:$C$118)-1))+1)-INDEX(Tables!$D$99:$D$118,MAX(1,MIN(IFERROR(MATCH(AF132,Tables!$C$99:$C$118,1),1),ROWS(Tables!$C$99:$C$118)-1))))/(INDEX(Tables!$C$99:$C$118,MAX(1,MIN(IFERROR(MATCH(AF132,Tables!$C$99:$C$118,1),1),ROWS(Tables!$C$99:$C$118)-1))+1)-INDEX(Tables!$C$99:$C$118,MAX(1,MIN(IFERROR(MATCH(AF132,Tables!$C$99:$C$118,1),1),ROWS(Tables!$C$99:$C$118)-1))))),(INDEX(Tables!$F$99:$F$118,MAX(1,MIN(IFERROR(MATCH(AF132,Tables!$E$99:$E$118,1),1),ROWS(Tables!$E$99:$E$118)-1)))+(AF132-INDEX(Tables!$E$99:$E$118,MAX(1,MIN(IFERROR(MATCH(AF132,Tables!$E$99:$E$118,1),1),ROWS(Tables!$E$99:$E$118)-1))))*(INDEX(Tables!$F$99:$F$118,MAX(1,MIN(IFERROR(MATCH(AF132,Tables!$E$99:$E$118,1),1),ROWS(Tables!$E$99:$E$118)-1))+1)-INDEX(Tables!$F$99:$F$118,MAX(1,MIN(IFERROR(MATCH(AF132,Tables!$E$99:$E$118,1),1),ROWS(Tables!$E$99:$E$118)-1))))/(INDEX(Tables!$E$99:$E$118,MAX(1,MIN(IFERROR(MATCH(AF132,Tables!$E$99:$E$118,1),1),ROWS(Tables!$E$99:$E$118)-1))+1)-INDEX(Tables!$E$99:$E$118,MAX(1,MIN(IFERROR(MATCH(AF132,Tables!$E$99:$E$118,1),1),ROWS(Tables!$E$99:$E$118)-1)))))))</f>
        <v>1.605</v>
      </c>
      <c r="AQ132" s="181">
        <f>IF(P132&lt;6,(INDEX(Tables!$B$123:$B$138,MAX(1,MIN(IFERROR(MATCH(U132,Tables!$A$123:$A$138,1),1),ROWS(Tables!$A$123:$A$138)-1)))+(U132-INDEX(Tables!$A$123:$A$138,MAX(1,MIN(IFERROR(MATCH(U132,Tables!$A$123:$A$138,1),1),ROWS(Tables!$A$123:$A$138)-1))))*(INDEX(Tables!$B$123:$B$138,MAX(1,MIN(IFERROR(MATCH(U132,Tables!$A$123:$A$138,1),1),ROWS(Tables!$A$123:$A$138)-1))+1)-INDEX(Tables!$B$123:$B$138,MAX(1,MIN(IFERROR(MATCH(U132,Tables!$A$123:$A$138,1),1),ROWS(Tables!$A$123:$A$138)-1))))/(INDEX(Tables!$A$123:$A$138,MAX(1,MIN(IFERROR(MATCH(U132,Tables!$A$123:$A$138,1),1),ROWS(Tables!$A$123:$A$138)-1))+1)-INDEX(Tables!$A$123:$A$138,MAX(1,MIN(IFERROR(MATCH(U132,Tables!$A$123:$A$138,1),1),ROWS(Tables!$A$123:$A$138)-1))))),IF(P132&lt;8,(INDEX(Tables!$D$123:$D$138,MAX(1,MIN(IFERROR(MATCH(U132,Tables!$C$123:$C$138,1),1),ROWS(Tables!$C$123:$C$138)-1)))+(U132-INDEX(Tables!$C$123:$C$138,MAX(1,MIN(IFERROR(MATCH(U132,Tables!$C$123:$C$138,1),1),ROWS(Tables!$C$123:$C$138)-1))))*(INDEX(Tables!$D$123:$D$138,MAX(1,MIN(IFERROR(MATCH(U132,Tables!$C$123:$C$138,1),1),ROWS(Tables!$C$123:$C$138)-1))+1)-INDEX(Tables!$D$123:$D$138,MAX(1,MIN(IFERROR(MATCH(U132,Tables!$C$123:$C$138,1),1),ROWS(Tables!$C$123:$C$138)-1))))/(INDEX(Tables!$C$123:$C$138,MAX(1,MIN(IFERROR(MATCH(U132,Tables!$C$123:$C$138,1),1),ROWS(Tables!$C$123:$C$138)-1))+1)-INDEX(Tables!$C$123:$C$138,MAX(1,MIN(IFERROR(MATCH(U132,Tables!$C$123:$C$138,1),1),ROWS(Tables!$C$123:$C$138)-1))))),IF(P132&lt;10,(INDEX(Tables!$F$123:$F$138,MAX(1,MIN(IFERROR(MATCH(U132,Tables!$E$123:$E$138,1),1),ROWS(Tables!$E$123:$E$138)-1)))+(U132-INDEX(Tables!$E$123:$E$138,MAX(1,MIN(IFERROR(MATCH(U132,Tables!$E$123:$E$138,1),1),ROWS(Tables!$E$123:$E$138)-1))))*(INDEX(Tables!$F$123:$F$138,MAX(1,MIN(IFERROR(MATCH(U132,Tables!$E$123:$E$138,1),1),ROWS(Tables!$E$123:$E$138)-1))+1)-INDEX(Tables!$F$123:$F$138,MAX(1,MIN(IFERROR(MATCH(U132,Tables!$E$123:$E$138,1),1),ROWS(Tables!$E$123:$E$138)-1))))/(INDEX(Tables!$E$123:$E$138,MAX(1,MIN(IFERROR(MATCH(U132,Tables!$E$123:$E$138,1),1),ROWS(Tables!$E$123:$E$138)-1))+1)-INDEX(Tables!$E$123:$E$138,MAX(1,MIN(IFERROR(MATCH(U132,Tables!$E$123:$E$138,1),1),ROWS(Tables!$E$123:$E$138)-1))))),(INDEX(Tables!$H$123:$H$138,MAX(1,MIN(IFERROR(MATCH(U132,Tables!$G$123:$G$138,1),1),ROWS(Tables!$G$123:$G$138)-1)))+(U132-INDEX(Tables!$G$123:$G$138,MAX(1,MIN(IFERROR(MATCH(U132,Tables!$G$123:$G$138,1),1),ROWS(Tables!$G$123:$G$138)-1))))*(INDEX(Tables!$H$123:$H$138,MAX(1,MIN(IFERROR(MATCH(U132,Tables!$G$123:$G$138,1),1),ROWS(Tables!$G$123:$G$138)-1))+1)-INDEX(Tables!$H$123:$H$138,MAX(1,MIN(IFERROR(MATCH(U132,Tables!$G$123:$G$138,1),1),ROWS(Tables!$G$123:$G$138)-1))))/(INDEX(Tables!$G$123:$G$138,MAX(1,MIN(IFERROR(MATCH(U132,Tables!$G$123:$G$138,1),1),ROWS(Tables!$G$123:$G$138)-1))+1)-INDEX(Tables!$G$123:$G$138,MAX(1,MIN(IFERROR(MATCH(U132,Tables!$G$123:$G$138,1),1),ROWS(Tables!$G$123:$G$138)-1))))))))</f>
        <v>0.57750000000000001</v>
      </c>
      <c r="AR132" s="181">
        <f>IF(OR(P132&gt;=4,U132&gt;12),VLOOKUP(R132&amp;" "&amp;S132,Tables!$D$143:$F$148,2,FALSE),VLOOKUP(R132&amp;" "&amp;S132,Tables!$A$143:$C$148,2,FALSE))</f>
        <v>1</v>
      </c>
      <c r="AS132" s="181">
        <f>IF(OR(P132&gt;=4,U132&gt;12),VLOOKUP(R132&amp;" "&amp;S132,Tables!$D$143:$F$148,3,FALSE),VLOOKUP(R132&amp;" "&amp;S132,Tables!$A$143:$C$148,3,FALSE))</f>
        <v>1</v>
      </c>
      <c r="AT132" s="181">
        <f t="shared" si="136"/>
        <v>87.17044112042683</v>
      </c>
      <c r="AU132" s="181">
        <f>IF(AD132=5000,(INDEX(Tables!$B$244:$B$263,MAX(1,MIN(IFERROR(MATCH(AF132,Tables!$A$244:$A$263,1),1),ROWS(Tables!$A$244:$A$263)-1)))+(AF132-INDEX(Tables!$A$244:$A$263,MAX(1,MIN(IFERROR(MATCH(AF132,Tables!$A$244:$A$263,1),1),ROWS(Tables!$A$244:$A$263)-1))))*(INDEX(Tables!$B$244:$B$263,MAX(1,MIN(IFERROR(MATCH(AF132,Tables!$A$244:$A$263,1),1),ROWS(Tables!$A$244:$A$263)-1))+1)-INDEX(Tables!$B$244:$B$263,MAX(1,MIN(IFERROR(MATCH(AF132,Tables!$A$244:$A$263,1),1),ROWS(Tables!$A$244:$A$263)-1))))/(INDEX(Tables!$A$244:$A$263,MAX(1,MIN(IFERROR(MATCH(AF132,Tables!$A$244:$A$263,1),1),ROWS(Tables!$A$244:$A$263)-1))+1)-INDEX(Tables!$A$244:$A$263,MAX(1,MIN(IFERROR(MATCH(AF132,Tables!$A$244:$A$263,1),1),ROWS(Tables!$A$244:$A$263)-1))))),IF(AD132=10000,(INDEX(Tables!$D$244:$D$263,MAX(1,MIN(IFERROR(MATCH(AF132,Tables!$C$244:$C$263,1),1),ROWS(Tables!$C$244:$C$263)-1)))+(AF132-INDEX(Tables!$C$244:$C$263,MAX(1,MIN(IFERROR(MATCH(AF132,Tables!$C$244:$C$263,1),1),ROWS(Tables!$C$244:$C$263)-1))))*(INDEX(Tables!$D$244:$D$263,MAX(1,MIN(IFERROR(MATCH(AF132,Tables!$C$244:$C$263,1),1),ROWS(Tables!$C$244:$C$263)-1))+1)-INDEX(Tables!$D$244:$D$263,MAX(1,MIN(IFERROR(MATCH(AF132,Tables!$C$244:$C$263,1),1),ROWS(Tables!$C$244:$C$263)-1))))/(INDEX(Tables!$C$244:$C$263,MAX(1,MIN(IFERROR(MATCH(AF132,Tables!$C$244:$C$263,1),1),ROWS(Tables!$C$244:$C$263)-1))+1)-INDEX(Tables!$C$244:$C$263,MAX(1,MIN(IFERROR(MATCH(AF132,Tables!$C$244:$C$263,1),1),ROWS(Tables!$C$244:$C$263)-1))))),(INDEX(Tables!$F$244:$F$263,MAX(1,MIN(IFERROR(MATCH(AF132,Tables!$E$244:$E$263,1),1),ROWS(Tables!$E$244:$E$263)-1)))+(AF132-INDEX(Tables!$E$244:$E$263,MAX(1,MIN(IFERROR(MATCH(AF132,Tables!$E$244:$E$263,1),1),ROWS(Tables!$E$244:$E$263)-1))))*(INDEX(Tables!$F$244:$F$263,MAX(1,MIN(IFERROR(MATCH(AF132,Tables!$E$244:$E$263,1),1),ROWS(Tables!$E$244:$E$263)-1))+1)-INDEX(Tables!$F$244:$F$263,MAX(1,MIN(IFERROR(MATCH(AF132,Tables!$E$244:$E$263,1),1),ROWS(Tables!$E$244:$E$263)-1))))/(INDEX(Tables!$E$244:$E$263,MAX(1,MIN(IFERROR(MATCH(AF132,Tables!$E$244:$E$263,1),1),ROWS(Tables!$E$244:$E$263)-1))+1)-INDEX(Tables!$E$244:$E$263,MAX(1,MIN(IFERROR(MATCH(AF132,Tables!$E$244:$E$263,1),1),ROWS(Tables!$E$244:$E$263)-1)))))))</f>
        <v>2.5920000000000001</v>
      </c>
      <c r="AV132" s="181">
        <f>IF(P132&lt;6,(INDEX(Tables!$B$260:$B$274,MAX(1,MIN(IFERROR(MATCH(U132,Tables!$A$260:$A$274,1),1),ROWS(Tables!$A$260:$A$274)-1)))+(U132-INDEX(Tables!$A$260:$A$274,MAX(1,MIN(IFERROR(MATCH(U132,Tables!$A$260:$A$274,1),1),ROWS(Tables!$A$260:$A$274)-1))))*(INDEX(Tables!$B$260:$B$274,MAX(1,MIN(IFERROR(MATCH(U132,Tables!$A$260:$A$274,1),1),ROWS(Tables!$A$260:$A$274)-1))+1)-INDEX(Tables!$B$260:$B$274,MAX(1,MIN(IFERROR(MATCH(U132,Tables!$A$260:$A$274,1),1),ROWS(Tables!$A$260:$A$274)-1))))/(INDEX(Tables!$A$260:$A$274,MAX(1,MIN(IFERROR(MATCH(U132,Tables!$A$260:$A$274,1),1),ROWS(Tables!$A$260:$A$274)-1))+1)-INDEX(Tables!$A$260:$A$274,MAX(1,MIN(IFERROR(MATCH(U132,Tables!$A$260:$A$274,1),1),ROWS(Tables!$A$260:$A$274)-1))))),IF(P132&lt;8,(INDEX(Tables!$D$260:$D$274,MAX(1,MIN(IFERROR(MATCH(U132,Tables!$C$260:$C$274,1),1),ROWS(Tables!$C$260:$C$274)-1)))+(U132-INDEX(Tables!$C$260:$C$274,MAX(1,MIN(IFERROR(MATCH(U132,Tables!$C$260:$C$274,1),1),ROWS(Tables!$C$260:$C$274)-1))))*(INDEX(Tables!$D$260:$D$274,MAX(1,MIN(IFERROR(MATCH(U132,Tables!$C$260:$C$274,1),1),ROWS(Tables!$C$260:$C$274)-1))+1)-INDEX(Tables!$D$260:$D$274,MAX(1,MIN(IFERROR(MATCH(U132,Tables!$C$260:$C$274,1),1),ROWS(Tables!$C$260:$C$274)-1))))/(INDEX(Tables!$C$260:$C$274,MAX(1,MIN(IFERROR(MATCH(U132,Tables!$C$260:$C$274,1),1),ROWS(Tables!$C$260:$C$274)-1))+1)-INDEX(Tables!$C$260:$C$274,MAX(1,MIN(IFERROR(MATCH(U132,Tables!$C$260:$C$274,1),1),ROWS(Tables!$C$260:$C$274)-1))))),IF(P132&lt;10,(INDEX(Tables!$F$260:$F$274,MAX(1,MIN(IFERROR(MATCH(U132,Tables!$E$260:$E$274,1),1),ROWS(Tables!$E$260:$E$274)-1)))+(U132-INDEX(Tables!$E$260:$E$274,MAX(1,MIN(IFERROR(MATCH(U132,Tables!$E$260:$E$274,1),1),ROWS(Tables!$E$260:$E$274)-1))))*(INDEX(Tables!$F$260:$F$274,MAX(1,MIN(IFERROR(MATCH(U132,Tables!$E$260:$E$274,1),1),ROWS(Tables!$E$260:$E$274)-1))+1)-INDEX(Tables!$F$260:$F$274,MAX(1,MIN(IFERROR(MATCH(U132,Tables!$E$260:$E$274,1),1),ROWS(Tables!$E$260:$E$274)-1))))/(INDEX(Tables!$E$260:$E$274,MAX(1,MIN(IFERROR(MATCH(U132,Tables!$E$260:$E$274,1),1),ROWS(Tables!$E$260:$E$274)-1))+1)-INDEX(Tables!$E$260:$E$274,MAX(1,MIN(IFERROR(MATCH(U132,Tables!$E$260:$E$274,1),1),ROWS(Tables!$E$260:$E$274)-1))))),(INDEX(Tables!$H$260:$H$274,MAX(1,MIN(IFERROR(MATCH(U132,Tables!$G$260:$G$274,1),1),ROWS(Tables!$G$260:$G$274)-1)))+(U132-INDEX(Tables!$G$260:$G$274,MAX(1,MIN(IFERROR(MATCH(U132,Tables!$G$260:$G$274,1),1),ROWS(Tables!$G$260:$G$274)-1))))*(INDEX(Tables!$H$260:$H$274,MAX(1,MIN(IFERROR(MATCH(U132,Tables!$G$260:$G$274,1),1),ROWS(Tables!$G$260:$G$274)-1))+1)-INDEX(Tables!$H$260:$H$274,MAX(1,MIN(IFERROR(MATCH(U132,Tables!$G$260:$G$274,1),1),ROWS(Tables!$G$260:$G$274)-1))))/(INDEX(Tables!$G$260:$G$274,MAX(1,MIN(IFERROR(MATCH(U132,Tables!$G$260:$G$274,1),1),ROWS(Tables!$G$260:$G$274)-1))+1)-INDEX(Tables!$G$260:$G$274,MAX(1,MIN(IFERROR(MATCH(U132,Tables!$G$260:$G$274,1),1),ROWS(Tables!$G$260:$G$274)-1))))))))</f>
        <v>0.64533333333333331</v>
      </c>
      <c r="AW132" s="181">
        <f t="shared" si="137"/>
        <v>157.31180487804878</v>
      </c>
      <c r="AX132" s="181">
        <f t="shared" si="138"/>
        <v>3695.5631399317408</v>
      </c>
      <c r="AY132" s="181">
        <f t="shared" si="139"/>
        <v>3930.4143845393469</v>
      </c>
      <c r="AZ132" s="181">
        <f t="shared" si="140"/>
        <v>1310.2849879037249</v>
      </c>
      <c r="BA132" s="181">
        <f t="shared" si="141"/>
        <v>-800</v>
      </c>
      <c r="BB132" s="181">
        <f t="shared" si="142"/>
        <v>4104.5828676457941</v>
      </c>
      <c r="BC132" s="181">
        <f t="shared" si="143"/>
        <v>46800</v>
      </c>
      <c r="BD132" s="181">
        <f>VLOOKUP(V132&amp;" "&amp;J132,Tables!$A$152:$E$239,4,FALSE)</f>
        <v>12000</v>
      </c>
      <c r="BE132" s="181">
        <f>VLOOKUP(V132&amp;" "&amp;J132,Tables!$A$152:$E$239,5,FALSE)</f>
        <v>23000</v>
      </c>
      <c r="BF132" s="181">
        <f t="shared" si="144"/>
        <v>8640</v>
      </c>
      <c r="BG132" s="181">
        <f t="shared" si="145"/>
        <v>16560</v>
      </c>
      <c r="BH132" s="181">
        <f t="shared" si="146"/>
        <v>4095.5631399317408</v>
      </c>
      <c r="BI132" s="181">
        <f t="shared" si="147"/>
        <v>46800</v>
      </c>
      <c r="BJ132" s="181">
        <f t="shared" si="148"/>
        <v>4104.5828676457941</v>
      </c>
      <c r="BK132" s="181">
        <f t="shared" si="149"/>
        <v>46800</v>
      </c>
      <c r="BL132" s="181">
        <f t="shared" si="150"/>
        <v>157.31180487804878</v>
      </c>
      <c r="BM132" s="181">
        <f t="shared" si="151"/>
        <v>8640</v>
      </c>
      <c r="BN132" s="181">
        <f t="shared" si="152"/>
        <v>87.17044112042683</v>
      </c>
      <c r="BO132" s="181">
        <f t="shared" si="153"/>
        <v>16560</v>
      </c>
      <c r="BP132" t="str">
        <f t="shared" si="154"/>
        <v>Pass</v>
      </c>
      <c r="BQ132" t="str">
        <f t="shared" si="155"/>
        <v>Pass</v>
      </c>
      <c r="BR132" t="str">
        <f t="shared" si="156"/>
        <v>Pass</v>
      </c>
      <c r="BS132" t="str">
        <f t="shared" si="157"/>
        <v>Pass</v>
      </c>
      <c r="BT132" t="str">
        <f t="shared" si="158"/>
        <v>Pass</v>
      </c>
      <c r="BU132" t="str">
        <f t="shared" si="159"/>
        <v>Effective Stress</v>
      </c>
    </row>
    <row r="133" spans="1:73">
      <c r="A133" t="s">
        <v>725</v>
      </c>
      <c r="B133" s="181">
        <v>131</v>
      </c>
      <c r="C133" t="s">
        <v>594</v>
      </c>
      <c r="D133" s="181">
        <v>36</v>
      </c>
      <c r="E133" s="181">
        <v>0.75</v>
      </c>
      <c r="F133" t="s">
        <v>117</v>
      </c>
      <c r="G133" t="s">
        <v>119</v>
      </c>
      <c r="H133" t="s">
        <v>122</v>
      </c>
      <c r="I133" s="181">
        <v>1</v>
      </c>
      <c r="J133" t="s">
        <v>126</v>
      </c>
      <c r="K133" t="s">
        <v>129</v>
      </c>
      <c r="L133" s="181">
        <v>70</v>
      </c>
      <c r="M133" s="181">
        <v>800</v>
      </c>
      <c r="N133" t="s">
        <v>141</v>
      </c>
      <c r="O133" s="181">
        <v>120</v>
      </c>
      <c r="P133" s="181">
        <v>14</v>
      </c>
      <c r="Q133" s="181">
        <v>38</v>
      </c>
      <c r="R133" t="s">
        <v>154</v>
      </c>
      <c r="S133" t="s">
        <v>156</v>
      </c>
      <c r="T133" s="181">
        <v>70</v>
      </c>
      <c r="U133" s="181">
        <f>HLOOKUP(D133,'Highway Loading'!$C$155:$AD$156,2,FALSE)</f>
        <v>36</v>
      </c>
      <c r="V133" s="181">
        <f>IF(ISBLANK(G133),"",INDEX('Highway Loading'!$C$216:$AG$216,1,MATCH(G133,'Highway Loading'!$C$215:$AG$215,0)))</f>
        <v>65000</v>
      </c>
      <c r="W133" s="181">
        <f>INDEX('Highway Loading'!$I$245:$L$253,MATCH(H133,'Highway Loading'!$H$245:$H$253,0),MATCH(I133,'Highway Loading'!$I$244:$L$244,0))</f>
        <v>0.72</v>
      </c>
      <c r="X133" s="181">
        <f t="shared" si="128"/>
        <v>1</v>
      </c>
      <c r="Y133" s="181">
        <f>VLOOKUP(K133,'Highway Loading'!$B$283:$E$292,2,FALSE)</f>
        <v>29000000</v>
      </c>
      <c r="Z133" s="181">
        <f>VLOOKUP(K133,'Highway Loading'!$B$283:$E$292,3,FALSE)</f>
        <v>0.3</v>
      </c>
      <c r="AA133" s="181">
        <f>VLOOKUP(K133,'Highway Loading'!$B$283:$E$292,4,FALSE)</f>
        <v>6.4999999999999996E-6</v>
      </c>
      <c r="AB133" s="181">
        <f t="shared" si="129"/>
        <v>1</v>
      </c>
      <c r="AC133" s="181">
        <f>VLOOKUP(N133,'Highway Loading'!$B$256:$D$261,2,FALSE)</f>
        <v>500</v>
      </c>
      <c r="AD133" s="181">
        <f>VLOOKUP(N133,'Highway Loading'!$B$256:$D$261,3,FALSE)</f>
        <v>10000</v>
      </c>
      <c r="AE133" s="181">
        <f>VLOOKUP(S133,'Highway Loading'!$B$340:$C$341,2,FALSE)</f>
        <v>10000</v>
      </c>
      <c r="AF133" s="181">
        <f t="shared" si="130"/>
        <v>2.0833333333333332E-2</v>
      </c>
      <c r="AG133" s="181">
        <f t="shared" si="131"/>
        <v>4.4210526315789478</v>
      </c>
      <c r="AH133" s="181">
        <f t="shared" si="132"/>
        <v>1.0555555555555556</v>
      </c>
      <c r="AI133" s="181">
        <f t="shared" si="133"/>
        <v>19200</v>
      </c>
      <c r="AJ133" s="181">
        <f t="shared" si="134"/>
        <v>46800</v>
      </c>
      <c r="AK133" s="181">
        <f>IF(AC133=200,(INDEX(Tables!$B$17:$B$38,MAX(1,MIN(IFERROR(MATCH(AF133,Tables!$A$17:$A$38,1),1),ROWS(Tables!$A$17:$A$38)-1)))+(AF133-INDEX(Tables!$A$17:$A$38,MAX(1,MIN(IFERROR(MATCH(AF133,Tables!$A$17:$A$38,1),1),ROWS(Tables!$A$17:$A$38)-1))))*(INDEX(Tables!$B$17:$B$38,MAX(1,MIN(IFERROR(MATCH(AF133,Tables!$A$17:$A$38,1),1),ROWS(Tables!$A$17:$A$38)-1))+1)-INDEX(Tables!$B$17:$B$38,MAX(1,MIN(IFERROR(MATCH(AF133,Tables!$A$17:$A$38,1),1),ROWS(Tables!$A$17:$A$38)-1))))/(INDEX(Tables!$A$17:$A$38,MAX(1,MIN(IFERROR(MATCH(AF133,Tables!$A$17:$A$38,1),1),ROWS(Tables!$A$17:$A$38)-1))+1)-INDEX(Tables!$A$17:$A$38,MAX(1,MIN(IFERROR(MATCH(AF133,Tables!$A$17:$A$38,1),1),ROWS(Tables!$A$17:$A$38)-1))))),IF(AC133=500,(INDEX(Tables!$D$17:$D$38,MAX(1,MIN(IFERROR(MATCH(AF133,Tables!$C$17:$C$38,1),1),ROWS(Tables!$C$17:$C$38)-1)))+(AF133-INDEX(Tables!$C$17:$C$38,MAX(1,MIN(IFERROR(MATCH(AF133,Tables!$C$17:$C$38,1),1),ROWS(Tables!$C$17:$C$38)-1))))*(INDEX(Tables!$D$17:$D$38,MAX(1,MIN(IFERROR(MATCH(AF133,Tables!$C$17:$C$38,1),1),ROWS(Tables!$C$17:$C$38)-1))+1)-INDEX(Tables!$D$17:$D$38,MAX(1,MIN(IFERROR(MATCH(AF133,Tables!$C$17:$C$38,1),1),ROWS(Tables!$C$17:$C$38)-1))))/(INDEX(Tables!$C$17:$C$38,MAX(1,MIN(IFERROR(MATCH(AF133,Tables!$C$17:$C$38,1),1),ROWS(Tables!$C$17:$C$38)-1))+1)-INDEX(Tables!$C$17:$C$38,MAX(1,MIN(IFERROR(MATCH(AF133,Tables!$C$17:$C$38,1),1),ROWS(Tables!$C$17:$C$38)-1))))),IF(AC133=1000,(INDEX(Tables!$F$17:$F$38,MAX(1,MIN(IFERROR(MATCH(AF133,Tables!$E$17:$E$38,1),1),ROWS(Tables!$E$17:$E$38)-1)))+(AF133-INDEX(Tables!$E$17:$E$38,MAX(1,MIN(IFERROR(MATCH(AF133,Tables!$E$17:$E$38,1),1),ROWS(Tables!$E$17:$E$38)-1))))*(INDEX(Tables!$F$17:$F$38,MAX(1,MIN(IFERROR(MATCH(AF133,Tables!$E$17:$E$38,1),1),ROWS(Tables!$E$17:$E$38)-1))+1)-INDEX(Tables!$F$17:$F$38,MAX(1,MIN(IFERROR(MATCH(AF133,Tables!$E$17:$E$38,1),1),ROWS(Tables!$E$17:$E$38)-1))))/(INDEX(Tables!$E$17:$E$38,MAX(1,MIN(IFERROR(MATCH(AF133,Tables!$E$17:$E$38,1),1),ROWS(Tables!$E$17:$E$38)-1))+1)-INDEX(Tables!$E$17:$E$38,MAX(1,MIN(IFERROR(MATCH(AF133,Tables!$E$17:$E$38,1),1),ROWS(Tables!$E$17:$E$38)-1))))),(INDEX(Tables!$H$17:$H$38,MAX(1,MIN(IFERROR(MATCH(AF133,Tables!$G$17:$G$38,1),1),ROWS(Tables!$G$17:$G$38)-1)))+(AF133-INDEX(Tables!$G$17:$G$38,MAX(1,MIN(IFERROR(MATCH(AF133,Tables!$G$17:$G$38,1),1),ROWS(Tables!$G$17:$G$38)-1))))*(INDEX(Tables!$H$17:$H$38,MAX(1,MIN(IFERROR(MATCH(AF133,Tables!$G$17:$G$38,1),1),ROWS(Tables!$G$17:$G$38)-1))+1)-INDEX(Tables!$H$17:$H$38,MAX(1,MIN(IFERROR(MATCH(AF133,Tables!$G$17:$G$38,1),1),ROWS(Tables!$G$17:$G$38)-1))))/(INDEX(Tables!$G$17:$G$38,MAX(1,MIN(IFERROR(MATCH(AF133,Tables!$G$17:$G$38,1),1),ROWS(Tables!$G$17:$G$38)-1))+1)-INDEX(Tables!$G$17:$G$38,MAX(1,MIN(IFERROR(MATCH(AF133,Tables!$G$17:$G$38,1),1),ROWS(Tables!$G$17:$G$38)-1))))))))</f>
        <v>2492.8333333333335</v>
      </c>
      <c r="AL133" s="181">
        <f>IF(AC133&lt;1000,(INDEX(Tables!$B$43:$B$76,MAX(1,MIN(IFERROR(MATCH(AG133,Tables!$A$43:$A$76,1),1),ROWS(Tables!$A$43:$A$76)-1)))+(AG133-INDEX(Tables!$A$43:$A$76,MAX(1,MIN(IFERROR(MATCH(AG133,Tables!$A$43:$A$76,1),1),ROWS(Tables!$A$43:$A$76)-1))))*(INDEX(Tables!$B$43:$B$76,MAX(1,MIN(IFERROR(MATCH(AG133,Tables!$A$43:$A$76,1),1),ROWS(Tables!$A$43:$A$76)-1))+1)-INDEX(Tables!$B$43:$B$76,MAX(1,MIN(IFERROR(MATCH(AG133,Tables!$A$43:$A$76,1),1),ROWS(Tables!$A$43:$A$76)-1))))/(INDEX(Tables!$A$43:$A$76,MAX(1,MIN(IFERROR(MATCH(AG133,Tables!$A$43:$A$76,1),1),ROWS(Tables!$A$43:$A$76)-1))+1)-INDEX(Tables!$A$43:$A$76,MAX(1,MIN(IFERROR(MATCH(AG133,Tables!$A$43:$A$76,1),1),ROWS(Tables!$A$43:$A$76)-1))))),(INDEX(Tables!$D$43:$D$76,MAX(1,MIN(IFERROR(MATCH(AG133,Tables!$C$43:$C$76,1),1),ROWS(Tables!$C$43:$C$76)-1)))+(AG133-INDEX(Tables!$C$43:$C$76,MAX(1,MIN(IFERROR(MATCH(AG133,Tables!$C$43:$C$76,1),1),ROWS(Tables!$C$43:$C$76)-1))))*(INDEX(Tables!$D$43:$D$76,MAX(1,MIN(IFERROR(MATCH(AG133,Tables!$C$43:$C$76,1),1),ROWS(Tables!$C$43:$C$76)-1))+1)-INDEX(Tables!$D$43:$D$76,MAX(1,MIN(IFERROR(MATCH(AG133,Tables!$C$43:$C$76,1),1),ROWS(Tables!$C$43:$C$76)-1))))/(INDEX(Tables!$C$43:$C$76,MAX(1,MIN(IFERROR(MATCH(AG133,Tables!$C$43:$C$76,1),1),ROWS(Tables!$C$43:$C$76)-1))+1)-INDEX(Tables!$C$43:$C$76,MAX(1,MIN(IFERROR(MATCH(AG133,Tables!$C$43:$C$76,1),1),ROWS(Tables!$C$43:$C$76)-1))))))</f>
        <v>1.022578947368421</v>
      </c>
      <c r="AM133" s="181">
        <f>(INDEX(Tables!$B$80:$B$87,MAX(1,MIN(IFERROR(MATCH(AH133,Tables!$A$80:$A$87,1),1),ROWS(Tables!$A$80:$A$87)-1)))+(AH133-INDEX(Tables!$A$80:$A$87,MAX(1,MIN(IFERROR(MATCH(AH133,Tables!$A$80:$A$87,1),1),ROWS(Tables!$A$80:$A$87)-1))))*(INDEX(Tables!$B$80:$B$87,MAX(1,MIN(IFERROR(MATCH(AH133,Tables!$A$80:$A$87,1),1),ROWS(Tables!$A$80:$A$87)-1))+1)-INDEX(Tables!$B$80:$B$87,MAX(1,MIN(IFERROR(MATCH(AH133,Tables!$A$80:$A$87,1),1),ROWS(Tables!$A$80:$A$87)-1))))/(INDEX(Tables!$A$80:$A$87,MAX(1,MIN(IFERROR(MATCH(AH133,Tables!$A$80:$A$87,1),1),ROWS(Tables!$A$80:$A$87)-1))+1)-INDEX(Tables!$A$80:$A$87,MAX(1,MIN(IFERROR(MATCH(AH133,Tables!$A$80:$A$87,1),1),ROWS(Tables!$A$80:$A$87)-1)))))</f>
        <v>0.91873333333333329</v>
      </c>
      <c r="AN133" s="181">
        <f t="shared" si="135"/>
        <v>5854.9012279137423</v>
      </c>
      <c r="AO133" s="181">
        <f>(INDEX(Tables!$B$91:$B$94,MAX(1,MIN(IFERROR(MATCH(P133,Tables!$A$91:$A$94,1),1),ROWS(Tables!$A$91:$A$94)-1)))+(P133-INDEX(Tables!$A$91:$A$94,MAX(1,MIN(IFERROR(MATCH(P133,Tables!$A$91:$A$94,1),1),ROWS(Tables!$A$91:$A$94)-1))))*(INDEX(Tables!$B$91:$B$94,MAX(1,MIN(IFERROR(MATCH(P133,Tables!$A$91:$A$94,1),1),ROWS(Tables!$A$91:$A$94)-1))+1)-INDEX(Tables!$B$91:$B$94,MAX(1,MIN(IFERROR(MATCH(P133,Tables!$A$91:$A$94,1),1),ROWS(Tables!$A$91:$A$94)-1))))/(INDEX(Tables!$A$91:$A$94,MAX(1,MIN(IFERROR(MATCH(P133,Tables!$A$91:$A$94,1),1),ROWS(Tables!$A$91:$A$94)-1))+1)-INDEX(Tables!$A$91:$A$94,MAX(1,MIN(IFERROR(MATCH(P133,Tables!$A$91:$A$94,1),1),ROWS(Tables!$A$91:$A$94)-1)))))</f>
        <v>1.2323170731707318</v>
      </c>
      <c r="AP133" s="181">
        <f>IF(AD133=5000,(INDEX(Tables!$B$99:$B$118,MAX(1,MIN(IFERROR(MATCH(AF133,Tables!$A$99:$A$118,1),1),ROWS(Tables!$A$99:$A$118)-1)))+(AF133-INDEX(Tables!$A$99:$A$118,MAX(1,MIN(IFERROR(MATCH(AF133,Tables!$A$99:$A$118,1),1),ROWS(Tables!$A$99:$A$118)-1))))*(INDEX(Tables!$B$99:$B$118,MAX(1,MIN(IFERROR(MATCH(AF133,Tables!$A$99:$A$118,1),1),ROWS(Tables!$A$99:$A$118)-1))+1)-INDEX(Tables!$B$99:$B$118,MAX(1,MIN(IFERROR(MATCH(AF133,Tables!$A$99:$A$118,1),1),ROWS(Tables!$A$99:$A$118)-1))))/(INDEX(Tables!$A$99:$A$118,MAX(1,MIN(IFERROR(MATCH(AF133,Tables!$A$99:$A$118,1),1),ROWS(Tables!$A$99:$A$118)-1))+1)-INDEX(Tables!$A$99:$A$118,MAX(1,MIN(IFERROR(MATCH(AF133,Tables!$A$99:$A$118,1),1),ROWS(Tables!$A$99:$A$118)-1))))),IF(AD133=10000,(INDEX(Tables!$D$99:$D$118,MAX(1,MIN(IFERROR(MATCH(AF133,Tables!$C$99:$C$118,1),1),ROWS(Tables!$C$99:$C$118)-1)))+(AF133-INDEX(Tables!$C$99:$C$118,MAX(1,MIN(IFERROR(MATCH(AF133,Tables!$C$99:$C$118,1),1),ROWS(Tables!$C$99:$C$118)-1))))*(INDEX(Tables!$D$99:$D$118,MAX(1,MIN(IFERROR(MATCH(AF133,Tables!$C$99:$C$118,1),1),ROWS(Tables!$C$99:$C$118)-1))+1)-INDEX(Tables!$D$99:$D$118,MAX(1,MIN(IFERROR(MATCH(AF133,Tables!$C$99:$C$118,1),1),ROWS(Tables!$C$99:$C$118)-1))))/(INDEX(Tables!$C$99:$C$118,MAX(1,MIN(IFERROR(MATCH(AF133,Tables!$C$99:$C$118,1),1),ROWS(Tables!$C$99:$C$118)-1))+1)-INDEX(Tables!$C$99:$C$118,MAX(1,MIN(IFERROR(MATCH(AF133,Tables!$C$99:$C$118,1),1),ROWS(Tables!$C$99:$C$118)-1))))),(INDEX(Tables!$F$99:$F$118,MAX(1,MIN(IFERROR(MATCH(AF133,Tables!$E$99:$E$118,1),1),ROWS(Tables!$E$99:$E$118)-1)))+(AF133-INDEX(Tables!$E$99:$E$118,MAX(1,MIN(IFERROR(MATCH(AF133,Tables!$E$99:$E$118,1),1),ROWS(Tables!$E$99:$E$118)-1))))*(INDEX(Tables!$F$99:$F$118,MAX(1,MIN(IFERROR(MATCH(AF133,Tables!$E$99:$E$118,1),1),ROWS(Tables!$E$99:$E$118)-1))+1)-INDEX(Tables!$F$99:$F$118,MAX(1,MIN(IFERROR(MATCH(AF133,Tables!$E$99:$E$118,1),1),ROWS(Tables!$E$99:$E$118)-1))))/(INDEX(Tables!$E$99:$E$118,MAX(1,MIN(IFERROR(MATCH(AF133,Tables!$E$99:$E$118,1),1),ROWS(Tables!$E$99:$E$118)-1))+1)-INDEX(Tables!$E$99:$E$118,MAX(1,MIN(IFERROR(MATCH(AF133,Tables!$E$99:$E$118,1),1),ROWS(Tables!$E$99:$E$118)-1)))))))</f>
        <v>13.84400081900082</v>
      </c>
      <c r="AQ133" s="181">
        <f>IF(P133&lt;6,(INDEX(Tables!$B$123:$B$138,MAX(1,MIN(IFERROR(MATCH(U133,Tables!$A$123:$A$138,1),1),ROWS(Tables!$A$123:$A$138)-1)))+(U133-INDEX(Tables!$A$123:$A$138,MAX(1,MIN(IFERROR(MATCH(U133,Tables!$A$123:$A$138,1),1),ROWS(Tables!$A$123:$A$138)-1))))*(INDEX(Tables!$B$123:$B$138,MAX(1,MIN(IFERROR(MATCH(U133,Tables!$A$123:$A$138,1),1),ROWS(Tables!$A$123:$A$138)-1))+1)-INDEX(Tables!$B$123:$B$138,MAX(1,MIN(IFERROR(MATCH(U133,Tables!$A$123:$A$138,1),1),ROWS(Tables!$A$123:$A$138)-1))))/(INDEX(Tables!$A$123:$A$138,MAX(1,MIN(IFERROR(MATCH(U133,Tables!$A$123:$A$138,1),1),ROWS(Tables!$A$123:$A$138)-1))+1)-INDEX(Tables!$A$123:$A$138,MAX(1,MIN(IFERROR(MATCH(U133,Tables!$A$123:$A$138,1),1),ROWS(Tables!$A$123:$A$138)-1))))),IF(P133&lt;8,(INDEX(Tables!$D$123:$D$138,MAX(1,MIN(IFERROR(MATCH(U133,Tables!$C$123:$C$138,1),1),ROWS(Tables!$C$123:$C$138)-1)))+(U133-INDEX(Tables!$C$123:$C$138,MAX(1,MIN(IFERROR(MATCH(U133,Tables!$C$123:$C$138,1),1),ROWS(Tables!$C$123:$C$138)-1))))*(INDEX(Tables!$D$123:$D$138,MAX(1,MIN(IFERROR(MATCH(U133,Tables!$C$123:$C$138,1),1),ROWS(Tables!$C$123:$C$138)-1))+1)-INDEX(Tables!$D$123:$D$138,MAX(1,MIN(IFERROR(MATCH(U133,Tables!$C$123:$C$138,1),1),ROWS(Tables!$C$123:$C$138)-1))))/(INDEX(Tables!$C$123:$C$138,MAX(1,MIN(IFERROR(MATCH(U133,Tables!$C$123:$C$138,1),1),ROWS(Tables!$C$123:$C$138)-1))+1)-INDEX(Tables!$C$123:$C$138,MAX(1,MIN(IFERROR(MATCH(U133,Tables!$C$123:$C$138,1),1),ROWS(Tables!$C$123:$C$138)-1))))),IF(P133&lt;10,(INDEX(Tables!$F$123:$F$138,MAX(1,MIN(IFERROR(MATCH(U133,Tables!$E$123:$E$138,1),1),ROWS(Tables!$E$123:$E$138)-1)))+(U133-INDEX(Tables!$E$123:$E$138,MAX(1,MIN(IFERROR(MATCH(U133,Tables!$E$123:$E$138,1),1),ROWS(Tables!$E$123:$E$138)-1))))*(INDEX(Tables!$F$123:$F$138,MAX(1,MIN(IFERROR(MATCH(U133,Tables!$E$123:$E$138,1),1),ROWS(Tables!$E$123:$E$138)-1))+1)-INDEX(Tables!$F$123:$F$138,MAX(1,MIN(IFERROR(MATCH(U133,Tables!$E$123:$E$138,1),1),ROWS(Tables!$E$123:$E$138)-1))))/(INDEX(Tables!$E$123:$E$138,MAX(1,MIN(IFERROR(MATCH(U133,Tables!$E$123:$E$138,1),1),ROWS(Tables!$E$123:$E$138)-1))+1)-INDEX(Tables!$E$123:$E$138,MAX(1,MIN(IFERROR(MATCH(U133,Tables!$E$123:$E$138,1),1),ROWS(Tables!$E$123:$E$138)-1))))),(INDEX(Tables!$H$123:$H$138,MAX(1,MIN(IFERROR(MATCH(U133,Tables!$G$123:$G$138,1),1),ROWS(Tables!$G$123:$G$138)-1)))+(U133-INDEX(Tables!$G$123:$G$138,MAX(1,MIN(IFERROR(MATCH(U133,Tables!$G$123:$G$138,1),1),ROWS(Tables!$G$123:$G$138)-1))))*(INDEX(Tables!$H$123:$H$138,MAX(1,MIN(IFERROR(MATCH(U133,Tables!$G$123:$G$138,1),1),ROWS(Tables!$G$123:$G$138)-1))+1)-INDEX(Tables!$H$123:$H$138,MAX(1,MIN(IFERROR(MATCH(U133,Tables!$G$123:$G$138,1),1),ROWS(Tables!$G$123:$G$138)-1))))/(INDEX(Tables!$G$123:$G$138,MAX(1,MIN(IFERROR(MATCH(U133,Tables!$G$123:$G$138,1),1),ROWS(Tables!$G$123:$G$138)-1))+1)-INDEX(Tables!$G$123:$G$138,MAX(1,MIN(IFERROR(MATCH(U133,Tables!$G$123:$G$138,1),1),ROWS(Tables!$G$123:$G$138)-1))))))))</f>
        <v>0.50060000000000004</v>
      </c>
      <c r="AR133" s="181">
        <f>IF(OR(P133&gt;=4,U133&gt;12),VLOOKUP(R133&amp;" "&amp;S133,Tables!$D$143:$F$148,2,FALSE),VLOOKUP(R133&amp;" "&amp;S133,Tables!$A$143:$C$148,2,FALSE))</f>
        <v>1</v>
      </c>
      <c r="AS133" s="181">
        <f>IF(OR(P133&gt;=4,U133&gt;12),VLOOKUP(R133&amp;" "&amp;S133,Tables!$D$143:$F$148,3,FALSE),VLOOKUP(R133&amp;" "&amp;S133,Tables!$A$143:$C$148,3,FALSE))</f>
        <v>1</v>
      </c>
      <c r="AT133" s="181">
        <f t="shared" si="136"/>
        <v>593.07884751835411</v>
      </c>
      <c r="AU133" s="181">
        <f>IF(AD133=5000,(INDEX(Tables!$B$244:$B$263,MAX(1,MIN(IFERROR(MATCH(AF133,Tables!$A$244:$A$263,1),1),ROWS(Tables!$A$244:$A$263)-1)))+(AF133-INDEX(Tables!$A$244:$A$263,MAX(1,MIN(IFERROR(MATCH(AF133,Tables!$A$244:$A$263,1),1),ROWS(Tables!$A$244:$A$263)-1))))*(INDEX(Tables!$B$244:$B$263,MAX(1,MIN(IFERROR(MATCH(AF133,Tables!$A$244:$A$263,1),1),ROWS(Tables!$A$244:$A$263)-1))+1)-INDEX(Tables!$B$244:$B$263,MAX(1,MIN(IFERROR(MATCH(AF133,Tables!$A$244:$A$263,1),1),ROWS(Tables!$A$244:$A$263)-1))))/(INDEX(Tables!$A$244:$A$263,MAX(1,MIN(IFERROR(MATCH(AF133,Tables!$A$244:$A$263,1),1),ROWS(Tables!$A$244:$A$263)-1))+1)-INDEX(Tables!$A$244:$A$263,MAX(1,MIN(IFERROR(MATCH(AF133,Tables!$A$244:$A$263,1),1),ROWS(Tables!$A$244:$A$263)-1))))),IF(AD133=10000,(INDEX(Tables!$D$244:$D$263,MAX(1,MIN(IFERROR(MATCH(AF133,Tables!$C$244:$C$263,1),1),ROWS(Tables!$C$244:$C$263)-1)))+(AF133-INDEX(Tables!$C$244:$C$263,MAX(1,MIN(IFERROR(MATCH(AF133,Tables!$C$244:$C$263,1),1),ROWS(Tables!$C$244:$C$263)-1))))*(INDEX(Tables!$D$244:$D$263,MAX(1,MIN(IFERROR(MATCH(AF133,Tables!$C$244:$C$263,1),1),ROWS(Tables!$C$244:$C$263)-1))+1)-INDEX(Tables!$D$244:$D$263,MAX(1,MIN(IFERROR(MATCH(AF133,Tables!$C$244:$C$263,1),1),ROWS(Tables!$C$244:$C$263)-1))))/(INDEX(Tables!$C$244:$C$263,MAX(1,MIN(IFERROR(MATCH(AF133,Tables!$C$244:$C$263,1),1),ROWS(Tables!$C$244:$C$263)-1))+1)-INDEX(Tables!$C$244:$C$263,MAX(1,MIN(IFERROR(MATCH(AF133,Tables!$C$244:$C$263,1),1),ROWS(Tables!$C$244:$C$263)-1))))),(INDEX(Tables!$F$244:$F$263,MAX(1,MIN(IFERROR(MATCH(AF133,Tables!$E$244:$E$263,1),1),ROWS(Tables!$E$244:$E$263)-1)))+(AF133-INDEX(Tables!$E$244:$E$263,MAX(1,MIN(IFERROR(MATCH(AF133,Tables!$E$244:$E$263,1),1),ROWS(Tables!$E$244:$E$263)-1))))*(INDEX(Tables!$F$244:$F$263,MAX(1,MIN(IFERROR(MATCH(AF133,Tables!$E$244:$E$263,1),1),ROWS(Tables!$E$244:$E$263)-1))+1)-INDEX(Tables!$F$244:$F$263,MAX(1,MIN(IFERROR(MATCH(AF133,Tables!$E$244:$E$263,1),1),ROWS(Tables!$E$244:$E$263)-1))))/(INDEX(Tables!$E$244:$E$263,MAX(1,MIN(IFERROR(MATCH(AF133,Tables!$E$244:$E$263,1),1),ROWS(Tables!$E$244:$E$263)-1))+1)-INDEX(Tables!$E$244:$E$263,MAX(1,MIN(IFERROR(MATCH(AF133,Tables!$E$244:$E$263,1),1),ROWS(Tables!$E$244:$E$263)-1)))))))</f>
        <v>9.6654999999999998</v>
      </c>
      <c r="AV133" s="181">
        <f>IF(P133&lt;6,(INDEX(Tables!$B$260:$B$274,MAX(1,MIN(IFERROR(MATCH(U133,Tables!$A$260:$A$274,1),1),ROWS(Tables!$A$260:$A$274)-1)))+(U133-INDEX(Tables!$A$260:$A$274,MAX(1,MIN(IFERROR(MATCH(U133,Tables!$A$260:$A$274,1),1),ROWS(Tables!$A$260:$A$274)-1))))*(INDEX(Tables!$B$260:$B$274,MAX(1,MIN(IFERROR(MATCH(U133,Tables!$A$260:$A$274,1),1),ROWS(Tables!$A$260:$A$274)-1))+1)-INDEX(Tables!$B$260:$B$274,MAX(1,MIN(IFERROR(MATCH(U133,Tables!$A$260:$A$274,1),1),ROWS(Tables!$A$260:$A$274)-1))))/(INDEX(Tables!$A$260:$A$274,MAX(1,MIN(IFERROR(MATCH(U133,Tables!$A$260:$A$274,1),1),ROWS(Tables!$A$260:$A$274)-1))+1)-INDEX(Tables!$A$260:$A$274,MAX(1,MIN(IFERROR(MATCH(U133,Tables!$A$260:$A$274,1),1),ROWS(Tables!$A$260:$A$274)-1))))),IF(P133&lt;8,(INDEX(Tables!$D$260:$D$274,MAX(1,MIN(IFERROR(MATCH(U133,Tables!$C$260:$C$274,1),1),ROWS(Tables!$C$260:$C$274)-1)))+(U133-INDEX(Tables!$C$260:$C$274,MAX(1,MIN(IFERROR(MATCH(U133,Tables!$C$260:$C$274,1),1),ROWS(Tables!$C$260:$C$274)-1))))*(INDEX(Tables!$D$260:$D$274,MAX(1,MIN(IFERROR(MATCH(U133,Tables!$C$260:$C$274,1),1),ROWS(Tables!$C$260:$C$274)-1))+1)-INDEX(Tables!$D$260:$D$274,MAX(1,MIN(IFERROR(MATCH(U133,Tables!$C$260:$C$274,1),1),ROWS(Tables!$C$260:$C$274)-1))))/(INDEX(Tables!$C$260:$C$274,MAX(1,MIN(IFERROR(MATCH(U133,Tables!$C$260:$C$274,1),1),ROWS(Tables!$C$260:$C$274)-1))+1)-INDEX(Tables!$C$260:$C$274,MAX(1,MIN(IFERROR(MATCH(U133,Tables!$C$260:$C$274,1),1),ROWS(Tables!$C$260:$C$274)-1))))),IF(P133&lt;10,(INDEX(Tables!$F$260:$F$274,MAX(1,MIN(IFERROR(MATCH(U133,Tables!$E$260:$E$274,1),1),ROWS(Tables!$E$260:$E$274)-1)))+(U133-INDEX(Tables!$E$260:$E$274,MAX(1,MIN(IFERROR(MATCH(U133,Tables!$E$260:$E$274,1),1),ROWS(Tables!$E$260:$E$274)-1))))*(INDEX(Tables!$F$260:$F$274,MAX(1,MIN(IFERROR(MATCH(U133,Tables!$E$260:$E$274,1),1),ROWS(Tables!$E$260:$E$274)-1))+1)-INDEX(Tables!$F$260:$F$274,MAX(1,MIN(IFERROR(MATCH(U133,Tables!$E$260:$E$274,1),1),ROWS(Tables!$E$260:$E$274)-1))))/(INDEX(Tables!$E$260:$E$274,MAX(1,MIN(IFERROR(MATCH(U133,Tables!$E$260:$E$274,1),1),ROWS(Tables!$E$260:$E$274)-1))+1)-INDEX(Tables!$E$260:$E$274,MAX(1,MIN(IFERROR(MATCH(U133,Tables!$E$260:$E$274,1),1),ROWS(Tables!$E$260:$E$274)-1))))),(INDEX(Tables!$H$260:$H$274,MAX(1,MIN(IFERROR(MATCH(U133,Tables!$G$260:$G$274,1),1),ROWS(Tables!$G$260:$G$274)-1)))+(U133-INDEX(Tables!$G$260:$G$274,MAX(1,MIN(IFERROR(MATCH(U133,Tables!$G$260:$G$274,1),1),ROWS(Tables!$G$260:$G$274)-1))))*(INDEX(Tables!$H$260:$H$274,MAX(1,MIN(IFERROR(MATCH(U133,Tables!$G$260:$G$274,1),1),ROWS(Tables!$G$260:$G$274)-1))+1)-INDEX(Tables!$H$260:$H$274,MAX(1,MIN(IFERROR(MATCH(U133,Tables!$G$260:$G$274,1),1),ROWS(Tables!$G$260:$G$274)-1))))/(INDEX(Tables!$G$260:$G$274,MAX(1,MIN(IFERROR(MATCH(U133,Tables!$G$260:$G$274,1),1),ROWS(Tables!$G$260:$G$274)-1))+1)-INDEX(Tables!$G$260:$G$274,MAX(1,MIN(IFERROR(MATCH(U133,Tables!$G$260:$G$274,1),1),ROWS(Tables!$G$260:$G$274)-1))))))))</f>
        <v>0.51828571428571424</v>
      </c>
      <c r="AW133" s="181">
        <f t="shared" si="137"/>
        <v>428.70005271244673</v>
      </c>
      <c r="AX133" s="181">
        <f t="shared" si="138"/>
        <v>18800</v>
      </c>
      <c r="AY133" s="181">
        <f t="shared" si="139"/>
        <v>25247.980075432097</v>
      </c>
      <c r="AZ133" s="181">
        <f t="shared" si="140"/>
        <v>7825.1704210865691</v>
      </c>
      <c r="BA133" s="181">
        <f t="shared" si="141"/>
        <v>-800</v>
      </c>
      <c r="BB133" s="181">
        <f t="shared" si="142"/>
        <v>22983.09299305089</v>
      </c>
      <c r="BC133" s="181">
        <f t="shared" si="143"/>
        <v>46800</v>
      </c>
      <c r="BD133" s="181">
        <f>VLOOKUP(V133&amp;" "&amp;J133,Tables!$A$152:$E$239,4,FALSE)</f>
        <v>12000</v>
      </c>
      <c r="BE133" s="181">
        <f>VLOOKUP(V133&amp;" "&amp;J133,Tables!$A$152:$E$239,5,FALSE)</f>
        <v>23000</v>
      </c>
      <c r="BF133" s="181">
        <f t="shared" si="144"/>
        <v>8640</v>
      </c>
      <c r="BG133" s="181">
        <f t="shared" si="145"/>
        <v>16560</v>
      </c>
      <c r="BH133" s="181">
        <f t="shared" si="146"/>
        <v>19200</v>
      </c>
      <c r="BI133" s="181">
        <f t="shared" si="147"/>
        <v>46800</v>
      </c>
      <c r="BJ133" s="181">
        <f t="shared" si="148"/>
        <v>22983.09299305089</v>
      </c>
      <c r="BK133" s="181">
        <f t="shared" si="149"/>
        <v>46800</v>
      </c>
      <c r="BL133" s="181">
        <f t="shared" si="150"/>
        <v>428.70005271244673</v>
      </c>
      <c r="BM133" s="181">
        <f t="shared" si="151"/>
        <v>8640</v>
      </c>
      <c r="BN133" s="181">
        <f t="shared" si="152"/>
        <v>593.07884751835411</v>
      </c>
      <c r="BO133" s="181">
        <f t="shared" si="153"/>
        <v>16560</v>
      </c>
      <c r="BP133" t="str">
        <f t="shared" si="154"/>
        <v>Pass</v>
      </c>
      <c r="BQ133" t="str">
        <f t="shared" si="155"/>
        <v>Pass</v>
      </c>
      <c r="BR133" t="str">
        <f t="shared" si="156"/>
        <v>Pass</v>
      </c>
      <c r="BS133" t="str">
        <f t="shared" si="157"/>
        <v>Pass</v>
      </c>
      <c r="BT133" t="str">
        <f t="shared" si="158"/>
        <v>Pass</v>
      </c>
      <c r="BU133" t="str">
        <f t="shared" si="159"/>
        <v>Effective Stress</v>
      </c>
    </row>
    <row r="134" spans="1:73">
      <c r="A134" t="s">
        <v>726</v>
      </c>
      <c r="B134" s="181">
        <v>132</v>
      </c>
      <c r="C134" t="s">
        <v>594</v>
      </c>
      <c r="D134" s="181">
        <v>48</v>
      </c>
      <c r="E134" s="181">
        <v>0.5</v>
      </c>
      <c r="F134" t="s">
        <v>117</v>
      </c>
      <c r="G134" t="s">
        <v>119</v>
      </c>
      <c r="H134" t="s">
        <v>122</v>
      </c>
      <c r="I134" s="181">
        <v>1</v>
      </c>
      <c r="J134" t="s">
        <v>126</v>
      </c>
      <c r="K134" t="s">
        <v>129</v>
      </c>
      <c r="L134" s="181">
        <v>70</v>
      </c>
      <c r="M134" s="181">
        <v>1000</v>
      </c>
      <c r="N134" t="s">
        <v>141</v>
      </c>
      <c r="O134" s="181">
        <v>120</v>
      </c>
      <c r="P134" s="181">
        <v>30</v>
      </c>
      <c r="Q134" s="181">
        <v>50</v>
      </c>
      <c r="R134" t="s">
        <v>154</v>
      </c>
      <c r="S134" t="s">
        <v>420</v>
      </c>
      <c r="T134" s="181">
        <v>70</v>
      </c>
      <c r="U134" s="181">
        <f>HLOOKUP(D134,'Highway Loading'!$C$155:$AD$156,2,FALSE)</f>
        <v>48</v>
      </c>
      <c r="V134" s="181">
        <f>IF(ISBLANK(G134),"",INDEX('Highway Loading'!$C$216:$AG$216,1,MATCH(G134,'Highway Loading'!$C$215:$AG$215,0)))</f>
        <v>65000</v>
      </c>
      <c r="W134" s="181">
        <f>INDEX('Highway Loading'!$I$245:$L$253,MATCH(H134,'Highway Loading'!$H$245:$H$253,0),MATCH(I134,'Highway Loading'!$I$244:$L$244,0))</f>
        <v>0.72</v>
      </c>
      <c r="X134" s="181">
        <f t="shared" si="128"/>
        <v>1</v>
      </c>
      <c r="Y134" s="181">
        <f>VLOOKUP(K134,'Highway Loading'!$B$283:$E$292,2,FALSE)</f>
        <v>29000000</v>
      </c>
      <c r="Z134" s="181">
        <f>VLOOKUP(K134,'Highway Loading'!$B$283:$E$292,3,FALSE)</f>
        <v>0.3</v>
      </c>
      <c r="AA134" s="181">
        <f>VLOOKUP(K134,'Highway Loading'!$B$283:$E$292,4,FALSE)</f>
        <v>6.4999999999999996E-6</v>
      </c>
      <c r="AB134" s="181">
        <f t="shared" si="129"/>
        <v>1</v>
      </c>
      <c r="AC134" s="181">
        <f>VLOOKUP(N134,'Highway Loading'!$B$256:$D$261,2,FALSE)</f>
        <v>500</v>
      </c>
      <c r="AD134" s="181">
        <f>VLOOKUP(N134,'Highway Loading'!$B$256:$D$261,3,FALSE)</f>
        <v>10000</v>
      </c>
      <c r="AE134" s="181">
        <f>VLOOKUP(S134,'Highway Loading'!$B$340:$C$341,2,FALSE)</f>
        <v>12000</v>
      </c>
      <c r="AF134" s="181">
        <f t="shared" si="130"/>
        <v>1.0416666666666666E-2</v>
      </c>
      <c r="AG134" s="181">
        <f t="shared" si="131"/>
        <v>7.2</v>
      </c>
      <c r="AH134" s="181">
        <f t="shared" si="132"/>
        <v>1.0416666666666667</v>
      </c>
      <c r="AI134" s="181">
        <f t="shared" si="133"/>
        <v>48000</v>
      </c>
      <c r="AJ134" s="181">
        <f t="shared" si="134"/>
        <v>46800</v>
      </c>
      <c r="AK134" s="181">
        <f>IF(AC134=200,(INDEX(Tables!$B$17:$B$38,MAX(1,MIN(IFERROR(MATCH(AF134,Tables!$A$17:$A$38,1),1),ROWS(Tables!$A$17:$A$38)-1)))+(AF134-INDEX(Tables!$A$17:$A$38,MAX(1,MIN(IFERROR(MATCH(AF134,Tables!$A$17:$A$38,1),1),ROWS(Tables!$A$17:$A$38)-1))))*(INDEX(Tables!$B$17:$B$38,MAX(1,MIN(IFERROR(MATCH(AF134,Tables!$A$17:$A$38,1),1),ROWS(Tables!$A$17:$A$38)-1))+1)-INDEX(Tables!$B$17:$B$38,MAX(1,MIN(IFERROR(MATCH(AF134,Tables!$A$17:$A$38,1),1),ROWS(Tables!$A$17:$A$38)-1))))/(INDEX(Tables!$A$17:$A$38,MAX(1,MIN(IFERROR(MATCH(AF134,Tables!$A$17:$A$38,1),1),ROWS(Tables!$A$17:$A$38)-1))+1)-INDEX(Tables!$A$17:$A$38,MAX(1,MIN(IFERROR(MATCH(AF134,Tables!$A$17:$A$38,1),1),ROWS(Tables!$A$17:$A$38)-1))))),IF(AC134=500,(INDEX(Tables!$D$17:$D$38,MAX(1,MIN(IFERROR(MATCH(AF134,Tables!$C$17:$C$38,1),1),ROWS(Tables!$C$17:$C$38)-1)))+(AF134-INDEX(Tables!$C$17:$C$38,MAX(1,MIN(IFERROR(MATCH(AF134,Tables!$C$17:$C$38,1),1),ROWS(Tables!$C$17:$C$38)-1))))*(INDEX(Tables!$D$17:$D$38,MAX(1,MIN(IFERROR(MATCH(AF134,Tables!$C$17:$C$38,1),1),ROWS(Tables!$C$17:$C$38)-1))+1)-INDEX(Tables!$D$17:$D$38,MAX(1,MIN(IFERROR(MATCH(AF134,Tables!$C$17:$C$38,1),1),ROWS(Tables!$C$17:$C$38)-1))))/(INDEX(Tables!$C$17:$C$38,MAX(1,MIN(IFERROR(MATCH(AF134,Tables!$C$17:$C$38,1),1),ROWS(Tables!$C$17:$C$38)-1))+1)-INDEX(Tables!$C$17:$C$38,MAX(1,MIN(IFERROR(MATCH(AF134,Tables!$C$17:$C$38,1),1),ROWS(Tables!$C$17:$C$38)-1))))),IF(AC134=1000,(INDEX(Tables!$F$17:$F$38,MAX(1,MIN(IFERROR(MATCH(AF134,Tables!$E$17:$E$38,1),1),ROWS(Tables!$E$17:$E$38)-1)))+(AF134-INDEX(Tables!$E$17:$E$38,MAX(1,MIN(IFERROR(MATCH(AF134,Tables!$E$17:$E$38,1),1),ROWS(Tables!$E$17:$E$38)-1))))*(INDEX(Tables!$F$17:$F$38,MAX(1,MIN(IFERROR(MATCH(AF134,Tables!$E$17:$E$38,1),1),ROWS(Tables!$E$17:$E$38)-1))+1)-INDEX(Tables!$F$17:$F$38,MAX(1,MIN(IFERROR(MATCH(AF134,Tables!$E$17:$E$38,1),1),ROWS(Tables!$E$17:$E$38)-1))))/(INDEX(Tables!$E$17:$E$38,MAX(1,MIN(IFERROR(MATCH(AF134,Tables!$E$17:$E$38,1),1),ROWS(Tables!$E$17:$E$38)-1))+1)-INDEX(Tables!$E$17:$E$38,MAX(1,MIN(IFERROR(MATCH(AF134,Tables!$E$17:$E$38,1),1),ROWS(Tables!$E$17:$E$38)-1))))),(INDEX(Tables!$H$17:$H$38,MAX(1,MIN(IFERROR(MATCH(AF134,Tables!$G$17:$G$38,1),1),ROWS(Tables!$G$17:$G$38)-1)))+(AF134-INDEX(Tables!$G$17:$G$38,MAX(1,MIN(IFERROR(MATCH(AF134,Tables!$G$17:$G$38,1),1),ROWS(Tables!$G$17:$G$38)-1))))*(INDEX(Tables!$H$17:$H$38,MAX(1,MIN(IFERROR(MATCH(AF134,Tables!$G$17:$G$38,1),1),ROWS(Tables!$G$17:$G$38)-1))+1)-INDEX(Tables!$H$17:$H$38,MAX(1,MIN(IFERROR(MATCH(AF134,Tables!$G$17:$G$38,1),1),ROWS(Tables!$G$17:$G$38)-1))))/(INDEX(Tables!$G$17:$G$38,MAX(1,MIN(IFERROR(MATCH(AF134,Tables!$G$17:$G$38,1),1),ROWS(Tables!$G$17:$G$38)-1))+1)-INDEX(Tables!$G$17:$G$38,MAX(1,MIN(IFERROR(MATCH(AF134,Tables!$G$17:$G$38,1),1),ROWS(Tables!$G$17:$G$38)-1))))))))</f>
        <v>6129</v>
      </c>
      <c r="AL134" s="181">
        <f>IF(AC134&lt;1000,(INDEX(Tables!$B$43:$B$76,MAX(1,MIN(IFERROR(MATCH(AG134,Tables!$A$43:$A$76,1),1),ROWS(Tables!$A$43:$A$76)-1)))+(AG134-INDEX(Tables!$A$43:$A$76,MAX(1,MIN(IFERROR(MATCH(AG134,Tables!$A$43:$A$76,1),1),ROWS(Tables!$A$43:$A$76)-1))))*(INDEX(Tables!$B$43:$B$76,MAX(1,MIN(IFERROR(MATCH(AG134,Tables!$A$43:$A$76,1),1),ROWS(Tables!$A$43:$A$76)-1))+1)-INDEX(Tables!$B$43:$B$76,MAX(1,MIN(IFERROR(MATCH(AG134,Tables!$A$43:$A$76,1),1),ROWS(Tables!$A$43:$A$76)-1))))/(INDEX(Tables!$A$43:$A$76,MAX(1,MIN(IFERROR(MATCH(AG134,Tables!$A$43:$A$76,1),1),ROWS(Tables!$A$43:$A$76)-1))+1)-INDEX(Tables!$A$43:$A$76,MAX(1,MIN(IFERROR(MATCH(AG134,Tables!$A$43:$A$76,1),1),ROWS(Tables!$A$43:$A$76)-1))))),(INDEX(Tables!$D$43:$D$76,MAX(1,MIN(IFERROR(MATCH(AG134,Tables!$C$43:$C$76,1),1),ROWS(Tables!$C$43:$C$76)-1)))+(AG134-INDEX(Tables!$C$43:$C$76,MAX(1,MIN(IFERROR(MATCH(AG134,Tables!$C$43:$C$76,1),1),ROWS(Tables!$C$43:$C$76)-1))))*(INDEX(Tables!$D$43:$D$76,MAX(1,MIN(IFERROR(MATCH(AG134,Tables!$C$43:$C$76,1),1),ROWS(Tables!$C$43:$C$76)-1))+1)-INDEX(Tables!$D$43:$D$76,MAX(1,MIN(IFERROR(MATCH(AG134,Tables!$C$43:$C$76,1),1),ROWS(Tables!$C$43:$C$76)-1))))/(INDEX(Tables!$C$43:$C$76,MAX(1,MIN(IFERROR(MATCH(AG134,Tables!$C$43:$C$76,1),1),ROWS(Tables!$C$43:$C$76)-1))+1)-INDEX(Tables!$C$43:$C$76,MAX(1,MIN(IFERROR(MATCH(AG134,Tables!$C$43:$C$76,1),1),ROWS(Tables!$C$43:$C$76)-1))))))</f>
        <v>1.224</v>
      </c>
      <c r="AM134" s="181">
        <f>(INDEX(Tables!$B$80:$B$87,MAX(1,MIN(IFERROR(MATCH(AH134,Tables!$A$80:$A$87,1),1),ROWS(Tables!$A$80:$A$87)-1)))+(AH134-INDEX(Tables!$A$80:$A$87,MAX(1,MIN(IFERROR(MATCH(AH134,Tables!$A$80:$A$87,1),1),ROWS(Tables!$A$80:$A$87)-1))))*(INDEX(Tables!$B$80:$B$87,MAX(1,MIN(IFERROR(MATCH(AH134,Tables!$A$80:$A$87,1),1),ROWS(Tables!$A$80:$A$87)-1))+1)-INDEX(Tables!$B$80:$B$87,MAX(1,MIN(IFERROR(MATCH(AH134,Tables!$A$80:$A$87,1),1),ROWS(Tables!$A$80:$A$87)-1))))/(INDEX(Tables!$A$80:$A$87,MAX(1,MIN(IFERROR(MATCH(AH134,Tables!$A$80:$A$87,1),1),ROWS(Tables!$A$80:$A$87)-1))+1)-INDEX(Tables!$A$80:$A$87,MAX(1,MIN(IFERROR(MATCH(AH134,Tables!$A$80:$A$87,1),1),ROWS(Tables!$A$80:$A$87)-1)))))</f>
        <v>0.89595000000000002</v>
      </c>
      <c r="AN134" s="181">
        <f t="shared" si="135"/>
        <v>22404.412404000002</v>
      </c>
      <c r="AO134" s="181">
        <f>(INDEX(Tables!$B$91:$B$94,MAX(1,MIN(IFERROR(MATCH(P134,Tables!$A$91:$A$94,1),1),ROWS(Tables!$A$91:$A$94)-1)))+(P134-INDEX(Tables!$A$91:$A$94,MAX(1,MIN(IFERROR(MATCH(P134,Tables!$A$91:$A$94,1),1),ROWS(Tables!$A$91:$A$94)-1))))*(INDEX(Tables!$B$91:$B$94,MAX(1,MIN(IFERROR(MATCH(P134,Tables!$A$91:$A$94,1),1),ROWS(Tables!$A$91:$A$94)-1))+1)-INDEX(Tables!$B$91:$B$94,MAX(1,MIN(IFERROR(MATCH(P134,Tables!$A$91:$A$94,1),1),ROWS(Tables!$A$91:$A$94)-1))))/(INDEX(Tables!$A$91:$A$94,MAX(1,MIN(IFERROR(MATCH(P134,Tables!$A$91:$A$94,1),1),ROWS(Tables!$A$91:$A$94)-1))+1)-INDEX(Tables!$A$91:$A$94,MAX(1,MIN(IFERROR(MATCH(P134,Tables!$A$91:$A$94,1),1),ROWS(Tables!$A$91:$A$94)-1)))))</f>
        <v>1</v>
      </c>
      <c r="AP134" s="181">
        <f>IF(AD134=5000,(INDEX(Tables!$B$99:$B$118,MAX(1,MIN(IFERROR(MATCH(AF134,Tables!$A$99:$A$118,1),1),ROWS(Tables!$A$99:$A$118)-1)))+(AF134-INDEX(Tables!$A$99:$A$118,MAX(1,MIN(IFERROR(MATCH(AF134,Tables!$A$99:$A$118,1),1),ROWS(Tables!$A$99:$A$118)-1))))*(INDEX(Tables!$B$99:$B$118,MAX(1,MIN(IFERROR(MATCH(AF134,Tables!$A$99:$A$118,1),1),ROWS(Tables!$A$99:$A$118)-1))+1)-INDEX(Tables!$B$99:$B$118,MAX(1,MIN(IFERROR(MATCH(AF134,Tables!$A$99:$A$118,1),1),ROWS(Tables!$A$99:$A$118)-1))))/(INDEX(Tables!$A$99:$A$118,MAX(1,MIN(IFERROR(MATCH(AF134,Tables!$A$99:$A$118,1),1),ROWS(Tables!$A$99:$A$118)-1))+1)-INDEX(Tables!$A$99:$A$118,MAX(1,MIN(IFERROR(MATCH(AF134,Tables!$A$99:$A$118,1),1),ROWS(Tables!$A$99:$A$118)-1))))),IF(AD134=10000,(INDEX(Tables!$D$99:$D$118,MAX(1,MIN(IFERROR(MATCH(AF134,Tables!$C$99:$C$118,1),1),ROWS(Tables!$C$99:$C$118)-1)))+(AF134-INDEX(Tables!$C$99:$C$118,MAX(1,MIN(IFERROR(MATCH(AF134,Tables!$C$99:$C$118,1),1),ROWS(Tables!$C$99:$C$118)-1))))*(INDEX(Tables!$D$99:$D$118,MAX(1,MIN(IFERROR(MATCH(AF134,Tables!$C$99:$C$118,1),1),ROWS(Tables!$C$99:$C$118)-1))+1)-INDEX(Tables!$D$99:$D$118,MAX(1,MIN(IFERROR(MATCH(AF134,Tables!$C$99:$C$118,1),1),ROWS(Tables!$C$99:$C$118)-1))))/(INDEX(Tables!$C$99:$C$118,MAX(1,MIN(IFERROR(MATCH(AF134,Tables!$C$99:$C$118,1),1),ROWS(Tables!$C$99:$C$118)-1))+1)-INDEX(Tables!$C$99:$C$118,MAX(1,MIN(IFERROR(MATCH(AF134,Tables!$C$99:$C$118,1),1),ROWS(Tables!$C$99:$C$118)-1))))),(INDEX(Tables!$F$99:$F$118,MAX(1,MIN(IFERROR(MATCH(AF134,Tables!$E$99:$E$118,1),1),ROWS(Tables!$E$99:$E$118)-1)))+(AF134-INDEX(Tables!$E$99:$E$118,MAX(1,MIN(IFERROR(MATCH(AF134,Tables!$E$99:$E$118,1),1),ROWS(Tables!$E$99:$E$118)-1))))*(INDEX(Tables!$F$99:$F$118,MAX(1,MIN(IFERROR(MATCH(AF134,Tables!$E$99:$E$118,1),1),ROWS(Tables!$E$99:$E$118)-1))+1)-INDEX(Tables!$F$99:$F$118,MAX(1,MIN(IFERROR(MATCH(AF134,Tables!$E$99:$E$118,1),1),ROWS(Tables!$E$99:$E$118)-1))))/(INDEX(Tables!$E$99:$E$118,MAX(1,MIN(IFERROR(MATCH(AF134,Tables!$E$99:$E$118,1),1),ROWS(Tables!$E$99:$E$118)-1))+1)-INDEX(Tables!$E$99:$E$118,MAX(1,MIN(IFERROR(MATCH(AF134,Tables!$E$99:$E$118,1),1),ROWS(Tables!$E$99:$E$118)-1)))))))</f>
        <v>12.907736434108527</v>
      </c>
      <c r="AQ134" s="181">
        <f>IF(P134&lt;6,(INDEX(Tables!$B$123:$B$138,MAX(1,MIN(IFERROR(MATCH(U134,Tables!$A$123:$A$138,1),1),ROWS(Tables!$A$123:$A$138)-1)))+(U134-INDEX(Tables!$A$123:$A$138,MAX(1,MIN(IFERROR(MATCH(U134,Tables!$A$123:$A$138,1),1),ROWS(Tables!$A$123:$A$138)-1))))*(INDEX(Tables!$B$123:$B$138,MAX(1,MIN(IFERROR(MATCH(U134,Tables!$A$123:$A$138,1),1),ROWS(Tables!$A$123:$A$138)-1))+1)-INDEX(Tables!$B$123:$B$138,MAX(1,MIN(IFERROR(MATCH(U134,Tables!$A$123:$A$138,1),1),ROWS(Tables!$A$123:$A$138)-1))))/(INDEX(Tables!$A$123:$A$138,MAX(1,MIN(IFERROR(MATCH(U134,Tables!$A$123:$A$138,1),1),ROWS(Tables!$A$123:$A$138)-1))+1)-INDEX(Tables!$A$123:$A$138,MAX(1,MIN(IFERROR(MATCH(U134,Tables!$A$123:$A$138,1),1),ROWS(Tables!$A$123:$A$138)-1))))),IF(P134&lt;8,(INDEX(Tables!$D$123:$D$138,MAX(1,MIN(IFERROR(MATCH(U134,Tables!$C$123:$C$138,1),1),ROWS(Tables!$C$123:$C$138)-1)))+(U134-INDEX(Tables!$C$123:$C$138,MAX(1,MIN(IFERROR(MATCH(U134,Tables!$C$123:$C$138,1),1),ROWS(Tables!$C$123:$C$138)-1))))*(INDEX(Tables!$D$123:$D$138,MAX(1,MIN(IFERROR(MATCH(U134,Tables!$C$123:$C$138,1),1),ROWS(Tables!$C$123:$C$138)-1))+1)-INDEX(Tables!$D$123:$D$138,MAX(1,MIN(IFERROR(MATCH(U134,Tables!$C$123:$C$138,1),1),ROWS(Tables!$C$123:$C$138)-1))))/(INDEX(Tables!$C$123:$C$138,MAX(1,MIN(IFERROR(MATCH(U134,Tables!$C$123:$C$138,1),1),ROWS(Tables!$C$123:$C$138)-1))+1)-INDEX(Tables!$C$123:$C$138,MAX(1,MIN(IFERROR(MATCH(U134,Tables!$C$123:$C$138,1),1),ROWS(Tables!$C$123:$C$138)-1))))),IF(P134&lt;10,(INDEX(Tables!$F$123:$F$138,MAX(1,MIN(IFERROR(MATCH(U134,Tables!$E$123:$E$138,1),1),ROWS(Tables!$E$123:$E$138)-1)))+(U134-INDEX(Tables!$E$123:$E$138,MAX(1,MIN(IFERROR(MATCH(U134,Tables!$E$123:$E$138,1),1),ROWS(Tables!$E$123:$E$138)-1))))*(INDEX(Tables!$F$123:$F$138,MAX(1,MIN(IFERROR(MATCH(U134,Tables!$E$123:$E$138,1),1),ROWS(Tables!$E$123:$E$138)-1))+1)-INDEX(Tables!$F$123:$F$138,MAX(1,MIN(IFERROR(MATCH(U134,Tables!$E$123:$E$138,1),1),ROWS(Tables!$E$123:$E$138)-1))))/(INDEX(Tables!$E$123:$E$138,MAX(1,MIN(IFERROR(MATCH(U134,Tables!$E$123:$E$138,1),1),ROWS(Tables!$E$123:$E$138)-1))+1)-INDEX(Tables!$E$123:$E$138,MAX(1,MIN(IFERROR(MATCH(U134,Tables!$E$123:$E$138,1),1),ROWS(Tables!$E$123:$E$138)-1))))),(INDEX(Tables!$H$123:$H$138,MAX(1,MIN(IFERROR(MATCH(U134,Tables!$G$123:$G$138,1),1),ROWS(Tables!$G$123:$G$138)-1)))+(U134-INDEX(Tables!$G$123:$G$138,MAX(1,MIN(IFERROR(MATCH(U134,Tables!$G$123:$G$138,1),1),ROWS(Tables!$G$123:$G$138)-1))))*(INDEX(Tables!$H$123:$H$138,MAX(1,MIN(IFERROR(MATCH(U134,Tables!$G$123:$G$138,1),1),ROWS(Tables!$G$123:$G$138)-1))+1)-INDEX(Tables!$H$123:$H$138,MAX(1,MIN(IFERROR(MATCH(U134,Tables!$G$123:$G$138,1),1),ROWS(Tables!$G$123:$G$138)-1))))/(INDEX(Tables!$G$123:$G$138,MAX(1,MIN(IFERROR(MATCH(U134,Tables!$G$123:$G$138,1),1),ROWS(Tables!$G$123:$G$138)-1))+1)-INDEX(Tables!$G$123:$G$138,MAX(1,MIN(IFERROR(MATCH(U134,Tables!$G$123:$G$138,1),1),ROWS(Tables!$G$123:$G$138)-1))))))))</f>
        <v>0.46899999999999997</v>
      </c>
      <c r="AR134" s="181">
        <f>IF(OR(P134&gt;=4,U134&gt;12),VLOOKUP(R134&amp;" "&amp;S134,Tables!$D$143:$F$148,2,FALSE),VLOOKUP(R134&amp;" "&amp;S134,Tables!$A$143:$C$148,2,FALSE))</f>
        <v>1</v>
      </c>
      <c r="AS134" s="181">
        <f>IF(OR(P134&gt;=4,U134&gt;12),VLOOKUP(R134&amp;" "&amp;S134,Tables!$D$143:$F$148,3,FALSE),VLOOKUP(R134&amp;" "&amp;S134,Tables!$A$143:$C$148,3,FALSE))</f>
        <v>0.65</v>
      </c>
      <c r="AT134" s="181">
        <f t="shared" si="136"/>
        <v>327.91028766149867</v>
      </c>
      <c r="AU134" s="181">
        <f>IF(AD134=5000,(INDEX(Tables!$B$244:$B$263,MAX(1,MIN(IFERROR(MATCH(AF134,Tables!$A$244:$A$263,1),1),ROWS(Tables!$A$244:$A$263)-1)))+(AF134-INDEX(Tables!$A$244:$A$263,MAX(1,MIN(IFERROR(MATCH(AF134,Tables!$A$244:$A$263,1),1),ROWS(Tables!$A$244:$A$263)-1))))*(INDEX(Tables!$B$244:$B$263,MAX(1,MIN(IFERROR(MATCH(AF134,Tables!$A$244:$A$263,1),1),ROWS(Tables!$A$244:$A$263)-1))+1)-INDEX(Tables!$B$244:$B$263,MAX(1,MIN(IFERROR(MATCH(AF134,Tables!$A$244:$A$263,1),1),ROWS(Tables!$A$244:$A$263)-1))))/(INDEX(Tables!$A$244:$A$263,MAX(1,MIN(IFERROR(MATCH(AF134,Tables!$A$244:$A$263,1),1),ROWS(Tables!$A$244:$A$263)-1))+1)-INDEX(Tables!$A$244:$A$263,MAX(1,MIN(IFERROR(MATCH(AF134,Tables!$A$244:$A$263,1),1),ROWS(Tables!$A$244:$A$263)-1))))),IF(AD134=10000,(INDEX(Tables!$D$244:$D$263,MAX(1,MIN(IFERROR(MATCH(AF134,Tables!$C$244:$C$263,1),1),ROWS(Tables!$C$244:$C$263)-1)))+(AF134-INDEX(Tables!$C$244:$C$263,MAX(1,MIN(IFERROR(MATCH(AF134,Tables!$C$244:$C$263,1),1),ROWS(Tables!$C$244:$C$263)-1))))*(INDEX(Tables!$D$244:$D$263,MAX(1,MIN(IFERROR(MATCH(AF134,Tables!$C$244:$C$263,1),1),ROWS(Tables!$C$244:$C$263)-1))+1)-INDEX(Tables!$D$244:$D$263,MAX(1,MIN(IFERROR(MATCH(AF134,Tables!$C$244:$C$263,1),1),ROWS(Tables!$C$244:$C$263)-1))))/(INDEX(Tables!$C$244:$C$263,MAX(1,MIN(IFERROR(MATCH(AF134,Tables!$C$244:$C$263,1),1),ROWS(Tables!$C$244:$C$263)-1))+1)-INDEX(Tables!$C$244:$C$263,MAX(1,MIN(IFERROR(MATCH(AF134,Tables!$C$244:$C$263,1),1),ROWS(Tables!$C$244:$C$263)-1))))),(INDEX(Tables!$F$244:$F$263,MAX(1,MIN(IFERROR(MATCH(AF134,Tables!$E$244:$E$263,1),1),ROWS(Tables!$E$244:$E$263)-1)))+(AF134-INDEX(Tables!$E$244:$E$263,MAX(1,MIN(IFERROR(MATCH(AF134,Tables!$E$244:$E$263,1),1),ROWS(Tables!$E$244:$E$263)-1))))*(INDEX(Tables!$F$244:$F$263,MAX(1,MIN(IFERROR(MATCH(AF134,Tables!$E$244:$E$263,1),1),ROWS(Tables!$E$244:$E$263)-1))+1)-INDEX(Tables!$F$244:$F$263,MAX(1,MIN(IFERROR(MATCH(AF134,Tables!$E$244:$E$263,1),1),ROWS(Tables!$E$244:$E$263)-1))))/(INDEX(Tables!$E$244:$E$263,MAX(1,MIN(IFERROR(MATCH(AF134,Tables!$E$244:$E$263,1),1),ROWS(Tables!$E$244:$E$263)-1))+1)-INDEX(Tables!$E$244:$E$263,MAX(1,MIN(IFERROR(MATCH(AF134,Tables!$E$244:$E$263,1),1),ROWS(Tables!$E$244:$E$263)-1)))))))</f>
        <v>9.7669999999999995</v>
      </c>
      <c r="AV134" s="181">
        <f>IF(P134&lt;6,(INDEX(Tables!$B$260:$B$274,MAX(1,MIN(IFERROR(MATCH(U134,Tables!$A$260:$A$274,1),1),ROWS(Tables!$A$260:$A$274)-1)))+(U134-INDEX(Tables!$A$260:$A$274,MAX(1,MIN(IFERROR(MATCH(U134,Tables!$A$260:$A$274,1),1),ROWS(Tables!$A$260:$A$274)-1))))*(INDEX(Tables!$B$260:$B$274,MAX(1,MIN(IFERROR(MATCH(U134,Tables!$A$260:$A$274,1),1),ROWS(Tables!$A$260:$A$274)-1))+1)-INDEX(Tables!$B$260:$B$274,MAX(1,MIN(IFERROR(MATCH(U134,Tables!$A$260:$A$274,1),1),ROWS(Tables!$A$260:$A$274)-1))))/(INDEX(Tables!$A$260:$A$274,MAX(1,MIN(IFERROR(MATCH(U134,Tables!$A$260:$A$274,1),1),ROWS(Tables!$A$260:$A$274)-1))+1)-INDEX(Tables!$A$260:$A$274,MAX(1,MIN(IFERROR(MATCH(U134,Tables!$A$260:$A$274,1),1),ROWS(Tables!$A$260:$A$274)-1))))),IF(P134&lt;8,(INDEX(Tables!$D$260:$D$274,MAX(1,MIN(IFERROR(MATCH(U134,Tables!$C$260:$C$274,1),1),ROWS(Tables!$C$260:$C$274)-1)))+(U134-INDEX(Tables!$C$260:$C$274,MAX(1,MIN(IFERROR(MATCH(U134,Tables!$C$260:$C$274,1),1),ROWS(Tables!$C$260:$C$274)-1))))*(INDEX(Tables!$D$260:$D$274,MAX(1,MIN(IFERROR(MATCH(U134,Tables!$C$260:$C$274,1),1),ROWS(Tables!$C$260:$C$274)-1))+1)-INDEX(Tables!$D$260:$D$274,MAX(1,MIN(IFERROR(MATCH(U134,Tables!$C$260:$C$274,1),1),ROWS(Tables!$C$260:$C$274)-1))))/(INDEX(Tables!$C$260:$C$274,MAX(1,MIN(IFERROR(MATCH(U134,Tables!$C$260:$C$274,1),1),ROWS(Tables!$C$260:$C$274)-1))+1)-INDEX(Tables!$C$260:$C$274,MAX(1,MIN(IFERROR(MATCH(U134,Tables!$C$260:$C$274,1),1),ROWS(Tables!$C$260:$C$274)-1))))),IF(P134&lt;10,(INDEX(Tables!$F$260:$F$274,MAX(1,MIN(IFERROR(MATCH(U134,Tables!$E$260:$E$274,1),1),ROWS(Tables!$E$260:$E$274)-1)))+(U134-INDEX(Tables!$E$260:$E$274,MAX(1,MIN(IFERROR(MATCH(U134,Tables!$E$260:$E$274,1),1),ROWS(Tables!$E$260:$E$274)-1))))*(INDEX(Tables!$F$260:$F$274,MAX(1,MIN(IFERROR(MATCH(U134,Tables!$E$260:$E$274,1),1),ROWS(Tables!$E$260:$E$274)-1))+1)-INDEX(Tables!$F$260:$F$274,MAX(1,MIN(IFERROR(MATCH(U134,Tables!$E$260:$E$274,1),1),ROWS(Tables!$E$260:$E$274)-1))))/(INDEX(Tables!$E$260:$E$274,MAX(1,MIN(IFERROR(MATCH(U134,Tables!$E$260:$E$274,1),1),ROWS(Tables!$E$260:$E$274)-1))+1)-INDEX(Tables!$E$260:$E$274,MAX(1,MIN(IFERROR(MATCH(U134,Tables!$E$260:$E$274,1),1),ROWS(Tables!$E$260:$E$274)-1))))),(INDEX(Tables!$H$260:$H$274,MAX(1,MIN(IFERROR(MATCH(U134,Tables!$G$260:$G$274,1),1),ROWS(Tables!$G$260:$G$274)-1)))+(U134-INDEX(Tables!$G$260:$G$274,MAX(1,MIN(IFERROR(MATCH(U134,Tables!$G$260:$G$274,1),1),ROWS(Tables!$G$260:$G$274)-1))))*(INDEX(Tables!$H$260:$H$274,MAX(1,MIN(IFERROR(MATCH(U134,Tables!$G$260:$G$274,1),1),ROWS(Tables!$G$260:$G$274)-1))+1)-INDEX(Tables!$H$260:$H$274,MAX(1,MIN(IFERROR(MATCH(U134,Tables!$G$260:$G$274,1),1),ROWS(Tables!$G$260:$G$274)-1))))/(INDEX(Tables!$G$260:$G$274,MAX(1,MIN(IFERROR(MATCH(U134,Tables!$G$260:$G$274,1),1),ROWS(Tables!$G$260:$G$274)-1))+1)-INDEX(Tables!$G$260:$G$274,MAX(1,MIN(IFERROR(MATCH(U134,Tables!$G$260:$G$274,1),1),ROWS(Tables!$G$260:$G$274)-1))))))))</f>
        <v>0.45700000000000002</v>
      </c>
      <c r="AW134" s="181">
        <f t="shared" si="137"/>
        <v>241.77394583333333</v>
      </c>
      <c r="AX134" s="181">
        <f t="shared" si="138"/>
        <v>47500</v>
      </c>
      <c r="AY134" s="181">
        <f t="shared" si="139"/>
        <v>70232.322691661509</v>
      </c>
      <c r="AZ134" s="181">
        <f t="shared" si="140"/>
        <v>21213.097667033333</v>
      </c>
      <c r="BA134" s="181">
        <f t="shared" si="141"/>
        <v>-1000</v>
      </c>
      <c r="BB134" s="181">
        <f t="shared" si="142"/>
        <v>63128.242198041953</v>
      </c>
      <c r="BC134" s="181">
        <f t="shared" si="143"/>
        <v>46800</v>
      </c>
      <c r="BD134" s="181">
        <f>VLOOKUP(V134&amp;" "&amp;J134,Tables!$A$152:$E$239,4,FALSE)</f>
        <v>12000</v>
      </c>
      <c r="BE134" s="181">
        <f>VLOOKUP(V134&amp;" "&amp;J134,Tables!$A$152:$E$239,5,FALSE)</f>
        <v>23000</v>
      </c>
      <c r="BF134" s="181">
        <f t="shared" si="144"/>
        <v>8640</v>
      </c>
      <c r="BG134" s="181">
        <f t="shared" si="145"/>
        <v>16560</v>
      </c>
      <c r="BH134" s="181">
        <f t="shared" si="146"/>
        <v>48000</v>
      </c>
      <c r="BI134" s="181">
        <f t="shared" si="147"/>
        <v>46800</v>
      </c>
      <c r="BJ134" s="181">
        <f t="shared" si="148"/>
        <v>63128.242198041953</v>
      </c>
      <c r="BK134" s="181">
        <f t="shared" si="149"/>
        <v>46800</v>
      </c>
      <c r="BL134" s="181">
        <f t="shared" si="150"/>
        <v>241.77394583333333</v>
      </c>
      <c r="BM134" s="181">
        <f t="shared" si="151"/>
        <v>8640</v>
      </c>
      <c r="BN134" s="181">
        <f t="shared" si="152"/>
        <v>327.91028766149867</v>
      </c>
      <c r="BO134" s="181">
        <f t="shared" si="153"/>
        <v>16560</v>
      </c>
      <c r="BP134" t="str">
        <f t="shared" si="154"/>
        <v>Fail</v>
      </c>
      <c r="BQ134" t="str">
        <f t="shared" si="155"/>
        <v>Fail</v>
      </c>
      <c r="BR134" t="str">
        <f t="shared" si="156"/>
        <v>Pass</v>
      </c>
      <c r="BS134" t="str">
        <f t="shared" si="157"/>
        <v>Pass</v>
      </c>
      <c r="BT134" t="str">
        <f t="shared" si="158"/>
        <v>Fail</v>
      </c>
      <c r="BU134" t="str">
        <f t="shared" si="159"/>
        <v>Effective Stress</v>
      </c>
    </row>
    <row r="135" spans="1:73">
      <c r="A135" t="s">
        <v>727</v>
      </c>
      <c r="B135" s="181">
        <v>133</v>
      </c>
      <c r="C135" t="s">
        <v>594</v>
      </c>
      <c r="D135" s="181">
        <v>6</v>
      </c>
      <c r="E135" s="181">
        <v>0.14699999999999999</v>
      </c>
      <c r="F135" t="s">
        <v>117</v>
      </c>
      <c r="G135" t="s">
        <v>119</v>
      </c>
      <c r="H135" t="s">
        <v>122</v>
      </c>
      <c r="I135" s="181">
        <v>1</v>
      </c>
      <c r="J135" t="s">
        <v>126</v>
      </c>
      <c r="K135" t="s">
        <v>129</v>
      </c>
      <c r="L135" s="181">
        <v>70</v>
      </c>
      <c r="M135" s="181">
        <v>1000</v>
      </c>
      <c r="N135" t="s">
        <v>141</v>
      </c>
      <c r="O135" s="181">
        <v>120</v>
      </c>
      <c r="P135" s="181">
        <v>1</v>
      </c>
      <c r="Q135" s="181">
        <v>8.625</v>
      </c>
      <c r="R135" t="s">
        <v>418</v>
      </c>
      <c r="S135" t="s">
        <v>420</v>
      </c>
      <c r="T135" s="181">
        <v>70</v>
      </c>
      <c r="U135" s="181">
        <f>HLOOKUP(D135,'Highway Loading'!$C$155:$AD$156,2,FALSE)</f>
        <v>6.625</v>
      </c>
      <c r="V135" s="181">
        <f>IF(ISBLANK(G135),"",INDEX('Highway Loading'!$C$216:$AG$216,1,MATCH(G135,'Highway Loading'!$C$215:$AG$215,0)))</f>
        <v>65000</v>
      </c>
      <c r="W135" s="181">
        <f>INDEX('Highway Loading'!$I$245:$L$253,MATCH(H135,'Highway Loading'!$H$245:$H$253,0),MATCH(I135,'Highway Loading'!$I$244:$L$244,0))</f>
        <v>0.72</v>
      </c>
      <c r="X135" s="181">
        <f t="shared" si="128"/>
        <v>1</v>
      </c>
      <c r="Y135" s="181">
        <f>VLOOKUP(K135,'Highway Loading'!$B$283:$E$292,2,FALSE)</f>
        <v>29000000</v>
      </c>
      <c r="Z135" s="181">
        <f>VLOOKUP(K135,'Highway Loading'!$B$283:$E$292,3,FALSE)</f>
        <v>0.3</v>
      </c>
      <c r="AA135" s="181">
        <f>VLOOKUP(K135,'Highway Loading'!$B$283:$E$292,4,FALSE)</f>
        <v>6.4999999999999996E-6</v>
      </c>
      <c r="AB135" s="181">
        <f t="shared" si="129"/>
        <v>1</v>
      </c>
      <c r="AC135" s="181">
        <f>VLOOKUP(N135,'Highway Loading'!$B$256:$D$261,2,FALSE)</f>
        <v>500</v>
      </c>
      <c r="AD135" s="181">
        <f>VLOOKUP(N135,'Highway Loading'!$B$256:$D$261,3,FALSE)</f>
        <v>10000</v>
      </c>
      <c r="AE135" s="181">
        <f>VLOOKUP(S135,'Highway Loading'!$B$340:$C$341,2,FALSE)</f>
        <v>12000</v>
      </c>
      <c r="AF135" s="181">
        <f t="shared" si="130"/>
        <v>2.2188679245283019E-2</v>
      </c>
      <c r="AG135" s="181">
        <f t="shared" si="131"/>
        <v>1.3913043478260869</v>
      </c>
      <c r="AH135" s="181">
        <f t="shared" si="132"/>
        <v>1.3018867924528301</v>
      </c>
      <c r="AI135" s="181">
        <f t="shared" si="133"/>
        <v>22534.013605442178</v>
      </c>
      <c r="AJ135" s="181">
        <f t="shared" si="134"/>
        <v>46800</v>
      </c>
      <c r="AK135" s="181">
        <f>IF(AC135=200,(INDEX(Tables!$B$17:$B$38,MAX(1,MIN(IFERROR(MATCH(AF135,Tables!$A$17:$A$38,1),1),ROWS(Tables!$A$17:$A$38)-1)))+(AF135-INDEX(Tables!$A$17:$A$38,MAX(1,MIN(IFERROR(MATCH(AF135,Tables!$A$17:$A$38,1),1),ROWS(Tables!$A$17:$A$38)-1))))*(INDEX(Tables!$B$17:$B$38,MAX(1,MIN(IFERROR(MATCH(AF135,Tables!$A$17:$A$38,1),1),ROWS(Tables!$A$17:$A$38)-1))+1)-INDEX(Tables!$B$17:$B$38,MAX(1,MIN(IFERROR(MATCH(AF135,Tables!$A$17:$A$38,1),1),ROWS(Tables!$A$17:$A$38)-1))))/(INDEX(Tables!$A$17:$A$38,MAX(1,MIN(IFERROR(MATCH(AF135,Tables!$A$17:$A$38,1),1),ROWS(Tables!$A$17:$A$38)-1))+1)-INDEX(Tables!$A$17:$A$38,MAX(1,MIN(IFERROR(MATCH(AF135,Tables!$A$17:$A$38,1),1),ROWS(Tables!$A$17:$A$38)-1))))),IF(AC135=500,(INDEX(Tables!$D$17:$D$38,MAX(1,MIN(IFERROR(MATCH(AF135,Tables!$C$17:$C$38,1),1),ROWS(Tables!$C$17:$C$38)-1)))+(AF135-INDEX(Tables!$C$17:$C$38,MAX(1,MIN(IFERROR(MATCH(AF135,Tables!$C$17:$C$38,1),1),ROWS(Tables!$C$17:$C$38)-1))))*(INDEX(Tables!$D$17:$D$38,MAX(1,MIN(IFERROR(MATCH(AF135,Tables!$C$17:$C$38,1),1),ROWS(Tables!$C$17:$C$38)-1))+1)-INDEX(Tables!$D$17:$D$38,MAX(1,MIN(IFERROR(MATCH(AF135,Tables!$C$17:$C$38,1),1),ROWS(Tables!$C$17:$C$38)-1))))/(INDEX(Tables!$C$17:$C$38,MAX(1,MIN(IFERROR(MATCH(AF135,Tables!$C$17:$C$38,1),1),ROWS(Tables!$C$17:$C$38)-1))+1)-INDEX(Tables!$C$17:$C$38,MAX(1,MIN(IFERROR(MATCH(AF135,Tables!$C$17:$C$38,1),1),ROWS(Tables!$C$17:$C$38)-1))))),IF(AC135=1000,(INDEX(Tables!$F$17:$F$38,MAX(1,MIN(IFERROR(MATCH(AF135,Tables!$E$17:$E$38,1),1),ROWS(Tables!$E$17:$E$38)-1)))+(AF135-INDEX(Tables!$E$17:$E$38,MAX(1,MIN(IFERROR(MATCH(AF135,Tables!$E$17:$E$38,1),1),ROWS(Tables!$E$17:$E$38)-1))))*(INDEX(Tables!$F$17:$F$38,MAX(1,MIN(IFERROR(MATCH(AF135,Tables!$E$17:$E$38,1),1),ROWS(Tables!$E$17:$E$38)-1))+1)-INDEX(Tables!$F$17:$F$38,MAX(1,MIN(IFERROR(MATCH(AF135,Tables!$E$17:$E$38,1),1),ROWS(Tables!$E$17:$E$38)-1))))/(INDEX(Tables!$E$17:$E$38,MAX(1,MIN(IFERROR(MATCH(AF135,Tables!$E$17:$E$38,1),1),ROWS(Tables!$E$17:$E$38)-1))+1)-INDEX(Tables!$E$17:$E$38,MAX(1,MIN(IFERROR(MATCH(AF135,Tables!$E$17:$E$38,1),1),ROWS(Tables!$E$17:$E$38)-1))))),(INDEX(Tables!$H$17:$H$38,MAX(1,MIN(IFERROR(MATCH(AF135,Tables!$G$17:$G$38,1),1),ROWS(Tables!$G$17:$G$38)-1)))+(AF135-INDEX(Tables!$G$17:$G$38,MAX(1,MIN(IFERROR(MATCH(AF135,Tables!$G$17:$G$38,1),1),ROWS(Tables!$G$17:$G$38)-1))))*(INDEX(Tables!$H$17:$H$38,MAX(1,MIN(IFERROR(MATCH(AF135,Tables!$G$17:$G$38,1),1),ROWS(Tables!$G$17:$G$38)-1))+1)-INDEX(Tables!$H$17:$H$38,MAX(1,MIN(IFERROR(MATCH(AF135,Tables!$G$17:$G$38,1),1),ROWS(Tables!$G$17:$G$38)-1))))/(INDEX(Tables!$G$17:$G$38,MAX(1,MIN(IFERROR(MATCH(AF135,Tables!$G$17:$G$38,1),1),ROWS(Tables!$G$17:$G$38)-1))+1)-INDEX(Tables!$G$17:$G$38,MAX(1,MIN(IFERROR(MATCH(AF135,Tables!$G$17:$G$38,1),1),ROWS(Tables!$G$17:$G$38)-1))))))))</f>
        <v>2216.0716981132077</v>
      </c>
      <c r="AL135" s="181">
        <f>IF(AC135&lt;1000,(INDEX(Tables!$B$43:$B$76,MAX(1,MIN(IFERROR(MATCH(AG135,Tables!$A$43:$A$76,1),1),ROWS(Tables!$A$43:$A$76)-1)))+(AG135-INDEX(Tables!$A$43:$A$76,MAX(1,MIN(IFERROR(MATCH(AG135,Tables!$A$43:$A$76,1),1),ROWS(Tables!$A$43:$A$76)-1))))*(INDEX(Tables!$B$43:$B$76,MAX(1,MIN(IFERROR(MATCH(AG135,Tables!$A$43:$A$76,1),1),ROWS(Tables!$A$43:$A$76)-1))+1)-INDEX(Tables!$B$43:$B$76,MAX(1,MIN(IFERROR(MATCH(AG135,Tables!$A$43:$A$76,1),1),ROWS(Tables!$A$43:$A$76)-1))))/(INDEX(Tables!$A$43:$A$76,MAX(1,MIN(IFERROR(MATCH(AG135,Tables!$A$43:$A$76,1),1),ROWS(Tables!$A$43:$A$76)-1))+1)-INDEX(Tables!$A$43:$A$76,MAX(1,MIN(IFERROR(MATCH(AG135,Tables!$A$43:$A$76,1),1),ROWS(Tables!$A$43:$A$76)-1))))),(INDEX(Tables!$D$43:$D$76,MAX(1,MIN(IFERROR(MATCH(AG135,Tables!$C$43:$C$76,1),1),ROWS(Tables!$C$43:$C$76)-1)))+(AG135-INDEX(Tables!$C$43:$C$76,MAX(1,MIN(IFERROR(MATCH(AG135,Tables!$C$43:$C$76,1),1),ROWS(Tables!$C$43:$C$76)-1))))*(INDEX(Tables!$D$43:$D$76,MAX(1,MIN(IFERROR(MATCH(AG135,Tables!$C$43:$C$76,1),1),ROWS(Tables!$C$43:$C$76)-1))+1)-INDEX(Tables!$D$43:$D$76,MAX(1,MIN(IFERROR(MATCH(AG135,Tables!$C$43:$C$76,1),1),ROWS(Tables!$C$43:$C$76)-1))))/(INDEX(Tables!$C$43:$C$76,MAX(1,MIN(IFERROR(MATCH(AG135,Tables!$C$43:$C$76,1),1),ROWS(Tables!$C$43:$C$76)-1))+1)-INDEX(Tables!$C$43:$C$76,MAX(1,MIN(IFERROR(MATCH(AG135,Tables!$C$43:$C$76,1),1),ROWS(Tables!$C$43:$C$76)-1))))))</f>
        <v>0.44739130434782609</v>
      </c>
      <c r="AM135" s="181">
        <f>(INDEX(Tables!$B$80:$B$87,MAX(1,MIN(IFERROR(MATCH(AH135,Tables!$A$80:$A$87,1),1),ROWS(Tables!$A$80:$A$87)-1)))+(AH135-INDEX(Tables!$A$80:$A$87,MAX(1,MIN(IFERROR(MATCH(AH135,Tables!$A$80:$A$87,1),1),ROWS(Tables!$A$80:$A$87)-1))))*(INDEX(Tables!$B$80:$B$87,MAX(1,MIN(IFERROR(MATCH(AH135,Tables!$A$80:$A$87,1),1),ROWS(Tables!$A$80:$A$87)-1))+1)-INDEX(Tables!$B$80:$B$87,MAX(1,MIN(IFERROR(MATCH(AH135,Tables!$A$80:$A$87,1),1),ROWS(Tables!$A$80:$A$87)-1))))/(INDEX(Tables!$A$80:$A$87,MAX(1,MIN(IFERROR(MATCH(AH135,Tables!$A$80:$A$87,1),1),ROWS(Tables!$A$80:$A$87)-1))+1)-INDEX(Tables!$A$80:$A$87,MAX(1,MIN(IFERROR(MATCH(AH135,Tables!$A$80:$A$87,1),1),ROWS(Tables!$A$80:$A$87)-1)))))</f>
        <v>1.403996226415094</v>
      </c>
      <c r="AN135" s="181">
        <f t="shared" si="135"/>
        <v>640.41379310554237</v>
      </c>
      <c r="AO135" s="181">
        <f>(INDEX(Tables!$B$91:$B$94,MAX(1,MIN(IFERROR(MATCH(P135,Tables!$A$91:$A$94,1),1),ROWS(Tables!$A$91:$A$94)-1)))+(P135-INDEX(Tables!$A$91:$A$94,MAX(1,MIN(IFERROR(MATCH(P135,Tables!$A$91:$A$94,1),1),ROWS(Tables!$A$91:$A$94)-1))))*(INDEX(Tables!$B$91:$B$94,MAX(1,MIN(IFERROR(MATCH(P135,Tables!$A$91:$A$94,1),1),ROWS(Tables!$A$91:$A$94)-1))+1)-INDEX(Tables!$B$91:$B$94,MAX(1,MIN(IFERROR(MATCH(P135,Tables!$A$91:$A$94,1),1),ROWS(Tables!$A$91:$A$94)-1))))/(INDEX(Tables!$A$91:$A$94,MAX(1,MIN(IFERROR(MATCH(P135,Tables!$A$91:$A$94,1),1),ROWS(Tables!$A$91:$A$94)-1))+1)-INDEX(Tables!$A$91:$A$94,MAX(1,MIN(IFERROR(MATCH(P135,Tables!$A$91:$A$94,1),1),ROWS(Tables!$A$91:$A$94)-1)))))</f>
        <v>1.5</v>
      </c>
      <c r="AP135" s="181">
        <f>IF(AD135=5000,(INDEX(Tables!$B$99:$B$118,MAX(1,MIN(IFERROR(MATCH(AF135,Tables!$A$99:$A$118,1),1),ROWS(Tables!$A$99:$A$118)-1)))+(AF135-INDEX(Tables!$A$99:$A$118,MAX(1,MIN(IFERROR(MATCH(AF135,Tables!$A$99:$A$118,1),1),ROWS(Tables!$A$99:$A$118)-1))))*(INDEX(Tables!$B$99:$B$118,MAX(1,MIN(IFERROR(MATCH(AF135,Tables!$A$99:$A$118,1),1),ROWS(Tables!$A$99:$A$118)-1))+1)-INDEX(Tables!$B$99:$B$118,MAX(1,MIN(IFERROR(MATCH(AF135,Tables!$A$99:$A$118,1),1),ROWS(Tables!$A$99:$A$118)-1))))/(INDEX(Tables!$A$99:$A$118,MAX(1,MIN(IFERROR(MATCH(AF135,Tables!$A$99:$A$118,1),1),ROWS(Tables!$A$99:$A$118)-1))+1)-INDEX(Tables!$A$99:$A$118,MAX(1,MIN(IFERROR(MATCH(AF135,Tables!$A$99:$A$118,1),1),ROWS(Tables!$A$99:$A$118)-1))))),IF(AD135=10000,(INDEX(Tables!$D$99:$D$118,MAX(1,MIN(IFERROR(MATCH(AF135,Tables!$C$99:$C$118,1),1),ROWS(Tables!$C$99:$C$118)-1)))+(AF135-INDEX(Tables!$C$99:$C$118,MAX(1,MIN(IFERROR(MATCH(AF135,Tables!$C$99:$C$118,1),1),ROWS(Tables!$C$99:$C$118)-1))))*(INDEX(Tables!$D$99:$D$118,MAX(1,MIN(IFERROR(MATCH(AF135,Tables!$C$99:$C$118,1),1),ROWS(Tables!$C$99:$C$118)-1))+1)-INDEX(Tables!$D$99:$D$118,MAX(1,MIN(IFERROR(MATCH(AF135,Tables!$C$99:$C$118,1),1),ROWS(Tables!$C$99:$C$118)-1))))/(INDEX(Tables!$C$99:$C$118,MAX(1,MIN(IFERROR(MATCH(AF135,Tables!$C$99:$C$118,1),1),ROWS(Tables!$C$99:$C$118)-1))+1)-INDEX(Tables!$C$99:$C$118,MAX(1,MIN(IFERROR(MATCH(AF135,Tables!$C$99:$C$118,1),1),ROWS(Tables!$C$99:$C$118)-1))))),(INDEX(Tables!$F$99:$F$118,MAX(1,MIN(IFERROR(MATCH(AF135,Tables!$E$99:$E$118,1),1),ROWS(Tables!$E$99:$E$118)-1)))+(AF135-INDEX(Tables!$E$99:$E$118,MAX(1,MIN(IFERROR(MATCH(AF135,Tables!$E$99:$E$118,1),1),ROWS(Tables!$E$99:$E$118)-1))))*(INDEX(Tables!$F$99:$F$118,MAX(1,MIN(IFERROR(MATCH(AF135,Tables!$E$99:$E$118,1),1),ROWS(Tables!$E$99:$E$118)-1))+1)-INDEX(Tables!$F$99:$F$118,MAX(1,MIN(IFERROR(MATCH(AF135,Tables!$E$99:$E$118,1),1),ROWS(Tables!$E$99:$E$118)-1))))/(INDEX(Tables!$E$99:$E$118,MAX(1,MIN(IFERROR(MATCH(AF135,Tables!$E$99:$E$118,1),1),ROWS(Tables!$E$99:$E$118)-1))+1)-INDEX(Tables!$E$99:$E$118,MAX(1,MIN(IFERROR(MATCH(AF135,Tables!$E$99:$E$118,1),1),ROWS(Tables!$E$99:$E$118)-1)))))))</f>
        <v>13.310853692457467</v>
      </c>
      <c r="AQ135" s="181">
        <f>IF(P135&lt;6,(INDEX(Tables!$B$123:$B$138,MAX(1,MIN(IFERROR(MATCH(U135,Tables!$A$123:$A$138,1),1),ROWS(Tables!$A$123:$A$138)-1)))+(U135-INDEX(Tables!$A$123:$A$138,MAX(1,MIN(IFERROR(MATCH(U135,Tables!$A$123:$A$138,1),1),ROWS(Tables!$A$123:$A$138)-1))))*(INDEX(Tables!$B$123:$B$138,MAX(1,MIN(IFERROR(MATCH(U135,Tables!$A$123:$A$138,1),1),ROWS(Tables!$A$123:$A$138)-1))+1)-INDEX(Tables!$B$123:$B$138,MAX(1,MIN(IFERROR(MATCH(U135,Tables!$A$123:$A$138,1),1),ROWS(Tables!$A$123:$A$138)-1))))/(INDEX(Tables!$A$123:$A$138,MAX(1,MIN(IFERROR(MATCH(U135,Tables!$A$123:$A$138,1),1),ROWS(Tables!$A$123:$A$138)-1))+1)-INDEX(Tables!$A$123:$A$138,MAX(1,MIN(IFERROR(MATCH(U135,Tables!$A$123:$A$138,1),1),ROWS(Tables!$A$123:$A$138)-1))))),IF(P135&lt;8,(INDEX(Tables!$D$123:$D$138,MAX(1,MIN(IFERROR(MATCH(U135,Tables!$C$123:$C$138,1),1),ROWS(Tables!$C$123:$C$138)-1)))+(U135-INDEX(Tables!$C$123:$C$138,MAX(1,MIN(IFERROR(MATCH(U135,Tables!$C$123:$C$138,1),1),ROWS(Tables!$C$123:$C$138)-1))))*(INDEX(Tables!$D$123:$D$138,MAX(1,MIN(IFERROR(MATCH(U135,Tables!$C$123:$C$138,1),1),ROWS(Tables!$C$123:$C$138)-1))+1)-INDEX(Tables!$D$123:$D$138,MAX(1,MIN(IFERROR(MATCH(U135,Tables!$C$123:$C$138,1),1),ROWS(Tables!$C$123:$C$138)-1))))/(INDEX(Tables!$C$123:$C$138,MAX(1,MIN(IFERROR(MATCH(U135,Tables!$C$123:$C$138,1),1),ROWS(Tables!$C$123:$C$138)-1))+1)-INDEX(Tables!$C$123:$C$138,MAX(1,MIN(IFERROR(MATCH(U135,Tables!$C$123:$C$138,1),1),ROWS(Tables!$C$123:$C$138)-1))))),IF(P135&lt;10,(INDEX(Tables!$F$123:$F$138,MAX(1,MIN(IFERROR(MATCH(U135,Tables!$E$123:$E$138,1),1),ROWS(Tables!$E$123:$E$138)-1)))+(U135-INDEX(Tables!$E$123:$E$138,MAX(1,MIN(IFERROR(MATCH(U135,Tables!$E$123:$E$138,1),1),ROWS(Tables!$E$123:$E$138)-1))))*(INDEX(Tables!$F$123:$F$138,MAX(1,MIN(IFERROR(MATCH(U135,Tables!$E$123:$E$138,1),1),ROWS(Tables!$E$123:$E$138)-1))+1)-INDEX(Tables!$F$123:$F$138,MAX(1,MIN(IFERROR(MATCH(U135,Tables!$E$123:$E$138,1),1),ROWS(Tables!$E$123:$E$138)-1))))/(INDEX(Tables!$E$123:$E$138,MAX(1,MIN(IFERROR(MATCH(U135,Tables!$E$123:$E$138,1),1),ROWS(Tables!$E$123:$E$138)-1))+1)-INDEX(Tables!$E$123:$E$138,MAX(1,MIN(IFERROR(MATCH(U135,Tables!$E$123:$E$138,1),1),ROWS(Tables!$E$123:$E$138)-1))))),(INDEX(Tables!$H$123:$H$138,MAX(1,MIN(IFERROR(MATCH(U135,Tables!$G$123:$G$138,1),1),ROWS(Tables!$G$123:$G$138)-1)))+(U135-INDEX(Tables!$G$123:$G$138,MAX(1,MIN(IFERROR(MATCH(U135,Tables!$G$123:$G$138,1),1),ROWS(Tables!$G$123:$G$138)-1))))*(INDEX(Tables!$H$123:$H$138,MAX(1,MIN(IFERROR(MATCH(U135,Tables!$G$123:$G$138,1),1),ROWS(Tables!$G$123:$G$138)-1))+1)-INDEX(Tables!$H$123:$H$138,MAX(1,MIN(IFERROR(MATCH(U135,Tables!$G$123:$G$138,1),1),ROWS(Tables!$G$123:$G$138)-1))))/(INDEX(Tables!$G$123:$G$138,MAX(1,MIN(IFERROR(MATCH(U135,Tables!$G$123:$G$138,1),1),ROWS(Tables!$G$123:$G$138)-1))+1)-INDEX(Tables!$G$123:$G$138,MAX(1,MIN(IFERROR(MATCH(U135,Tables!$G$123:$G$138,1),1),ROWS(Tables!$G$123:$G$138)-1))))))))</f>
        <v>1.4501250000000001</v>
      </c>
      <c r="AR135" s="181">
        <f>IF(OR(P135&gt;=4,U135&gt;12),VLOOKUP(R135&amp;" "&amp;S135,Tables!$D$143:$F$148,2,FALSE),VLOOKUP(R135&amp;" "&amp;S135,Tables!$A$143:$C$148,2,FALSE))</f>
        <v>0.9</v>
      </c>
      <c r="AS135" s="181">
        <f>IF(OR(P135&gt;=4,U135&gt;12),VLOOKUP(R135&amp;" "&amp;S135,Tables!$D$143:$F$148,3,FALSE),VLOOKUP(R135&amp;" "&amp;S135,Tables!$A$143:$C$148,3,FALSE))</f>
        <v>0.65</v>
      </c>
      <c r="AT135" s="181">
        <f t="shared" si="136"/>
        <v>1411.4881251004135</v>
      </c>
      <c r="AU135" s="181">
        <f>IF(AD135=5000,(INDEX(Tables!$B$244:$B$263,MAX(1,MIN(IFERROR(MATCH(AF135,Tables!$A$244:$A$263,1),1),ROWS(Tables!$A$244:$A$263)-1)))+(AF135-INDEX(Tables!$A$244:$A$263,MAX(1,MIN(IFERROR(MATCH(AF135,Tables!$A$244:$A$263,1),1),ROWS(Tables!$A$244:$A$263)-1))))*(INDEX(Tables!$B$244:$B$263,MAX(1,MIN(IFERROR(MATCH(AF135,Tables!$A$244:$A$263,1),1),ROWS(Tables!$A$244:$A$263)-1))+1)-INDEX(Tables!$B$244:$B$263,MAX(1,MIN(IFERROR(MATCH(AF135,Tables!$A$244:$A$263,1),1),ROWS(Tables!$A$244:$A$263)-1))))/(INDEX(Tables!$A$244:$A$263,MAX(1,MIN(IFERROR(MATCH(AF135,Tables!$A$244:$A$263,1),1),ROWS(Tables!$A$244:$A$263)-1))+1)-INDEX(Tables!$A$244:$A$263,MAX(1,MIN(IFERROR(MATCH(AF135,Tables!$A$244:$A$263,1),1),ROWS(Tables!$A$244:$A$263)-1))))),IF(AD135=10000,(INDEX(Tables!$D$244:$D$263,MAX(1,MIN(IFERROR(MATCH(AF135,Tables!$C$244:$C$263,1),1),ROWS(Tables!$C$244:$C$263)-1)))+(AF135-INDEX(Tables!$C$244:$C$263,MAX(1,MIN(IFERROR(MATCH(AF135,Tables!$C$244:$C$263,1),1),ROWS(Tables!$C$244:$C$263)-1))))*(INDEX(Tables!$D$244:$D$263,MAX(1,MIN(IFERROR(MATCH(AF135,Tables!$C$244:$C$263,1),1),ROWS(Tables!$C$244:$C$263)-1))+1)-INDEX(Tables!$D$244:$D$263,MAX(1,MIN(IFERROR(MATCH(AF135,Tables!$C$244:$C$263,1),1),ROWS(Tables!$C$244:$C$263)-1))))/(INDEX(Tables!$C$244:$C$263,MAX(1,MIN(IFERROR(MATCH(AF135,Tables!$C$244:$C$263,1),1),ROWS(Tables!$C$244:$C$263)-1))+1)-INDEX(Tables!$C$244:$C$263,MAX(1,MIN(IFERROR(MATCH(AF135,Tables!$C$244:$C$263,1),1),ROWS(Tables!$C$244:$C$263)-1))))),(INDEX(Tables!$F$244:$F$263,MAX(1,MIN(IFERROR(MATCH(AF135,Tables!$E$244:$E$263,1),1),ROWS(Tables!$E$244:$E$263)-1)))+(AF135-INDEX(Tables!$E$244:$E$263,MAX(1,MIN(IFERROR(MATCH(AF135,Tables!$E$244:$E$263,1),1),ROWS(Tables!$E$244:$E$263)-1))))*(INDEX(Tables!$F$244:$F$263,MAX(1,MIN(IFERROR(MATCH(AF135,Tables!$E$244:$E$263,1),1),ROWS(Tables!$E$244:$E$263)-1))+1)-INDEX(Tables!$F$244:$F$263,MAX(1,MIN(IFERROR(MATCH(AF135,Tables!$E$244:$E$263,1),1),ROWS(Tables!$E$244:$E$263)-1))))/(INDEX(Tables!$E$244:$E$263,MAX(1,MIN(IFERROR(MATCH(AF135,Tables!$E$244:$E$263,1),1),ROWS(Tables!$E$244:$E$263)-1))+1)-INDEX(Tables!$E$244:$E$263,MAX(1,MIN(IFERROR(MATCH(AF135,Tables!$E$244:$E$263,1),1),ROWS(Tables!$E$244:$E$263)-1)))))))</f>
        <v>9.5004188679245285</v>
      </c>
      <c r="AV135" s="181">
        <f>IF(P135&lt;6,(INDEX(Tables!$B$260:$B$274,MAX(1,MIN(IFERROR(MATCH(U135,Tables!$A$260:$A$274,1),1),ROWS(Tables!$A$260:$A$274)-1)))+(U135-INDEX(Tables!$A$260:$A$274,MAX(1,MIN(IFERROR(MATCH(U135,Tables!$A$260:$A$274,1),1),ROWS(Tables!$A$260:$A$274)-1))))*(INDEX(Tables!$B$260:$B$274,MAX(1,MIN(IFERROR(MATCH(U135,Tables!$A$260:$A$274,1),1),ROWS(Tables!$A$260:$A$274)-1))+1)-INDEX(Tables!$B$260:$B$274,MAX(1,MIN(IFERROR(MATCH(U135,Tables!$A$260:$A$274,1),1),ROWS(Tables!$A$260:$A$274)-1))))/(INDEX(Tables!$A$260:$A$274,MAX(1,MIN(IFERROR(MATCH(U135,Tables!$A$260:$A$274,1),1),ROWS(Tables!$A$260:$A$274)-1))+1)-INDEX(Tables!$A$260:$A$274,MAX(1,MIN(IFERROR(MATCH(U135,Tables!$A$260:$A$274,1),1),ROWS(Tables!$A$260:$A$274)-1))))),IF(P135&lt;8,(INDEX(Tables!$D$260:$D$274,MAX(1,MIN(IFERROR(MATCH(U135,Tables!$C$260:$C$274,1),1),ROWS(Tables!$C$260:$C$274)-1)))+(U135-INDEX(Tables!$C$260:$C$274,MAX(1,MIN(IFERROR(MATCH(U135,Tables!$C$260:$C$274,1),1),ROWS(Tables!$C$260:$C$274)-1))))*(INDEX(Tables!$D$260:$D$274,MAX(1,MIN(IFERROR(MATCH(U135,Tables!$C$260:$C$274,1),1),ROWS(Tables!$C$260:$C$274)-1))+1)-INDEX(Tables!$D$260:$D$274,MAX(1,MIN(IFERROR(MATCH(U135,Tables!$C$260:$C$274,1),1),ROWS(Tables!$C$260:$C$274)-1))))/(INDEX(Tables!$C$260:$C$274,MAX(1,MIN(IFERROR(MATCH(U135,Tables!$C$260:$C$274,1),1),ROWS(Tables!$C$260:$C$274)-1))+1)-INDEX(Tables!$C$260:$C$274,MAX(1,MIN(IFERROR(MATCH(U135,Tables!$C$260:$C$274,1),1),ROWS(Tables!$C$260:$C$274)-1))))),IF(P135&lt;10,(INDEX(Tables!$F$260:$F$274,MAX(1,MIN(IFERROR(MATCH(U135,Tables!$E$260:$E$274,1),1),ROWS(Tables!$E$260:$E$274)-1)))+(U135-INDEX(Tables!$E$260:$E$274,MAX(1,MIN(IFERROR(MATCH(U135,Tables!$E$260:$E$274,1),1),ROWS(Tables!$E$260:$E$274)-1))))*(INDEX(Tables!$F$260:$F$274,MAX(1,MIN(IFERROR(MATCH(U135,Tables!$E$260:$E$274,1),1),ROWS(Tables!$E$260:$E$274)-1))+1)-INDEX(Tables!$F$260:$F$274,MAX(1,MIN(IFERROR(MATCH(U135,Tables!$E$260:$E$274,1),1),ROWS(Tables!$E$260:$E$274)-1))))/(INDEX(Tables!$E$260:$E$274,MAX(1,MIN(IFERROR(MATCH(U135,Tables!$E$260:$E$274,1),1),ROWS(Tables!$E$260:$E$274)-1))+1)-INDEX(Tables!$E$260:$E$274,MAX(1,MIN(IFERROR(MATCH(U135,Tables!$E$260:$E$274,1),1),ROWS(Tables!$E$260:$E$274)-1))))),(INDEX(Tables!$H$260:$H$274,MAX(1,MIN(IFERROR(MATCH(U135,Tables!$G$260:$G$274,1),1),ROWS(Tables!$G$260:$G$274)-1)))+(U135-INDEX(Tables!$G$260:$G$274,MAX(1,MIN(IFERROR(MATCH(U135,Tables!$G$260:$G$274,1),1),ROWS(Tables!$G$260:$G$274)-1))))*(INDEX(Tables!$H$260:$H$274,MAX(1,MIN(IFERROR(MATCH(U135,Tables!$G$260:$G$274,1),1),ROWS(Tables!$G$260:$G$274)-1))+1)-INDEX(Tables!$H$260:$H$274,MAX(1,MIN(IFERROR(MATCH(U135,Tables!$G$260:$G$274,1),1),ROWS(Tables!$G$260:$G$274)-1))))/(INDEX(Tables!$G$260:$G$274,MAX(1,MIN(IFERROR(MATCH(U135,Tables!$G$260:$G$274,1),1),ROWS(Tables!$G$260:$G$274)-1))+1)-INDEX(Tables!$G$260:$G$274,MAX(1,MIN(IFERROR(MATCH(U135,Tables!$G$260:$G$274,1),1),ROWS(Tables!$G$260:$G$274)-1))))))))</f>
        <v>1.4965000000000002</v>
      </c>
      <c r="AW135" s="181">
        <f t="shared" si="137"/>
        <v>1039.6456811214625</v>
      </c>
      <c r="AX135" s="181">
        <f t="shared" si="138"/>
        <v>22034.013605442178</v>
      </c>
      <c r="AY135" s="181">
        <f t="shared" si="139"/>
        <v>24085.915523648135</v>
      </c>
      <c r="AZ135" s="181">
        <f t="shared" si="140"/>
        <v>7841.9739006857781</v>
      </c>
      <c r="BA135" s="181">
        <f t="shared" si="141"/>
        <v>-1000</v>
      </c>
      <c r="BB135" s="181">
        <f t="shared" si="142"/>
        <v>22038.027356937233</v>
      </c>
      <c r="BC135" s="181">
        <f t="shared" si="143"/>
        <v>46800</v>
      </c>
      <c r="BD135" s="181">
        <f>VLOOKUP(V135&amp;" "&amp;J135,Tables!$A$152:$E$239,4,FALSE)</f>
        <v>12000</v>
      </c>
      <c r="BE135" s="181">
        <f>VLOOKUP(V135&amp;" "&amp;J135,Tables!$A$152:$E$239,5,FALSE)</f>
        <v>23000</v>
      </c>
      <c r="BF135" s="181">
        <f t="shared" si="144"/>
        <v>8640</v>
      </c>
      <c r="BG135" s="181">
        <f t="shared" si="145"/>
        <v>16560</v>
      </c>
      <c r="BH135" s="181">
        <f t="shared" si="146"/>
        <v>22534.013605442178</v>
      </c>
      <c r="BI135" s="181">
        <f t="shared" si="147"/>
        <v>46800</v>
      </c>
      <c r="BJ135" s="181">
        <f t="shared" si="148"/>
        <v>22038.027356937233</v>
      </c>
      <c r="BK135" s="181">
        <f t="shared" si="149"/>
        <v>46800</v>
      </c>
      <c r="BL135" s="181">
        <f t="shared" si="150"/>
        <v>1039.6456811214625</v>
      </c>
      <c r="BM135" s="181">
        <f t="shared" si="151"/>
        <v>8640</v>
      </c>
      <c r="BN135" s="181">
        <f t="shared" si="152"/>
        <v>1411.4881251004135</v>
      </c>
      <c r="BO135" s="181">
        <f t="shared" si="153"/>
        <v>16560</v>
      </c>
      <c r="BP135" t="str">
        <f t="shared" si="154"/>
        <v>Pass</v>
      </c>
      <c r="BQ135" t="str">
        <f t="shared" si="155"/>
        <v>Pass</v>
      </c>
      <c r="BR135" t="str">
        <f t="shared" si="156"/>
        <v>Pass</v>
      </c>
      <c r="BS135" t="str">
        <f t="shared" si="157"/>
        <v>Pass</v>
      </c>
      <c r="BT135" t="str">
        <f t="shared" si="158"/>
        <v>Pass</v>
      </c>
      <c r="BU135" t="str">
        <f t="shared" si="159"/>
        <v>Barlow Stress</v>
      </c>
    </row>
    <row r="136" spans="1:73">
      <c r="A136" t="s">
        <v>728</v>
      </c>
      <c r="B136" s="181">
        <v>134</v>
      </c>
      <c r="C136" t="s">
        <v>594</v>
      </c>
      <c r="D136" s="181">
        <v>8</v>
      </c>
      <c r="E136" s="181">
        <v>0.161</v>
      </c>
      <c r="F136" t="s">
        <v>117</v>
      </c>
      <c r="G136" t="s">
        <v>119</v>
      </c>
      <c r="H136" t="s">
        <v>122</v>
      </c>
      <c r="I136" s="181">
        <v>1</v>
      </c>
      <c r="J136" t="s">
        <v>126</v>
      </c>
      <c r="K136" t="s">
        <v>129</v>
      </c>
      <c r="L136" s="181">
        <v>70</v>
      </c>
      <c r="M136" s="181">
        <v>1000</v>
      </c>
      <c r="N136" t="s">
        <v>141</v>
      </c>
      <c r="O136" s="181">
        <v>120</v>
      </c>
      <c r="P136" s="181">
        <v>3</v>
      </c>
      <c r="Q136" s="181">
        <v>10.625</v>
      </c>
      <c r="R136" t="s">
        <v>418</v>
      </c>
      <c r="S136" t="s">
        <v>420</v>
      </c>
      <c r="T136" s="181">
        <v>70</v>
      </c>
      <c r="U136" s="181">
        <f>HLOOKUP(D136,'Highway Loading'!$C$155:$AD$156,2,FALSE)</f>
        <v>8.625</v>
      </c>
      <c r="V136" s="181">
        <f>IF(ISBLANK(G136),"",INDEX('Highway Loading'!$C$216:$AG$216,1,MATCH(G136,'Highway Loading'!$C$215:$AG$215,0)))</f>
        <v>65000</v>
      </c>
      <c r="W136" s="181">
        <f>INDEX('Highway Loading'!$I$245:$L$253,MATCH(H136,'Highway Loading'!$H$245:$H$253,0),MATCH(I136,'Highway Loading'!$I$244:$L$244,0))</f>
        <v>0.72</v>
      </c>
      <c r="X136" s="181">
        <f t="shared" si="128"/>
        <v>1</v>
      </c>
      <c r="Y136" s="181">
        <f>VLOOKUP(K136,'Highway Loading'!$B$283:$E$292,2,FALSE)</f>
        <v>29000000</v>
      </c>
      <c r="Z136" s="181">
        <f>VLOOKUP(K136,'Highway Loading'!$B$283:$E$292,3,FALSE)</f>
        <v>0.3</v>
      </c>
      <c r="AA136" s="181">
        <f>VLOOKUP(K136,'Highway Loading'!$B$283:$E$292,4,FALSE)</f>
        <v>6.4999999999999996E-6</v>
      </c>
      <c r="AB136" s="181">
        <f t="shared" si="129"/>
        <v>1</v>
      </c>
      <c r="AC136" s="181">
        <f>VLOOKUP(N136,'Highway Loading'!$B$256:$D$261,2,FALSE)</f>
        <v>500</v>
      </c>
      <c r="AD136" s="181">
        <f>VLOOKUP(N136,'Highway Loading'!$B$256:$D$261,3,FALSE)</f>
        <v>10000</v>
      </c>
      <c r="AE136" s="181">
        <f>VLOOKUP(S136,'Highway Loading'!$B$340:$C$341,2,FALSE)</f>
        <v>12000</v>
      </c>
      <c r="AF136" s="181">
        <f t="shared" si="130"/>
        <v>1.8666666666666668E-2</v>
      </c>
      <c r="AG136" s="181">
        <f t="shared" si="131"/>
        <v>3.388235294117647</v>
      </c>
      <c r="AH136" s="181">
        <f t="shared" si="132"/>
        <v>1.2318840579710144</v>
      </c>
      <c r="AI136" s="181">
        <f t="shared" si="133"/>
        <v>26785.714285714286</v>
      </c>
      <c r="AJ136" s="181">
        <f t="shared" si="134"/>
        <v>46800</v>
      </c>
      <c r="AK136" s="181">
        <f>IF(AC136=200,(INDEX(Tables!$B$17:$B$38,MAX(1,MIN(IFERROR(MATCH(AF136,Tables!$A$17:$A$38,1),1),ROWS(Tables!$A$17:$A$38)-1)))+(AF136-INDEX(Tables!$A$17:$A$38,MAX(1,MIN(IFERROR(MATCH(AF136,Tables!$A$17:$A$38,1),1),ROWS(Tables!$A$17:$A$38)-1))))*(INDEX(Tables!$B$17:$B$38,MAX(1,MIN(IFERROR(MATCH(AF136,Tables!$A$17:$A$38,1),1),ROWS(Tables!$A$17:$A$38)-1))+1)-INDEX(Tables!$B$17:$B$38,MAX(1,MIN(IFERROR(MATCH(AF136,Tables!$A$17:$A$38,1),1),ROWS(Tables!$A$17:$A$38)-1))))/(INDEX(Tables!$A$17:$A$38,MAX(1,MIN(IFERROR(MATCH(AF136,Tables!$A$17:$A$38,1),1),ROWS(Tables!$A$17:$A$38)-1))+1)-INDEX(Tables!$A$17:$A$38,MAX(1,MIN(IFERROR(MATCH(AF136,Tables!$A$17:$A$38,1),1),ROWS(Tables!$A$17:$A$38)-1))))),IF(AC136=500,(INDEX(Tables!$D$17:$D$38,MAX(1,MIN(IFERROR(MATCH(AF136,Tables!$C$17:$C$38,1),1),ROWS(Tables!$C$17:$C$38)-1)))+(AF136-INDEX(Tables!$C$17:$C$38,MAX(1,MIN(IFERROR(MATCH(AF136,Tables!$C$17:$C$38,1),1),ROWS(Tables!$C$17:$C$38)-1))))*(INDEX(Tables!$D$17:$D$38,MAX(1,MIN(IFERROR(MATCH(AF136,Tables!$C$17:$C$38,1),1),ROWS(Tables!$C$17:$C$38)-1))+1)-INDEX(Tables!$D$17:$D$38,MAX(1,MIN(IFERROR(MATCH(AF136,Tables!$C$17:$C$38,1),1),ROWS(Tables!$C$17:$C$38)-1))))/(INDEX(Tables!$C$17:$C$38,MAX(1,MIN(IFERROR(MATCH(AF136,Tables!$C$17:$C$38,1),1),ROWS(Tables!$C$17:$C$38)-1))+1)-INDEX(Tables!$C$17:$C$38,MAX(1,MIN(IFERROR(MATCH(AF136,Tables!$C$17:$C$38,1),1),ROWS(Tables!$C$17:$C$38)-1))))),IF(AC136=1000,(INDEX(Tables!$F$17:$F$38,MAX(1,MIN(IFERROR(MATCH(AF136,Tables!$E$17:$E$38,1),1),ROWS(Tables!$E$17:$E$38)-1)))+(AF136-INDEX(Tables!$E$17:$E$38,MAX(1,MIN(IFERROR(MATCH(AF136,Tables!$E$17:$E$38,1),1),ROWS(Tables!$E$17:$E$38)-1))))*(INDEX(Tables!$F$17:$F$38,MAX(1,MIN(IFERROR(MATCH(AF136,Tables!$E$17:$E$38,1),1),ROWS(Tables!$E$17:$E$38)-1))+1)-INDEX(Tables!$F$17:$F$38,MAX(1,MIN(IFERROR(MATCH(AF136,Tables!$E$17:$E$38,1),1),ROWS(Tables!$E$17:$E$38)-1))))/(INDEX(Tables!$E$17:$E$38,MAX(1,MIN(IFERROR(MATCH(AF136,Tables!$E$17:$E$38,1),1),ROWS(Tables!$E$17:$E$38)-1))+1)-INDEX(Tables!$E$17:$E$38,MAX(1,MIN(IFERROR(MATCH(AF136,Tables!$E$17:$E$38,1),1),ROWS(Tables!$E$17:$E$38)-1))))),(INDEX(Tables!$H$17:$H$38,MAX(1,MIN(IFERROR(MATCH(AF136,Tables!$G$17:$G$38,1),1),ROWS(Tables!$G$17:$G$38)-1)))+(AF136-INDEX(Tables!$G$17:$G$38,MAX(1,MIN(IFERROR(MATCH(AF136,Tables!$G$17:$G$38,1),1),ROWS(Tables!$G$17:$G$38)-1))))*(INDEX(Tables!$H$17:$H$38,MAX(1,MIN(IFERROR(MATCH(AF136,Tables!$G$17:$G$38,1),1),ROWS(Tables!$G$17:$G$38)-1))+1)-INDEX(Tables!$H$17:$H$38,MAX(1,MIN(IFERROR(MATCH(AF136,Tables!$G$17:$G$38,1),1),ROWS(Tables!$G$17:$G$38)-1))))/(INDEX(Tables!$G$17:$G$38,MAX(1,MIN(IFERROR(MATCH(AF136,Tables!$G$17:$G$38,1),1),ROWS(Tables!$G$17:$G$38)-1))+1)-INDEX(Tables!$G$17:$G$38,MAX(1,MIN(IFERROR(MATCH(AF136,Tables!$G$17:$G$38,1),1),ROWS(Tables!$G$17:$G$38)-1))))))))</f>
        <v>3096.6</v>
      </c>
      <c r="AL136" s="181">
        <f>IF(AC136&lt;1000,(INDEX(Tables!$B$43:$B$76,MAX(1,MIN(IFERROR(MATCH(AG136,Tables!$A$43:$A$76,1),1),ROWS(Tables!$A$43:$A$76)-1)))+(AG136-INDEX(Tables!$A$43:$A$76,MAX(1,MIN(IFERROR(MATCH(AG136,Tables!$A$43:$A$76,1),1),ROWS(Tables!$A$43:$A$76)-1))))*(INDEX(Tables!$B$43:$B$76,MAX(1,MIN(IFERROR(MATCH(AG136,Tables!$A$43:$A$76,1),1),ROWS(Tables!$A$43:$A$76)-1))+1)-INDEX(Tables!$B$43:$B$76,MAX(1,MIN(IFERROR(MATCH(AG136,Tables!$A$43:$A$76,1),1),ROWS(Tables!$A$43:$A$76)-1))))/(INDEX(Tables!$A$43:$A$76,MAX(1,MIN(IFERROR(MATCH(AG136,Tables!$A$43:$A$76,1),1),ROWS(Tables!$A$43:$A$76)-1))+1)-INDEX(Tables!$A$43:$A$76,MAX(1,MIN(IFERROR(MATCH(AG136,Tables!$A$43:$A$76,1),1),ROWS(Tables!$A$43:$A$76)-1))))),(INDEX(Tables!$D$43:$D$76,MAX(1,MIN(IFERROR(MATCH(AG136,Tables!$C$43:$C$76,1),1),ROWS(Tables!$C$43:$C$76)-1)))+(AG136-INDEX(Tables!$C$43:$C$76,MAX(1,MIN(IFERROR(MATCH(AG136,Tables!$C$43:$C$76,1),1),ROWS(Tables!$C$43:$C$76)-1))))*(INDEX(Tables!$D$43:$D$76,MAX(1,MIN(IFERROR(MATCH(AG136,Tables!$C$43:$C$76,1),1),ROWS(Tables!$C$43:$C$76)-1))+1)-INDEX(Tables!$D$43:$D$76,MAX(1,MIN(IFERROR(MATCH(AG136,Tables!$C$43:$C$76,1),1),ROWS(Tables!$C$43:$C$76)-1))))/(INDEX(Tables!$C$43:$C$76,MAX(1,MIN(IFERROR(MATCH(AG136,Tables!$C$43:$C$76,1),1),ROWS(Tables!$C$43:$C$76)-1))+1)-INDEX(Tables!$C$43:$C$76,MAX(1,MIN(IFERROR(MATCH(AG136,Tables!$C$43:$C$76,1),1),ROWS(Tables!$C$43:$C$76)-1))))))</f>
        <v>0.89796470588235289</v>
      </c>
      <c r="AM136" s="181">
        <f>(INDEX(Tables!$B$80:$B$87,MAX(1,MIN(IFERROR(MATCH(AH136,Tables!$A$80:$A$87,1),1),ROWS(Tables!$A$80:$A$87)-1)))+(AH136-INDEX(Tables!$A$80:$A$87,MAX(1,MIN(IFERROR(MATCH(AH136,Tables!$A$80:$A$87,1),1),ROWS(Tables!$A$80:$A$87)-1))))*(INDEX(Tables!$B$80:$B$87,MAX(1,MIN(IFERROR(MATCH(AH136,Tables!$A$80:$A$87,1),1),ROWS(Tables!$A$80:$A$87)-1))+1)-INDEX(Tables!$B$80:$B$87,MAX(1,MIN(IFERROR(MATCH(AH136,Tables!$A$80:$A$87,1),1),ROWS(Tables!$A$80:$A$87)-1))))/(INDEX(Tables!$A$80:$A$87,MAX(1,MIN(IFERROR(MATCH(AH136,Tables!$A$80:$A$87,1),1),ROWS(Tables!$A$80:$A$87)-1))+1)-INDEX(Tables!$A$80:$A$87,MAX(1,MIN(IFERROR(MATCH(AH136,Tables!$A$80:$A$87,1),1),ROWS(Tables!$A$80:$A$87)-1)))))</f>
        <v>1.2567086956521738</v>
      </c>
      <c r="AN136" s="181">
        <f t="shared" si="135"/>
        <v>2093.0307481584741</v>
      </c>
      <c r="AO136" s="181">
        <f>(INDEX(Tables!$B$91:$B$94,MAX(1,MIN(IFERROR(MATCH(P136,Tables!$A$91:$A$94,1),1),ROWS(Tables!$A$91:$A$94)-1)))+(P136-INDEX(Tables!$A$91:$A$94,MAX(1,MIN(IFERROR(MATCH(P136,Tables!$A$91:$A$94,1),1),ROWS(Tables!$A$91:$A$94)-1))))*(INDEX(Tables!$B$91:$B$94,MAX(1,MIN(IFERROR(MATCH(P136,Tables!$A$91:$A$94,1),1),ROWS(Tables!$A$91:$A$94)-1))+1)-INDEX(Tables!$B$91:$B$94,MAX(1,MIN(IFERROR(MATCH(P136,Tables!$A$91:$A$94,1),1),ROWS(Tables!$A$91:$A$94)-1))))/(INDEX(Tables!$A$91:$A$94,MAX(1,MIN(IFERROR(MATCH(P136,Tables!$A$91:$A$94,1),1),ROWS(Tables!$A$91:$A$94)-1))+1)-INDEX(Tables!$A$91:$A$94,MAX(1,MIN(IFERROR(MATCH(P136,Tables!$A$91:$A$94,1),1),ROWS(Tables!$A$91:$A$94)-1)))))</f>
        <v>1.5</v>
      </c>
      <c r="AP136" s="181">
        <f>IF(AD136=5000,(INDEX(Tables!$B$99:$B$118,MAX(1,MIN(IFERROR(MATCH(AF136,Tables!$A$99:$A$118,1),1),ROWS(Tables!$A$99:$A$118)-1)))+(AF136-INDEX(Tables!$A$99:$A$118,MAX(1,MIN(IFERROR(MATCH(AF136,Tables!$A$99:$A$118,1),1),ROWS(Tables!$A$99:$A$118)-1))))*(INDEX(Tables!$B$99:$B$118,MAX(1,MIN(IFERROR(MATCH(AF136,Tables!$A$99:$A$118,1),1),ROWS(Tables!$A$99:$A$118)-1))+1)-INDEX(Tables!$B$99:$B$118,MAX(1,MIN(IFERROR(MATCH(AF136,Tables!$A$99:$A$118,1),1),ROWS(Tables!$A$99:$A$118)-1))))/(INDEX(Tables!$A$99:$A$118,MAX(1,MIN(IFERROR(MATCH(AF136,Tables!$A$99:$A$118,1),1),ROWS(Tables!$A$99:$A$118)-1))+1)-INDEX(Tables!$A$99:$A$118,MAX(1,MIN(IFERROR(MATCH(AF136,Tables!$A$99:$A$118,1),1),ROWS(Tables!$A$99:$A$118)-1))))),IF(AD136=10000,(INDEX(Tables!$D$99:$D$118,MAX(1,MIN(IFERROR(MATCH(AF136,Tables!$C$99:$C$118,1),1),ROWS(Tables!$C$99:$C$118)-1)))+(AF136-INDEX(Tables!$C$99:$C$118,MAX(1,MIN(IFERROR(MATCH(AF136,Tables!$C$99:$C$118,1),1),ROWS(Tables!$C$99:$C$118)-1))))*(INDEX(Tables!$D$99:$D$118,MAX(1,MIN(IFERROR(MATCH(AF136,Tables!$C$99:$C$118,1),1),ROWS(Tables!$C$99:$C$118)-1))+1)-INDEX(Tables!$D$99:$D$118,MAX(1,MIN(IFERROR(MATCH(AF136,Tables!$C$99:$C$118,1),1),ROWS(Tables!$C$99:$C$118)-1))))/(INDEX(Tables!$C$99:$C$118,MAX(1,MIN(IFERROR(MATCH(AF136,Tables!$C$99:$C$118,1),1),ROWS(Tables!$C$99:$C$118)-1))+1)-INDEX(Tables!$C$99:$C$118,MAX(1,MIN(IFERROR(MATCH(AF136,Tables!$C$99:$C$118,1),1),ROWS(Tables!$C$99:$C$118)-1))))),(INDEX(Tables!$F$99:$F$118,MAX(1,MIN(IFERROR(MATCH(AF136,Tables!$E$99:$E$118,1),1),ROWS(Tables!$E$99:$E$118)-1)))+(AF136-INDEX(Tables!$E$99:$E$118,MAX(1,MIN(IFERROR(MATCH(AF136,Tables!$E$99:$E$118,1),1),ROWS(Tables!$E$99:$E$118)-1))))*(INDEX(Tables!$F$99:$F$118,MAX(1,MIN(IFERROR(MATCH(AF136,Tables!$E$99:$E$118,1),1),ROWS(Tables!$E$99:$E$118)-1))+1)-INDEX(Tables!$F$99:$F$118,MAX(1,MIN(IFERROR(MATCH(AF136,Tables!$E$99:$E$118,1),1),ROWS(Tables!$E$99:$E$118)-1))))/(INDEX(Tables!$E$99:$E$118,MAX(1,MIN(IFERROR(MATCH(AF136,Tables!$E$99:$E$118,1),1),ROWS(Tables!$E$99:$E$118)-1))+1)-INDEX(Tables!$E$99:$E$118,MAX(1,MIN(IFERROR(MATCH(AF136,Tables!$E$99:$E$118,1),1),ROWS(Tables!$E$99:$E$118)-1)))))))</f>
        <v>14.383768166089965</v>
      </c>
      <c r="AQ136" s="181">
        <f>IF(P136&lt;6,(INDEX(Tables!$B$123:$B$138,MAX(1,MIN(IFERROR(MATCH(U136,Tables!$A$123:$A$138,1),1),ROWS(Tables!$A$123:$A$138)-1)))+(U136-INDEX(Tables!$A$123:$A$138,MAX(1,MIN(IFERROR(MATCH(U136,Tables!$A$123:$A$138,1),1),ROWS(Tables!$A$123:$A$138)-1))))*(INDEX(Tables!$B$123:$B$138,MAX(1,MIN(IFERROR(MATCH(U136,Tables!$A$123:$A$138,1),1),ROWS(Tables!$A$123:$A$138)-1))+1)-INDEX(Tables!$B$123:$B$138,MAX(1,MIN(IFERROR(MATCH(U136,Tables!$A$123:$A$138,1),1),ROWS(Tables!$A$123:$A$138)-1))))/(INDEX(Tables!$A$123:$A$138,MAX(1,MIN(IFERROR(MATCH(U136,Tables!$A$123:$A$138,1),1),ROWS(Tables!$A$123:$A$138)-1))+1)-INDEX(Tables!$A$123:$A$138,MAX(1,MIN(IFERROR(MATCH(U136,Tables!$A$123:$A$138,1),1),ROWS(Tables!$A$123:$A$138)-1))))),IF(P136&lt;8,(INDEX(Tables!$D$123:$D$138,MAX(1,MIN(IFERROR(MATCH(U136,Tables!$C$123:$C$138,1),1),ROWS(Tables!$C$123:$C$138)-1)))+(U136-INDEX(Tables!$C$123:$C$138,MAX(1,MIN(IFERROR(MATCH(U136,Tables!$C$123:$C$138,1),1),ROWS(Tables!$C$123:$C$138)-1))))*(INDEX(Tables!$D$123:$D$138,MAX(1,MIN(IFERROR(MATCH(U136,Tables!$C$123:$C$138,1),1),ROWS(Tables!$C$123:$C$138)-1))+1)-INDEX(Tables!$D$123:$D$138,MAX(1,MIN(IFERROR(MATCH(U136,Tables!$C$123:$C$138,1),1),ROWS(Tables!$C$123:$C$138)-1))))/(INDEX(Tables!$C$123:$C$138,MAX(1,MIN(IFERROR(MATCH(U136,Tables!$C$123:$C$138,1),1),ROWS(Tables!$C$123:$C$138)-1))+1)-INDEX(Tables!$C$123:$C$138,MAX(1,MIN(IFERROR(MATCH(U136,Tables!$C$123:$C$138,1),1),ROWS(Tables!$C$123:$C$138)-1))))),IF(P136&lt;10,(INDEX(Tables!$F$123:$F$138,MAX(1,MIN(IFERROR(MATCH(U136,Tables!$E$123:$E$138,1),1),ROWS(Tables!$E$123:$E$138)-1)))+(U136-INDEX(Tables!$E$123:$E$138,MAX(1,MIN(IFERROR(MATCH(U136,Tables!$E$123:$E$138,1),1),ROWS(Tables!$E$123:$E$138)-1))))*(INDEX(Tables!$F$123:$F$138,MAX(1,MIN(IFERROR(MATCH(U136,Tables!$E$123:$E$138,1),1),ROWS(Tables!$E$123:$E$138)-1))+1)-INDEX(Tables!$F$123:$F$138,MAX(1,MIN(IFERROR(MATCH(U136,Tables!$E$123:$E$138,1),1),ROWS(Tables!$E$123:$E$138)-1))))/(INDEX(Tables!$E$123:$E$138,MAX(1,MIN(IFERROR(MATCH(U136,Tables!$E$123:$E$138,1),1),ROWS(Tables!$E$123:$E$138)-1))+1)-INDEX(Tables!$E$123:$E$138,MAX(1,MIN(IFERROR(MATCH(U136,Tables!$E$123:$E$138,1),1),ROWS(Tables!$E$123:$E$138)-1))))),(INDEX(Tables!$H$123:$H$138,MAX(1,MIN(IFERROR(MATCH(U136,Tables!$G$123:$G$138,1),1),ROWS(Tables!$G$123:$G$138)-1)))+(U136-INDEX(Tables!$G$123:$G$138,MAX(1,MIN(IFERROR(MATCH(U136,Tables!$G$123:$G$138,1),1),ROWS(Tables!$G$123:$G$138)-1))))*(INDEX(Tables!$H$123:$H$138,MAX(1,MIN(IFERROR(MATCH(U136,Tables!$G$123:$G$138,1),1),ROWS(Tables!$G$123:$G$138)-1))+1)-INDEX(Tables!$H$123:$H$138,MAX(1,MIN(IFERROR(MATCH(U136,Tables!$G$123:$G$138,1),1),ROWS(Tables!$G$123:$G$138)-1))))/(INDEX(Tables!$G$123:$G$138,MAX(1,MIN(IFERROR(MATCH(U136,Tables!$G$123:$G$138,1),1),ROWS(Tables!$G$123:$G$138)-1))+1)-INDEX(Tables!$G$123:$G$138,MAX(1,MIN(IFERROR(MATCH(U136,Tables!$G$123:$G$138,1),1),ROWS(Tables!$G$123:$G$138)-1))))))))</f>
        <v>1.389875</v>
      </c>
      <c r="AR136" s="181">
        <f>IF(OR(P136&gt;=4,U136&gt;12),VLOOKUP(R136&amp;" "&amp;S136,Tables!$D$143:$F$148,2,FALSE),VLOOKUP(R136&amp;" "&amp;S136,Tables!$A$143:$C$148,2,FALSE))</f>
        <v>0.9</v>
      </c>
      <c r="AS136" s="181">
        <f>IF(OR(P136&gt;=4,U136&gt;12),VLOOKUP(R136&amp;" "&amp;S136,Tables!$D$143:$F$148,3,FALSE),VLOOKUP(R136&amp;" "&amp;S136,Tables!$A$143:$C$148,3,FALSE))</f>
        <v>0.65</v>
      </c>
      <c r="AT136" s="181">
        <f t="shared" si="136"/>
        <v>1461.8886589011138</v>
      </c>
      <c r="AU136" s="181">
        <f>IF(AD136=5000,(INDEX(Tables!$B$244:$B$263,MAX(1,MIN(IFERROR(MATCH(AF136,Tables!$A$244:$A$263,1),1),ROWS(Tables!$A$244:$A$263)-1)))+(AF136-INDEX(Tables!$A$244:$A$263,MAX(1,MIN(IFERROR(MATCH(AF136,Tables!$A$244:$A$263,1),1),ROWS(Tables!$A$244:$A$263)-1))))*(INDEX(Tables!$B$244:$B$263,MAX(1,MIN(IFERROR(MATCH(AF136,Tables!$A$244:$A$263,1),1),ROWS(Tables!$A$244:$A$263)-1))+1)-INDEX(Tables!$B$244:$B$263,MAX(1,MIN(IFERROR(MATCH(AF136,Tables!$A$244:$A$263,1),1),ROWS(Tables!$A$244:$A$263)-1))))/(INDEX(Tables!$A$244:$A$263,MAX(1,MIN(IFERROR(MATCH(AF136,Tables!$A$244:$A$263,1),1),ROWS(Tables!$A$244:$A$263)-1))+1)-INDEX(Tables!$A$244:$A$263,MAX(1,MIN(IFERROR(MATCH(AF136,Tables!$A$244:$A$263,1),1),ROWS(Tables!$A$244:$A$263)-1))))),IF(AD136=10000,(INDEX(Tables!$D$244:$D$263,MAX(1,MIN(IFERROR(MATCH(AF136,Tables!$C$244:$C$263,1),1),ROWS(Tables!$C$244:$C$263)-1)))+(AF136-INDEX(Tables!$C$244:$C$263,MAX(1,MIN(IFERROR(MATCH(AF136,Tables!$C$244:$C$263,1),1),ROWS(Tables!$C$244:$C$263)-1))))*(INDEX(Tables!$D$244:$D$263,MAX(1,MIN(IFERROR(MATCH(AF136,Tables!$C$244:$C$263,1),1),ROWS(Tables!$C$244:$C$263)-1))+1)-INDEX(Tables!$D$244:$D$263,MAX(1,MIN(IFERROR(MATCH(AF136,Tables!$C$244:$C$263,1),1),ROWS(Tables!$C$244:$C$263)-1))))/(INDEX(Tables!$C$244:$C$263,MAX(1,MIN(IFERROR(MATCH(AF136,Tables!$C$244:$C$263,1),1),ROWS(Tables!$C$244:$C$263)-1))+1)-INDEX(Tables!$C$244:$C$263,MAX(1,MIN(IFERROR(MATCH(AF136,Tables!$C$244:$C$263,1),1),ROWS(Tables!$C$244:$C$263)-1))))),(INDEX(Tables!$F$244:$F$263,MAX(1,MIN(IFERROR(MATCH(AF136,Tables!$E$244:$E$263,1),1),ROWS(Tables!$E$244:$E$263)-1)))+(AF136-INDEX(Tables!$E$244:$E$263,MAX(1,MIN(IFERROR(MATCH(AF136,Tables!$E$244:$E$263,1),1),ROWS(Tables!$E$244:$E$263)-1))))*(INDEX(Tables!$F$244:$F$263,MAX(1,MIN(IFERROR(MATCH(AF136,Tables!$E$244:$E$263,1),1),ROWS(Tables!$E$244:$E$263)-1))+1)-INDEX(Tables!$F$244:$F$263,MAX(1,MIN(IFERROR(MATCH(AF136,Tables!$E$244:$E$263,1),1),ROWS(Tables!$E$244:$E$263)-1))))/(INDEX(Tables!$E$244:$E$263,MAX(1,MIN(IFERROR(MATCH(AF136,Tables!$E$244:$E$263,1),1),ROWS(Tables!$E$244:$E$263)-1))+1)-INDEX(Tables!$E$244:$E$263,MAX(1,MIN(IFERROR(MATCH(AF136,Tables!$E$244:$E$263,1),1),ROWS(Tables!$E$244:$E$263)-1)))))))</f>
        <v>9.8291333333333331</v>
      </c>
      <c r="AV136" s="181">
        <f>IF(P136&lt;6,(INDEX(Tables!$B$260:$B$274,MAX(1,MIN(IFERROR(MATCH(U136,Tables!$A$260:$A$274,1),1),ROWS(Tables!$A$260:$A$274)-1)))+(U136-INDEX(Tables!$A$260:$A$274,MAX(1,MIN(IFERROR(MATCH(U136,Tables!$A$260:$A$274,1),1),ROWS(Tables!$A$260:$A$274)-1))))*(INDEX(Tables!$B$260:$B$274,MAX(1,MIN(IFERROR(MATCH(U136,Tables!$A$260:$A$274,1),1),ROWS(Tables!$A$260:$A$274)-1))+1)-INDEX(Tables!$B$260:$B$274,MAX(1,MIN(IFERROR(MATCH(U136,Tables!$A$260:$A$274,1),1),ROWS(Tables!$A$260:$A$274)-1))))/(INDEX(Tables!$A$260:$A$274,MAX(1,MIN(IFERROR(MATCH(U136,Tables!$A$260:$A$274,1),1),ROWS(Tables!$A$260:$A$274)-1))+1)-INDEX(Tables!$A$260:$A$274,MAX(1,MIN(IFERROR(MATCH(U136,Tables!$A$260:$A$274,1),1),ROWS(Tables!$A$260:$A$274)-1))))),IF(P136&lt;8,(INDEX(Tables!$D$260:$D$274,MAX(1,MIN(IFERROR(MATCH(U136,Tables!$C$260:$C$274,1),1),ROWS(Tables!$C$260:$C$274)-1)))+(U136-INDEX(Tables!$C$260:$C$274,MAX(1,MIN(IFERROR(MATCH(U136,Tables!$C$260:$C$274,1),1),ROWS(Tables!$C$260:$C$274)-1))))*(INDEX(Tables!$D$260:$D$274,MAX(1,MIN(IFERROR(MATCH(U136,Tables!$C$260:$C$274,1),1),ROWS(Tables!$C$260:$C$274)-1))+1)-INDEX(Tables!$D$260:$D$274,MAX(1,MIN(IFERROR(MATCH(U136,Tables!$C$260:$C$274,1),1),ROWS(Tables!$C$260:$C$274)-1))))/(INDEX(Tables!$C$260:$C$274,MAX(1,MIN(IFERROR(MATCH(U136,Tables!$C$260:$C$274,1),1),ROWS(Tables!$C$260:$C$274)-1))+1)-INDEX(Tables!$C$260:$C$274,MAX(1,MIN(IFERROR(MATCH(U136,Tables!$C$260:$C$274,1),1),ROWS(Tables!$C$260:$C$274)-1))))),IF(P136&lt;10,(INDEX(Tables!$F$260:$F$274,MAX(1,MIN(IFERROR(MATCH(U136,Tables!$E$260:$E$274,1),1),ROWS(Tables!$E$260:$E$274)-1)))+(U136-INDEX(Tables!$E$260:$E$274,MAX(1,MIN(IFERROR(MATCH(U136,Tables!$E$260:$E$274,1),1),ROWS(Tables!$E$260:$E$274)-1))))*(INDEX(Tables!$F$260:$F$274,MAX(1,MIN(IFERROR(MATCH(U136,Tables!$E$260:$E$274,1),1),ROWS(Tables!$E$260:$E$274)-1))+1)-INDEX(Tables!$F$260:$F$274,MAX(1,MIN(IFERROR(MATCH(U136,Tables!$E$260:$E$274,1),1),ROWS(Tables!$E$260:$E$274)-1))))/(INDEX(Tables!$E$260:$E$274,MAX(1,MIN(IFERROR(MATCH(U136,Tables!$E$260:$E$274,1),1),ROWS(Tables!$E$260:$E$274)-1))+1)-INDEX(Tables!$E$260:$E$274,MAX(1,MIN(IFERROR(MATCH(U136,Tables!$E$260:$E$274,1),1),ROWS(Tables!$E$260:$E$274)-1))))),(INDEX(Tables!$H$260:$H$274,MAX(1,MIN(IFERROR(MATCH(U136,Tables!$G$260:$G$274,1),1),ROWS(Tables!$G$260:$G$274)-1)))+(U136-INDEX(Tables!$G$260:$G$274,MAX(1,MIN(IFERROR(MATCH(U136,Tables!$G$260:$G$274,1),1),ROWS(Tables!$G$260:$G$274)-1))))*(INDEX(Tables!$H$260:$H$274,MAX(1,MIN(IFERROR(MATCH(U136,Tables!$G$260:$G$274,1),1),ROWS(Tables!$G$260:$G$274)-1))+1)-INDEX(Tables!$H$260:$H$274,MAX(1,MIN(IFERROR(MATCH(U136,Tables!$G$260:$G$274,1),1),ROWS(Tables!$G$260:$G$274)-1))))/(INDEX(Tables!$G$260:$G$274,MAX(1,MIN(IFERROR(MATCH(U136,Tables!$G$260:$G$274,1),1),ROWS(Tables!$G$260:$G$274)-1))+1)-INDEX(Tables!$G$260:$G$274,MAX(1,MIN(IFERROR(MATCH(U136,Tables!$G$260:$G$274,1),1),ROWS(Tables!$G$260:$G$274)-1))))))))</f>
        <v>1.3123750000000001</v>
      </c>
      <c r="AW136" s="181">
        <f t="shared" si="137"/>
        <v>943.27658526562493</v>
      </c>
      <c r="AX136" s="181">
        <f t="shared" si="138"/>
        <v>26285.714285714286</v>
      </c>
      <c r="AY136" s="181">
        <f t="shared" si="139"/>
        <v>29840.633692773874</v>
      </c>
      <c r="AZ136" s="181">
        <f t="shared" si="140"/>
        <v>9456.9000954274525</v>
      </c>
      <c r="BA136" s="181">
        <f t="shared" si="141"/>
        <v>-1000</v>
      </c>
      <c r="BB136" s="181">
        <f t="shared" si="142"/>
        <v>27166.045364988251</v>
      </c>
      <c r="BC136" s="181">
        <f t="shared" si="143"/>
        <v>46800</v>
      </c>
      <c r="BD136" s="181">
        <f>VLOOKUP(V136&amp;" "&amp;J136,Tables!$A$152:$E$239,4,FALSE)</f>
        <v>12000</v>
      </c>
      <c r="BE136" s="181">
        <f>VLOOKUP(V136&amp;" "&amp;J136,Tables!$A$152:$E$239,5,FALSE)</f>
        <v>23000</v>
      </c>
      <c r="BF136" s="181">
        <f t="shared" si="144"/>
        <v>8640</v>
      </c>
      <c r="BG136" s="181">
        <f t="shared" si="145"/>
        <v>16560</v>
      </c>
      <c r="BH136" s="181">
        <f t="shared" si="146"/>
        <v>26785.714285714286</v>
      </c>
      <c r="BI136" s="181">
        <f t="shared" si="147"/>
        <v>46800</v>
      </c>
      <c r="BJ136" s="181">
        <f t="shared" si="148"/>
        <v>27166.045364988251</v>
      </c>
      <c r="BK136" s="181">
        <f t="shared" si="149"/>
        <v>46800</v>
      </c>
      <c r="BL136" s="181">
        <f t="shared" si="150"/>
        <v>943.27658526562493</v>
      </c>
      <c r="BM136" s="181">
        <f t="shared" si="151"/>
        <v>8640</v>
      </c>
      <c r="BN136" s="181">
        <f t="shared" si="152"/>
        <v>1461.8886589011138</v>
      </c>
      <c r="BO136" s="181">
        <f t="shared" si="153"/>
        <v>16560</v>
      </c>
      <c r="BP136" t="str">
        <f t="shared" si="154"/>
        <v>Pass</v>
      </c>
      <c r="BQ136" t="str">
        <f t="shared" si="155"/>
        <v>Pass</v>
      </c>
      <c r="BR136" t="str">
        <f t="shared" si="156"/>
        <v>Pass</v>
      </c>
      <c r="BS136" t="str">
        <f t="shared" si="157"/>
        <v>Pass</v>
      </c>
      <c r="BT136" t="str">
        <f t="shared" si="158"/>
        <v>Pass</v>
      </c>
      <c r="BU136" t="str">
        <f t="shared" si="159"/>
        <v>Effective Stress</v>
      </c>
    </row>
    <row r="137" spans="1:73">
      <c r="A137" t="s">
        <v>729</v>
      </c>
      <c r="B137" s="181">
        <v>135</v>
      </c>
      <c r="C137" t="s">
        <v>594</v>
      </c>
      <c r="D137" s="181">
        <v>12</v>
      </c>
      <c r="E137" s="181">
        <v>0.193</v>
      </c>
      <c r="F137" t="s">
        <v>117</v>
      </c>
      <c r="G137" t="s">
        <v>119</v>
      </c>
      <c r="H137" t="s">
        <v>122</v>
      </c>
      <c r="I137" s="181">
        <v>1</v>
      </c>
      <c r="J137" t="s">
        <v>126</v>
      </c>
      <c r="K137" t="s">
        <v>129</v>
      </c>
      <c r="L137" s="181">
        <v>70</v>
      </c>
      <c r="M137" s="181">
        <v>1440</v>
      </c>
      <c r="N137" t="s">
        <v>390</v>
      </c>
      <c r="O137" s="181">
        <v>120</v>
      </c>
      <c r="P137" s="181">
        <v>6</v>
      </c>
      <c r="Q137" s="181">
        <v>14.75</v>
      </c>
      <c r="R137" t="s">
        <v>418</v>
      </c>
      <c r="S137" t="s">
        <v>420</v>
      </c>
      <c r="T137" s="181">
        <v>70</v>
      </c>
      <c r="U137" s="181">
        <f>HLOOKUP(D137,'Highway Loading'!$C$155:$AD$156,2,FALSE)</f>
        <v>12.75</v>
      </c>
      <c r="V137" s="181">
        <f>IF(ISBLANK(G137),"",INDEX('Highway Loading'!$C$216:$AG$216,1,MATCH(G137,'Highway Loading'!$C$215:$AG$215,0)))</f>
        <v>65000</v>
      </c>
      <c r="W137" s="181">
        <f>INDEX('Highway Loading'!$I$245:$L$253,MATCH(H137,'Highway Loading'!$H$245:$H$253,0),MATCH(I137,'Highway Loading'!$I$244:$L$244,0))</f>
        <v>0.72</v>
      </c>
      <c r="X137" s="181">
        <f t="shared" si="128"/>
        <v>1</v>
      </c>
      <c r="Y137" s="181">
        <f>VLOOKUP(K137,'Highway Loading'!$B$283:$E$292,2,FALSE)</f>
        <v>29000000</v>
      </c>
      <c r="Z137" s="181">
        <f>VLOOKUP(K137,'Highway Loading'!$B$283:$E$292,3,FALSE)</f>
        <v>0.3</v>
      </c>
      <c r="AA137" s="181">
        <f>VLOOKUP(K137,'Highway Loading'!$B$283:$E$292,4,FALSE)</f>
        <v>6.4999999999999996E-6</v>
      </c>
      <c r="AB137" s="181">
        <f t="shared" si="129"/>
        <v>1</v>
      </c>
      <c r="AC137" s="181">
        <f>VLOOKUP(N137,'Highway Loading'!$B$256:$D$261,2,FALSE)</f>
        <v>1000</v>
      </c>
      <c r="AD137" s="181">
        <f>VLOOKUP(N137,'Highway Loading'!$B$256:$D$261,3,FALSE)</f>
        <v>10000</v>
      </c>
      <c r="AE137" s="181">
        <f>VLOOKUP(S137,'Highway Loading'!$B$340:$C$341,2,FALSE)</f>
        <v>12000</v>
      </c>
      <c r="AF137" s="181">
        <f t="shared" si="130"/>
        <v>1.5137254901960785E-2</v>
      </c>
      <c r="AG137" s="181">
        <f t="shared" si="131"/>
        <v>4.8813559322033901</v>
      </c>
      <c r="AH137" s="181">
        <f t="shared" si="132"/>
        <v>1.1568627450980393</v>
      </c>
      <c r="AI137" s="181">
        <f t="shared" si="133"/>
        <v>47564.766839378237</v>
      </c>
      <c r="AJ137" s="181">
        <f t="shared" si="134"/>
        <v>46800</v>
      </c>
      <c r="AK137" s="181">
        <f>IF(AC137=200,(INDEX(Tables!$B$17:$B$38,MAX(1,MIN(IFERROR(MATCH(AF137,Tables!$A$17:$A$38,1),1),ROWS(Tables!$A$17:$A$38)-1)))+(AF137-INDEX(Tables!$A$17:$A$38,MAX(1,MIN(IFERROR(MATCH(AF137,Tables!$A$17:$A$38,1),1),ROWS(Tables!$A$17:$A$38)-1))))*(INDEX(Tables!$B$17:$B$38,MAX(1,MIN(IFERROR(MATCH(AF137,Tables!$A$17:$A$38,1),1),ROWS(Tables!$A$17:$A$38)-1))+1)-INDEX(Tables!$B$17:$B$38,MAX(1,MIN(IFERROR(MATCH(AF137,Tables!$A$17:$A$38,1),1),ROWS(Tables!$A$17:$A$38)-1))))/(INDEX(Tables!$A$17:$A$38,MAX(1,MIN(IFERROR(MATCH(AF137,Tables!$A$17:$A$38,1),1),ROWS(Tables!$A$17:$A$38)-1))+1)-INDEX(Tables!$A$17:$A$38,MAX(1,MIN(IFERROR(MATCH(AF137,Tables!$A$17:$A$38,1),1),ROWS(Tables!$A$17:$A$38)-1))))),IF(AC137=500,(INDEX(Tables!$D$17:$D$38,MAX(1,MIN(IFERROR(MATCH(AF137,Tables!$C$17:$C$38,1),1),ROWS(Tables!$C$17:$C$38)-1)))+(AF137-INDEX(Tables!$C$17:$C$38,MAX(1,MIN(IFERROR(MATCH(AF137,Tables!$C$17:$C$38,1),1),ROWS(Tables!$C$17:$C$38)-1))))*(INDEX(Tables!$D$17:$D$38,MAX(1,MIN(IFERROR(MATCH(AF137,Tables!$C$17:$C$38,1),1),ROWS(Tables!$C$17:$C$38)-1))+1)-INDEX(Tables!$D$17:$D$38,MAX(1,MIN(IFERROR(MATCH(AF137,Tables!$C$17:$C$38,1),1),ROWS(Tables!$C$17:$C$38)-1))))/(INDEX(Tables!$C$17:$C$38,MAX(1,MIN(IFERROR(MATCH(AF137,Tables!$C$17:$C$38,1),1),ROWS(Tables!$C$17:$C$38)-1))+1)-INDEX(Tables!$C$17:$C$38,MAX(1,MIN(IFERROR(MATCH(AF137,Tables!$C$17:$C$38,1),1),ROWS(Tables!$C$17:$C$38)-1))))),IF(AC137=1000,(INDEX(Tables!$F$17:$F$38,MAX(1,MIN(IFERROR(MATCH(AF137,Tables!$E$17:$E$38,1),1),ROWS(Tables!$E$17:$E$38)-1)))+(AF137-INDEX(Tables!$E$17:$E$38,MAX(1,MIN(IFERROR(MATCH(AF137,Tables!$E$17:$E$38,1),1),ROWS(Tables!$E$17:$E$38)-1))))*(INDEX(Tables!$F$17:$F$38,MAX(1,MIN(IFERROR(MATCH(AF137,Tables!$E$17:$E$38,1),1),ROWS(Tables!$E$17:$E$38)-1))+1)-INDEX(Tables!$F$17:$F$38,MAX(1,MIN(IFERROR(MATCH(AF137,Tables!$E$17:$E$38,1),1),ROWS(Tables!$E$17:$E$38)-1))))/(INDEX(Tables!$E$17:$E$38,MAX(1,MIN(IFERROR(MATCH(AF137,Tables!$E$17:$E$38,1),1),ROWS(Tables!$E$17:$E$38)-1))+1)-INDEX(Tables!$E$17:$E$38,MAX(1,MIN(IFERROR(MATCH(AF137,Tables!$E$17:$E$38,1),1),ROWS(Tables!$E$17:$E$38)-1))))),(INDEX(Tables!$H$17:$H$38,MAX(1,MIN(IFERROR(MATCH(AF137,Tables!$G$17:$G$38,1),1),ROWS(Tables!$G$17:$G$38)-1)))+(AF137-INDEX(Tables!$G$17:$G$38,MAX(1,MIN(IFERROR(MATCH(AF137,Tables!$G$17:$G$38,1),1),ROWS(Tables!$G$17:$G$38)-1))))*(INDEX(Tables!$H$17:$H$38,MAX(1,MIN(IFERROR(MATCH(AF137,Tables!$G$17:$G$38,1),1),ROWS(Tables!$G$17:$G$38)-1))+1)-INDEX(Tables!$H$17:$H$38,MAX(1,MIN(IFERROR(MATCH(AF137,Tables!$G$17:$G$38,1),1),ROWS(Tables!$G$17:$G$38)-1))))/(INDEX(Tables!$G$17:$G$38,MAX(1,MIN(IFERROR(MATCH(AF137,Tables!$G$17:$G$38,1),1),ROWS(Tables!$G$17:$G$38)-1))+1)-INDEX(Tables!$G$17:$G$38,MAX(1,MIN(IFERROR(MATCH(AF137,Tables!$G$17:$G$38,1),1),ROWS(Tables!$G$17:$G$38)-1))))))))</f>
        <v>3235.1960784313724</v>
      </c>
      <c r="AL137" s="181">
        <f>IF(AC137&lt;1000,(INDEX(Tables!$B$43:$B$76,MAX(1,MIN(IFERROR(MATCH(AG137,Tables!$A$43:$A$76,1),1),ROWS(Tables!$A$43:$A$76)-1)))+(AG137-INDEX(Tables!$A$43:$A$76,MAX(1,MIN(IFERROR(MATCH(AG137,Tables!$A$43:$A$76,1),1),ROWS(Tables!$A$43:$A$76)-1))))*(INDEX(Tables!$B$43:$B$76,MAX(1,MIN(IFERROR(MATCH(AG137,Tables!$A$43:$A$76,1),1),ROWS(Tables!$A$43:$A$76)-1))+1)-INDEX(Tables!$B$43:$B$76,MAX(1,MIN(IFERROR(MATCH(AG137,Tables!$A$43:$A$76,1),1),ROWS(Tables!$A$43:$A$76)-1))))/(INDEX(Tables!$A$43:$A$76,MAX(1,MIN(IFERROR(MATCH(AG137,Tables!$A$43:$A$76,1),1),ROWS(Tables!$A$43:$A$76)-1))+1)-INDEX(Tables!$A$43:$A$76,MAX(1,MIN(IFERROR(MATCH(AG137,Tables!$A$43:$A$76,1),1),ROWS(Tables!$A$43:$A$76)-1))))),(INDEX(Tables!$D$43:$D$76,MAX(1,MIN(IFERROR(MATCH(AG137,Tables!$C$43:$C$76,1),1),ROWS(Tables!$C$43:$C$76)-1)))+(AG137-INDEX(Tables!$C$43:$C$76,MAX(1,MIN(IFERROR(MATCH(AG137,Tables!$C$43:$C$76,1),1),ROWS(Tables!$C$43:$C$76)-1))))*(INDEX(Tables!$D$43:$D$76,MAX(1,MIN(IFERROR(MATCH(AG137,Tables!$C$43:$C$76,1),1),ROWS(Tables!$C$43:$C$76)-1))+1)-INDEX(Tables!$D$43:$D$76,MAX(1,MIN(IFERROR(MATCH(AG137,Tables!$C$43:$C$76,1),1),ROWS(Tables!$C$43:$C$76)-1))))/(INDEX(Tables!$C$43:$C$76,MAX(1,MIN(IFERROR(MATCH(AG137,Tables!$C$43:$C$76,1),1),ROWS(Tables!$C$43:$C$76)-1))+1)-INDEX(Tables!$C$43:$C$76,MAX(1,MIN(IFERROR(MATCH(AG137,Tables!$C$43:$C$76,1),1),ROWS(Tables!$C$43:$C$76)-1))))))</f>
        <v>0.95557627118644062</v>
      </c>
      <c r="AM137" s="181">
        <f>(INDEX(Tables!$B$80:$B$87,MAX(1,MIN(IFERROR(MATCH(AH137,Tables!$A$80:$A$87,1),1),ROWS(Tables!$A$80:$A$87)-1)))+(AH137-INDEX(Tables!$A$80:$A$87,MAX(1,MIN(IFERROR(MATCH(AH137,Tables!$A$80:$A$87,1),1),ROWS(Tables!$A$80:$A$87)-1))))*(INDEX(Tables!$B$80:$B$87,MAX(1,MIN(IFERROR(MATCH(AH137,Tables!$A$80:$A$87,1),1),ROWS(Tables!$A$80:$A$87)-1))+1)-INDEX(Tables!$B$80:$B$87,MAX(1,MIN(IFERROR(MATCH(AH137,Tables!$A$80:$A$87,1),1),ROWS(Tables!$A$80:$A$87)-1))))/(INDEX(Tables!$A$80:$A$87,MAX(1,MIN(IFERROR(MATCH(AH137,Tables!$A$80:$A$87,1),1),ROWS(Tables!$A$80:$A$87)-1))+1)-INDEX(Tables!$A$80:$A$87,MAX(1,MIN(IFERROR(MATCH(AH137,Tables!$A$80:$A$87,1),1),ROWS(Tables!$A$80:$A$87)-1)))))</f>
        <v>1.1041078431372553</v>
      </c>
      <c r="AN137" s="181">
        <f t="shared" si="135"/>
        <v>3022.2135746464178</v>
      </c>
      <c r="AO137" s="181">
        <f>(INDEX(Tables!$B$91:$B$94,MAX(1,MIN(IFERROR(MATCH(P137,Tables!$A$91:$A$94,1),1),ROWS(Tables!$A$91:$A$94)-1)))+(P137-INDEX(Tables!$A$91:$A$94,MAX(1,MIN(IFERROR(MATCH(P137,Tables!$A$91:$A$94,1),1),ROWS(Tables!$A$91:$A$94)-1))))*(INDEX(Tables!$B$91:$B$94,MAX(1,MIN(IFERROR(MATCH(P137,Tables!$A$91:$A$94,1),1),ROWS(Tables!$A$91:$A$94)-1))+1)-INDEX(Tables!$B$91:$B$94,MAX(1,MIN(IFERROR(MATCH(P137,Tables!$A$91:$A$94,1),1),ROWS(Tables!$A$91:$A$94)-1))))/(INDEX(Tables!$A$91:$A$94,MAX(1,MIN(IFERROR(MATCH(P137,Tables!$A$91:$A$94,1),1),ROWS(Tables!$A$91:$A$94)-1))+1)-INDEX(Tables!$A$91:$A$94,MAX(1,MIN(IFERROR(MATCH(P137,Tables!$A$91:$A$94,1),1),ROWS(Tables!$A$91:$A$94)-1)))))</f>
        <v>1.476219512195122</v>
      </c>
      <c r="AP137" s="181">
        <f>IF(AD137=5000,(INDEX(Tables!$B$99:$B$118,MAX(1,MIN(IFERROR(MATCH(AF137,Tables!$A$99:$A$118,1),1),ROWS(Tables!$A$99:$A$118)-1)))+(AF137-INDEX(Tables!$A$99:$A$118,MAX(1,MIN(IFERROR(MATCH(AF137,Tables!$A$99:$A$118,1),1),ROWS(Tables!$A$99:$A$118)-1))))*(INDEX(Tables!$B$99:$B$118,MAX(1,MIN(IFERROR(MATCH(AF137,Tables!$A$99:$A$118,1),1),ROWS(Tables!$A$99:$A$118)-1))+1)-INDEX(Tables!$B$99:$B$118,MAX(1,MIN(IFERROR(MATCH(AF137,Tables!$A$99:$A$118,1),1),ROWS(Tables!$A$99:$A$118)-1))))/(INDEX(Tables!$A$99:$A$118,MAX(1,MIN(IFERROR(MATCH(AF137,Tables!$A$99:$A$118,1),1),ROWS(Tables!$A$99:$A$118)-1))+1)-INDEX(Tables!$A$99:$A$118,MAX(1,MIN(IFERROR(MATCH(AF137,Tables!$A$99:$A$118,1),1),ROWS(Tables!$A$99:$A$118)-1))))),IF(AD137=10000,(INDEX(Tables!$D$99:$D$118,MAX(1,MIN(IFERROR(MATCH(AF137,Tables!$C$99:$C$118,1),1),ROWS(Tables!$C$99:$C$118)-1)))+(AF137-INDEX(Tables!$C$99:$C$118,MAX(1,MIN(IFERROR(MATCH(AF137,Tables!$C$99:$C$118,1),1),ROWS(Tables!$C$99:$C$118)-1))))*(INDEX(Tables!$D$99:$D$118,MAX(1,MIN(IFERROR(MATCH(AF137,Tables!$C$99:$C$118,1),1),ROWS(Tables!$C$99:$C$118)-1))+1)-INDEX(Tables!$D$99:$D$118,MAX(1,MIN(IFERROR(MATCH(AF137,Tables!$C$99:$C$118,1),1),ROWS(Tables!$C$99:$C$118)-1))))/(INDEX(Tables!$C$99:$C$118,MAX(1,MIN(IFERROR(MATCH(AF137,Tables!$C$99:$C$118,1),1),ROWS(Tables!$C$99:$C$118)-1))+1)-INDEX(Tables!$C$99:$C$118,MAX(1,MIN(IFERROR(MATCH(AF137,Tables!$C$99:$C$118,1),1),ROWS(Tables!$C$99:$C$118)-1))))),(INDEX(Tables!$F$99:$F$118,MAX(1,MIN(IFERROR(MATCH(AF137,Tables!$E$99:$E$118,1),1),ROWS(Tables!$E$99:$E$118)-1)))+(AF137-INDEX(Tables!$E$99:$E$118,MAX(1,MIN(IFERROR(MATCH(AF137,Tables!$E$99:$E$118,1),1),ROWS(Tables!$E$99:$E$118)-1))))*(INDEX(Tables!$F$99:$F$118,MAX(1,MIN(IFERROR(MATCH(AF137,Tables!$E$99:$E$118,1),1),ROWS(Tables!$E$99:$E$118)-1))+1)-INDEX(Tables!$F$99:$F$118,MAX(1,MIN(IFERROR(MATCH(AF137,Tables!$E$99:$E$118,1),1),ROWS(Tables!$E$99:$E$118)-1))))/(INDEX(Tables!$E$99:$E$118,MAX(1,MIN(IFERROR(MATCH(AF137,Tables!$E$99:$E$118,1),1),ROWS(Tables!$E$99:$E$118)-1))+1)-INDEX(Tables!$E$99:$E$118,MAX(1,MIN(IFERROR(MATCH(AF137,Tables!$E$99:$E$118,1),1),ROWS(Tables!$E$99:$E$118)-1)))))))</f>
        <v>14.719467653728158</v>
      </c>
      <c r="AQ137" s="181">
        <f>IF(P137&lt;6,(INDEX(Tables!$B$123:$B$138,MAX(1,MIN(IFERROR(MATCH(U137,Tables!$A$123:$A$138,1),1),ROWS(Tables!$A$123:$A$138)-1)))+(U137-INDEX(Tables!$A$123:$A$138,MAX(1,MIN(IFERROR(MATCH(U137,Tables!$A$123:$A$138,1),1),ROWS(Tables!$A$123:$A$138)-1))))*(INDEX(Tables!$B$123:$B$138,MAX(1,MIN(IFERROR(MATCH(U137,Tables!$A$123:$A$138,1),1),ROWS(Tables!$A$123:$A$138)-1))+1)-INDEX(Tables!$B$123:$B$138,MAX(1,MIN(IFERROR(MATCH(U137,Tables!$A$123:$A$138,1),1),ROWS(Tables!$A$123:$A$138)-1))))/(INDEX(Tables!$A$123:$A$138,MAX(1,MIN(IFERROR(MATCH(U137,Tables!$A$123:$A$138,1),1),ROWS(Tables!$A$123:$A$138)-1))+1)-INDEX(Tables!$A$123:$A$138,MAX(1,MIN(IFERROR(MATCH(U137,Tables!$A$123:$A$138,1),1),ROWS(Tables!$A$123:$A$138)-1))))),IF(P137&lt;8,(INDEX(Tables!$D$123:$D$138,MAX(1,MIN(IFERROR(MATCH(U137,Tables!$C$123:$C$138,1),1),ROWS(Tables!$C$123:$C$138)-1)))+(U137-INDEX(Tables!$C$123:$C$138,MAX(1,MIN(IFERROR(MATCH(U137,Tables!$C$123:$C$138,1),1),ROWS(Tables!$C$123:$C$138)-1))))*(INDEX(Tables!$D$123:$D$138,MAX(1,MIN(IFERROR(MATCH(U137,Tables!$C$123:$C$138,1),1),ROWS(Tables!$C$123:$C$138)-1))+1)-INDEX(Tables!$D$123:$D$138,MAX(1,MIN(IFERROR(MATCH(U137,Tables!$C$123:$C$138,1),1),ROWS(Tables!$C$123:$C$138)-1))))/(INDEX(Tables!$C$123:$C$138,MAX(1,MIN(IFERROR(MATCH(U137,Tables!$C$123:$C$138,1),1),ROWS(Tables!$C$123:$C$138)-1))+1)-INDEX(Tables!$C$123:$C$138,MAX(1,MIN(IFERROR(MATCH(U137,Tables!$C$123:$C$138,1),1),ROWS(Tables!$C$123:$C$138)-1))))),IF(P137&lt;10,(INDEX(Tables!$F$123:$F$138,MAX(1,MIN(IFERROR(MATCH(U137,Tables!$E$123:$E$138,1),1),ROWS(Tables!$E$123:$E$138)-1)))+(U137-INDEX(Tables!$E$123:$E$138,MAX(1,MIN(IFERROR(MATCH(U137,Tables!$E$123:$E$138,1),1),ROWS(Tables!$E$123:$E$138)-1))))*(INDEX(Tables!$F$123:$F$138,MAX(1,MIN(IFERROR(MATCH(U137,Tables!$E$123:$E$138,1),1),ROWS(Tables!$E$123:$E$138)-1))+1)-INDEX(Tables!$F$123:$F$138,MAX(1,MIN(IFERROR(MATCH(U137,Tables!$E$123:$E$138,1),1),ROWS(Tables!$E$123:$E$138)-1))))/(INDEX(Tables!$E$123:$E$138,MAX(1,MIN(IFERROR(MATCH(U137,Tables!$E$123:$E$138,1),1),ROWS(Tables!$E$123:$E$138)-1))+1)-INDEX(Tables!$E$123:$E$138,MAX(1,MIN(IFERROR(MATCH(U137,Tables!$E$123:$E$138,1),1),ROWS(Tables!$E$123:$E$138)-1))))),(INDEX(Tables!$H$123:$H$138,MAX(1,MIN(IFERROR(MATCH(U137,Tables!$G$123:$G$138,1),1),ROWS(Tables!$G$123:$G$138)-1)))+(U137-INDEX(Tables!$G$123:$G$138,MAX(1,MIN(IFERROR(MATCH(U137,Tables!$G$123:$G$138,1),1),ROWS(Tables!$G$123:$G$138)-1))))*(INDEX(Tables!$H$123:$H$138,MAX(1,MIN(IFERROR(MATCH(U137,Tables!$G$123:$G$138,1),1),ROWS(Tables!$G$123:$G$138)-1))+1)-INDEX(Tables!$H$123:$H$138,MAX(1,MIN(IFERROR(MATCH(U137,Tables!$G$123:$G$138,1),1),ROWS(Tables!$G$123:$G$138)-1))))/(INDEX(Tables!$G$123:$G$138,MAX(1,MIN(IFERROR(MATCH(U137,Tables!$G$123:$G$138,1),1),ROWS(Tables!$G$123:$G$138)-1))+1)-INDEX(Tables!$G$123:$G$138,MAX(1,MIN(IFERROR(MATCH(U137,Tables!$G$123:$G$138,1),1),ROWS(Tables!$G$123:$G$138)-1))))))))</f>
        <v>1.01675</v>
      </c>
      <c r="AR137" s="181">
        <f>IF(OR(P137&gt;=4,U137&gt;12),VLOOKUP(R137&amp;" "&amp;S137,Tables!$D$143:$F$148,2,FALSE),VLOOKUP(R137&amp;" "&amp;S137,Tables!$A$143:$C$148,2,FALSE))</f>
        <v>0.9</v>
      </c>
      <c r="AS137" s="181">
        <f>IF(OR(P137&gt;=4,U137&gt;12),VLOOKUP(R137&amp;" "&amp;S137,Tables!$D$143:$F$148,3,FALSE),VLOOKUP(R137&amp;" "&amp;S137,Tables!$A$143:$C$148,3,FALSE))</f>
        <v>0.65</v>
      </c>
      <c r="AT137" s="181">
        <f t="shared" si="136"/>
        <v>1077.0400328673893</v>
      </c>
      <c r="AU137" s="181">
        <f>IF(AD137=5000,(INDEX(Tables!$B$244:$B$263,MAX(1,MIN(IFERROR(MATCH(AF137,Tables!$A$244:$A$263,1),1),ROWS(Tables!$A$244:$A$263)-1)))+(AF137-INDEX(Tables!$A$244:$A$263,MAX(1,MIN(IFERROR(MATCH(AF137,Tables!$A$244:$A$263,1),1),ROWS(Tables!$A$244:$A$263)-1))))*(INDEX(Tables!$B$244:$B$263,MAX(1,MIN(IFERROR(MATCH(AF137,Tables!$A$244:$A$263,1),1),ROWS(Tables!$A$244:$A$263)-1))+1)-INDEX(Tables!$B$244:$B$263,MAX(1,MIN(IFERROR(MATCH(AF137,Tables!$A$244:$A$263,1),1),ROWS(Tables!$A$244:$A$263)-1))))/(INDEX(Tables!$A$244:$A$263,MAX(1,MIN(IFERROR(MATCH(AF137,Tables!$A$244:$A$263,1),1),ROWS(Tables!$A$244:$A$263)-1))+1)-INDEX(Tables!$A$244:$A$263,MAX(1,MIN(IFERROR(MATCH(AF137,Tables!$A$244:$A$263,1),1),ROWS(Tables!$A$244:$A$263)-1))))),IF(AD137=10000,(INDEX(Tables!$D$244:$D$263,MAX(1,MIN(IFERROR(MATCH(AF137,Tables!$C$244:$C$263,1),1),ROWS(Tables!$C$244:$C$263)-1)))+(AF137-INDEX(Tables!$C$244:$C$263,MAX(1,MIN(IFERROR(MATCH(AF137,Tables!$C$244:$C$263,1),1),ROWS(Tables!$C$244:$C$263)-1))))*(INDEX(Tables!$D$244:$D$263,MAX(1,MIN(IFERROR(MATCH(AF137,Tables!$C$244:$C$263,1),1),ROWS(Tables!$C$244:$C$263)-1))+1)-INDEX(Tables!$D$244:$D$263,MAX(1,MIN(IFERROR(MATCH(AF137,Tables!$C$244:$C$263,1),1),ROWS(Tables!$C$244:$C$263)-1))))/(INDEX(Tables!$C$244:$C$263,MAX(1,MIN(IFERROR(MATCH(AF137,Tables!$C$244:$C$263,1),1),ROWS(Tables!$C$244:$C$263)-1))+1)-INDEX(Tables!$C$244:$C$263,MAX(1,MIN(IFERROR(MATCH(AF137,Tables!$C$244:$C$263,1),1),ROWS(Tables!$C$244:$C$263)-1))))),(INDEX(Tables!$F$244:$F$263,MAX(1,MIN(IFERROR(MATCH(AF137,Tables!$E$244:$E$263,1),1),ROWS(Tables!$E$244:$E$263)-1)))+(AF137-INDEX(Tables!$E$244:$E$263,MAX(1,MIN(IFERROR(MATCH(AF137,Tables!$E$244:$E$263,1),1),ROWS(Tables!$E$244:$E$263)-1))))*(INDEX(Tables!$F$244:$F$263,MAX(1,MIN(IFERROR(MATCH(AF137,Tables!$E$244:$E$263,1),1),ROWS(Tables!$E$244:$E$263)-1))+1)-INDEX(Tables!$F$244:$F$263,MAX(1,MIN(IFERROR(MATCH(AF137,Tables!$E$244:$E$263,1),1),ROWS(Tables!$E$244:$E$263)-1))))/(INDEX(Tables!$E$244:$E$263,MAX(1,MIN(IFERROR(MATCH(AF137,Tables!$E$244:$E$263,1),1),ROWS(Tables!$E$244:$E$263)-1))+1)-INDEX(Tables!$E$244:$E$263,MAX(1,MIN(IFERROR(MATCH(AF137,Tables!$E$244:$E$263,1),1),ROWS(Tables!$E$244:$E$263)-1)))))))</f>
        <v>9.9936039215686279</v>
      </c>
      <c r="AV137" s="181">
        <f>IF(P137&lt;6,(INDEX(Tables!$B$260:$B$274,MAX(1,MIN(IFERROR(MATCH(U137,Tables!$A$260:$A$274,1),1),ROWS(Tables!$A$260:$A$274)-1)))+(U137-INDEX(Tables!$A$260:$A$274,MAX(1,MIN(IFERROR(MATCH(U137,Tables!$A$260:$A$274,1),1),ROWS(Tables!$A$260:$A$274)-1))))*(INDEX(Tables!$B$260:$B$274,MAX(1,MIN(IFERROR(MATCH(U137,Tables!$A$260:$A$274,1),1),ROWS(Tables!$A$260:$A$274)-1))+1)-INDEX(Tables!$B$260:$B$274,MAX(1,MIN(IFERROR(MATCH(U137,Tables!$A$260:$A$274,1),1),ROWS(Tables!$A$260:$A$274)-1))))/(INDEX(Tables!$A$260:$A$274,MAX(1,MIN(IFERROR(MATCH(U137,Tables!$A$260:$A$274,1),1),ROWS(Tables!$A$260:$A$274)-1))+1)-INDEX(Tables!$A$260:$A$274,MAX(1,MIN(IFERROR(MATCH(U137,Tables!$A$260:$A$274,1),1),ROWS(Tables!$A$260:$A$274)-1))))),IF(P137&lt;8,(INDEX(Tables!$D$260:$D$274,MAX(1,MIN(IFERROR(MATCH(U137,Tables!$C$260:$C$274,1),1),ROWS(Tables!$C$260:$C$274)-1)))+(U137-INDEX(Tables!$C$260:$C$274,MAX(1,MIN(IFERROR(MATCH(U137,Tables!$C$260:$C$274,1),1),ROWS(Tables!$C$260:$C$274)-1))))*(INDEX(Tables!$D$260:$D$274,MAX(1,MIN(IFERROR(MATCH(U137,Tables!$C$260:$C$274,1),1),ROWS(Tables!$C$260:$C$274)-1))+1)-INDEX(Tables!$D$260:$D$274,MAX(1,MIN(IFERROR(MATCH(U137,Tables!$C$260:$C$274,1),1),ROWS(Tables!$C$260:$C$274)-1))))/(INDEX(Tables!$C$260:$C$274,MAX(1,MIN(IFERROR(MATCH(U137,Tables!$C$260:$C$274,1),1),ROWS(Tables!$C$260:$C$274)-1))+1)-INDEX(Tables!$C$260:$C$274,MAX(1,MIN(IFERROR(MATCH(U137,Tables!$C$260:$C$274,1),1),ROWS(Tables!$C$260:$C$274)-1))))),IF(P137&lt;10,(INDEX(Tables!$F$260:$F$274,MAX(1,MIN(IFERROR(MATCH(U137,Tables!$E$260:$E$274,1),1),ROWS(Tables!$E$260:$E$274)-1)))+(U137-INDEX(Tables!$E$260:$E$274,MAX(1,MIN(IFERROR(MATCH(U137,Tables!$E$260:$E$274,1),1),ROWS(Tables!$E$260:$E$274)-1))))*(INDEX(Tables!$F$260:$F$274,MAX(1,MIN(IFERROR(MATCH(U137,Tables!$E$260:$E$274,1),1),ROWS(Tables!$E$260:$E$274)-1))+1)-INDEX(Tables!$F$260:$F$274,MAX(1,MIN(IFERROR(MATCH(U137,Tables!$E$260:$E$274,1),1),ROWS(Tables!$E$260:$E$274)-1))))/(INDEX(Tables!$E$260:$E$274,MAX(1,MIN(IFERROR(MATCH(U137,Tables!$E$260:$E$274,1),1),ROWS(Tables!$E$260:$E$274)-1))+1)-INDEX(Tables!$E$260:$E$274,MAX(1,MIN(IFERROR(MATCH(U137,Tables!$E$260:$E$274,1),1),ROWS(Tables!$E$260:$E$274)-1))))),(INDEX(Tables!$H$260:$H$274,MAX(1,MIN(IFERROR(MATCH(U137,Tables!$G$260:$G$274,1),1),ROWS(Tables!$G$260:$G$274)-1)))+(U137-INDEX(Tables!$G$260:$G$274,MAX(1,MIN(IFERROR(MATCH(U137,Tables!$G$260:$G$274,1),1),ROWS(Tables!$G$260:$G$274)-1))))*(INDEX(Tables!$H$260:$H$274,MAX(1,MIN(IFERROR(MATCH(U137,Tables!$G$260:$G$274,1),1),ROWS(Tables!$G$260:$G$274)-1))+1)-INDEX(Tables!$H$260:$H$274,MAX(1,MIN(IFERROR(MATCH(U137,Tables!$G$260:$G$274,1),1),ROWS(Tables!$G$260:$G$274)-1))))/(INDEX(Tables!$G$260:$G$274,MAX(1,MIN(IFERROR(MATCH(U137,Tables!$G$260:$G$274,1),1),ROWS(Tables!$G$260:$G$274)-1))+1)-INDEX(Tables!$G$260:$G$274,MAX(1,MIN(IFERROR(MATCH(U137,Tables!$G$260:$G$274,1),1),ROWS(Tables!$G$260:$G$274)-1))))))))</f>
        <v>1.0024999999999999</v>
      </c>
      <c r="AW137" s="181">
        <f t="shared" si="137"/>
        <v>720.9947057105677</v>
      </c>
      <c r="AX137" s="181">
        <f t="shared" si="138"/>
        <v>46844.766839378244</v>
      </c>
      <c r="AY137" s="181">
        <f t="shared" si="139"/>
        <v>50944.020446892049</v>
      </c>
      <c r="AZ137" s="181">
        <f t="shared" si="140"/>
        <v>15681.088829917966</v>
      </c>
      <c r="BA137" s="181">
        <f t="shared" si="141"/>
        <v>-1440</v>
      </c>
      <c r="BB137" s="181">
        <f t="shared" si="142"/>
        <v>46263.871579915016</v>
      </c>
      <c r="BC137" s="181">
        <f t="shared" si="143"/>
        <v>46800</v>
      </c>
      <c r="BD137" s="181">
        <f>VLOOKUP(V137&amp;" "&amp;J137,Tables!$A$152:$E$239,4,FALSE)</f>
        <v>12000</v>
      </c>
      <c r="BE137" s="181">
        <f>VLOOKUP(V137&amp;" "&amp;J137,Tables!$A$152:$E$239,5,FALSE)</f>
        <v>23000</v>
      </c>
      <c r="BF137" s="181">
        <f t="shared" si="144"/>
        <v>8640</v>
      </c>
      <c r="BG137" s="181">
        <f t="shared" si="145"/>
        <v>16560</v>
      </c>
      <c r="BH137" s="181">
        <f t="shared" si="146"/>
        <v>47564.766839378237</v>
      </c>
      <c r="BI137" s="181">
        <f t="shared" si="147"/>
        <v>46800</v>
      </c>
      <c r="BJ137" s="181">
        <f t="shared" si="148"/>
        <v>46263.871579915016</v>
      </c>
      <c r="BK137" s="181">
        <f t="shared" si="149"/>
        <v>46800</v>
      </c>
      <c r="BL137" s="181">
        <f t="shared" si="150"/>
        <v>720.9947057105677</v>
      </c>
      <c r="BM137" s="181">
        <f t="shared" si="151"/>
        <v>8640</v>
      </c>
      <c r="BN137" s="181">
        <f t="shared" si="152"/>
        <v>1077.0400328673893</v>
      </c>
      <c r="BO137" s="181">
        <f t="shared" si="153"/>
        <v>16560</v>
      </c>
      <c r="BP137" t="str">
        <f t="shared" si="154"/>
        <v>Fail</v>
      </c>
      <c r="BQ137" t="str">
        <f t="shared" si="155"/>
        <v>Pass</v>
      </c>
      <c r="BR137" t="str">
        <f t="shared" si="156"/>
        <v>Pass</v>
      </c>
      <c r="BS137" t="str">
        <f t="shared" si="157"/>
        <v>Pass</v>
      </c>
      <c r="BT137" t="str">
        <f t="shared" si="158"/>
        <v>Fail</v>
      </c>
      <c r="BU137" t="str">
        <f t="shared" si="159"/>
        <v>Barlow Stress</v>
      </c>
    </row>
    <row r="138" spans="1:73">
      <c r="A138" t="s">
        <v>730</v>
      </c>
      <c r="B138" s="181">
        <v>136</v>
      </c>
      <c r="C138" t="s">
        <v>594</v>
      </c>
      <c r="D138" s="181">
        <v>16</v>
      </c>
      <c r="E138" s="181">
        <v>0.20100000000000001</v>
      </c>
      <c r="F138" t="s">
        <v>117</v>
      </c>
      <c r="G138" t="s">
        <v>119</v>
      </c>
      <c r="H138" t="s">
        <v>122</v>
      </c>
      <c r="I138" s="181">
        <v>1</v>
      </c>
      <c r="J138" t="s">
        <v>126</v>
      </c>
      <c r="K138" t="s">
        <v>129</v>
      </c>
      <c r="L138" s="181">
        <v>70</v>
      </c>
      <c r="M138" s="181">
        <v>1440</v>
      </c>
      <c r="N138" t="s">
        <v>390</v>
      </c>
      <c r="O138" s="181">
        <v>120</v>
      </c>
      <c r="P138" s="181">
        <v>8</v>
      </c>
      <c r="Q138" s="181">
        <v>18</v>
      </c>
      <c r="R138" t="s">
        <v>418</v>
      </c>
      <c r="S138" t="s">
        <v>420</v>
      </c>
      <c r="T138" s="181">
        <v>70</v>
      </c>
      <c r="U138" s="181">
        <f>HLOOKUP(D138,'Highway Loading'!$C$155:$AD$156,2,FALSE)</f>
        <v>16</v>
      </c>
      <c r="V138" s="181">
        <f>IF(ISBLANK(G138),"",INDEX('Highway Loading'!$C$216:$AG$216,1,MATCH(G138,'Highway Loading'!$C$215:$AG$215,0)))</f>
        <v>65000</v>
      </c>
      <c r="W138" s="181">
        <f>INDEX('Highway Loading'!$I$245:$L$253,MATCH(H138,'Highway Loading'!$H$245:$H$253,0),MATCH(I138,'Highway Loading'!$I$244:$L$244,0))</f>
        <v>0.72</v>
      </c>
      <c r="X138" s="181">
        <f t="shared" si="128"/>
        <v>1</v>
      </c>
      <c r="Y138" s="181">
        <f>VLOOKUP(K138,'Highway Loading'!$B$283:$E$292,2,FALSE)</f>
        <v>29000000</v>
      </c>
      <c r="Z138" s="181">
        <f>VLOOKUP(K138,'Highway Loading'!$B$283:$E$292,3,FALSE)</f>
        <v>0.3</v>
      </c>
      <c r="AA138" s="181">
        <f>VLOOKUP(K138,'Highway Loading'!$B$283:$E$292,4,FALSE)</f>
        <v>6.4999999999999996E-6</v>
      </c>
      <c r="AB138" s="181">
        <f t="shared" si="129"/>
        <v>1</v>
      </c>
      <c r="AC138" s="181">
        <f>VLOOKUP(N138,'Highway Loading'!$B$256:$D$261,2,FALSE)</f>
        <v>1000</v>
      </c>
      <c r="AD138" s="181">
        <f>VLOOKUP(N138,'Highway Loading'!$B$256:$D$261,3,FALSE)</f>
        <v>10000</v>
      </c>
      <c r="AE138" s="181">
        <f>VLOOKUP(S138,'Highway Loading'!$B$340:$C$341,2,FALSE)</f>
        <v>12000</v>
      </c>
      <c r="AF138" s="181">
        <f t="shared" si="130"/>
        <v>1.2562500000000001E-2</v>
      </c>
      <c r="AG138" s="181">
        <f t="shared" si="131"/>
        <v>5.333333333333333</v>
      </c>
      <c r="AH138" s="181">
        <f t="shared" si="132"/>
        <v>1.125</v>
      </c>
      <c r="AI138" s="181">
        <f t="shared" si="133"/>
        <v>57313.432835820895</v>
      </c>
      <c r="AJ138" s="181">
        <f t="shared" si="134"/>
        <v>46800</v>
      </c>
      <c r="AK138" s="181">
        <f>IF(AC138=200,(INDEX(Tables!$B$17:$B$38,MAX(1,MIN(IFERROR(MATCH(AF138,Tables!$A$17:$A$38,1),1),ROWS(Tables!$A$17:$A$38)-1)))+(AF138-INDEX(Tables!$A$17:$A$38,MAX(1,MIN(IFERROR(MATCH(AF138,Tables!$A$17:$A$38,1),1),ROWS(Tables!$A$17:$A$38)-1))))*(INDEX(Tables!$B$17:$B$38,MAX(1,MIN(IFERROR(MATCH(AF138,Tables!$A$17:$A$38,1),1),ROWS(Tables!$A$17:$A$38)-1))+1)-INDEX(Tables!$B$17:$B$38,MAX(1,MIN(IFERROR(MATCH(AF138,Tables!$A$17:$A$38,1),1),ROWS(Tables!$A$17:$A$38)-1))))/(INDEX(Tables!$A$17:$A$38,MAX(1,MIN(IFERROR(MATCH(AF138,Tables!$A$17:$A$38,1),1),ROWS(Tables!$A$17:$A$38)-1))+1)-INDEX(Tables!$A$17:$A$38,MAX(1,MIN(IFERROR(MATCH(AF138,Tables!$A$17:$A$38,1),1),ROWS(Tables!$A$17:$A$38)-1))))),IF(AC138=500,(INDEX(Tables!$D$17:$D$38,MAX(1,MIN(IFERROR(MATCH(AF138,Tables!$C$17:$C$38,1),1),ROWS(Tables!$C$17:$C$38)-1)))+(AF138-INDEX(Tables!$C$17:$C$38,MAX(1,MIN(IFERROR(MATCH(AF138,Tables!$C$17:$C$38,1),1),ROWS(Tables!$C$17:$C$38)-1))))*(INDEX(Tables!$D$17:$D$38,MAX(1,MIN(IFERROR(MATCH(AF138,Tables!$C$17:$C$38,1),1),ROWS(Tables!$C$17:$C$38)-1))+1)-INDEX(Tables!$D$17:$D$38,MAX(1,MIN(IFERROR(MATCH(AF138,Tables!$C$17:$C$38,1),1),ROWS(Tables!$C$17:$C$38)-1))))/(INDEX(Tables!$C$17:$C$38,MAX(1,MIN(IFERROR(MATCH(AF138,Tables!$C$17:$C$38,1),1),ROWS(Tables!$C$17:$C$38)-1))+1)-INDEX(Tables!$C$17:$C$38,MAX(1,MIN(IFERROR(MATCH(AF138,Tables!$C$17:$C$38,1),1),ROWS(Tables!$C$17:$C$38)-1))))),IF(AC138=1000,(INDEX(Tables!$F$17:$F$38,MAX(1,MIN(IFERROR(MATCH(AF138,Tables!$E$17:$E$38,1),1),ROWS(Tables!$E$17:$E$38)-1)))+(AF138-INDEX(Tables!$E$17:$E$38,MAX(1,MIN(IFERROR(MATCH(AF138,Tables!$E$17:$E$38,1),1),ROWS(Tables!$E$17:$E$38)-1))))*(INDEX(Tables!$F$17:$F$38,MAX(1,MIN(IFERROR(MATCH(AF138,Tables!$E$17:$E$38,1),1),ROWS(Tables!$E$17:$E$38)-1))+1)-INDEX(Tables!$F$17:$F$38,MAX(1,MIN(IFERROR(MATCH(AF138,Tables!$E$17:$E$38,1),1),ROWS(Tables!$E$17:$E$38)-1))))/(INDEX(Tables!$E$17:$E$38,MAX(1,MIN(IFERROR(MATCH(AF138,Tables!$E$17:$E$38,1),1),ROWS(Tables!$E$17:$E$38)-1))+1)-INDEX(Tables!$E$17:$E$38,MAX(1,MIN(IFERROR(MATCH(AF138,Tables!$E$17:$E$38,1),1),ROWS(Tables!$E$17:$E$38)-1))))),(INDEX(Tables!$H$17:$H$38,MAX(1,MIN(IFERROR(MATCH(AF138,Tables!$G$17:$G$38,1),1),ROWS(Tables!$G$17:$G$38)-1)))+(AF138-INDEX(Tables!$G$17:$G$38,MAX(1,MIN(IFERROR(MATCH(AF138,Tables!$G$17:$G$38,1),1),ROWS(Tables!$G$17:$G$38)-1))))*(INDEX(Tables!$H$17:$H$38,MAX(1,MIN(IFERROR(MATCH(AF138,Tables!$G$17:$G$38,1),1),ROWS(Tables!$G$17:$G$38)-1))+1)-INDEX(Tables!$H$17:$H$38,MAX(1,MIN(IFERROR(MATCH(AF138,Tables!$G$17:$G$38,1),1),ROWS(Tables!$G$17:$G$38)-1))))/(INDEX(Tables!$G$17:$G$38,MAX(1,MIN(IFERROR(MATCH(AF138,Tables!$G$17:$G$38,1),1),ROWS(Tables!$G$17:$G$38)-1))+1)-INDEX(Tables!$G$17:$G$38,MAX(1,MIN(IFERROR(MATCH(AF138,Tables!$G$17:$G$38,1),1),ROWS(Tables!$G$17:$G$38)-1))))))))</f>
        <v>3866.4749999999999</v>
      </c>
      <c r="AL138" s="181">
        <f>IF(AC138&lt;1000,(INDEX(Tables!$B$43:$B$76,MAX(1,MIN(IFERROR(MATCH(AG138,Tables!$A$43:$A$76,1),1),ROWS(Tables!$A$43:$A$76)-1)))+(AG138-INDEX(Tables!$A$43:$A$76,MAX(1,MIN(IFERROR(MATCH(AG138,Tables!$A$43:$A$76,1),1),ROWS(Tables!$A$43:$A$76)-1))))*(INDEX(Tables!$B$43:$B$76,MAX(1,MIN(IFERROR(MATCH(AG138,Tables!$A$43:$A$76,1),1),ROWS(Tables!$A$43:$A$76)-1))+1)-INDEX(Tables!$B$43:$B$76,MAX(1,MIN(IFERROR(MATCH(AG138,Tables!$A$43:$A$76,1),1),ROWS(Tables!$A$43:$A$76)-1))))/(INDEX(Tables!$A$43:$A$76,MAX(1,MIN(IFERROR(MATCH(AG138,Tables!$A$43:$A$76,1),1),ROWS(Tables!$A$43:$A$76)-1))+1)-INDEX(Tables!$A$43:$A$76,MAX(1,MIN(IFERROR(MATCH(AG138,Tables!$A$43:$A$76,1),1),ROWS(Tables!$A$43:$A$76)-1))))),(INDEX(Tables!$D$43:$D$76,MAX(1,MIN(IFERROR(MATCH(AG138,Tables!$C$43:$C$76,1),1),ROWS(Tables!$C$43:$C$76)-1)))+(AG138-INDEX(Tables!$C$43:$C$76,MAX(1,MIN(IFERROR(MATCH(AG138,Tables!$C$43:$C$76,1),1),ROWS(Tables!$C$43:$C$76)-1))))*(INDEX(Tables!$D$43:$D$76,MAX(1,MIN(IFERROR(MATCH(AG138,Tables!$C$43:$C$76,1),1),ROWS(Tables!$C$43:$C$76)-1))+1)-INDEX(Tables!$D$43:$D$76,MAX(1,MIN(IFERROR(MATCH(AG138,Tables!$C$43:$C$76,1),1),ROWS(Tables!$C$43:$C$76)-1))))/(INDEX(Tables!$C$43:$C$76,MAX(1,MIN(IFERROR(MATCH(AG138,Tables!$C$43:$C$76,1),1),ROWS(Tables!$C$43:$C$76)-1))+1)-INDEX(Tables!$C$43:$C$76,MAX(1,MIN(IFERROR(MATCH(AG138,Tables!$C$43:$C$76,1),1),ROWS(Tables!$C$43:$C$76)-1))))))</f>
        <v>0.98666666666666658</v>
      </c>
      <c r="AM138" s="181">
        <f>(INDEX(Tables!$B$80:$B$87,MAX(1,MIN(IFERROR(MATCH(AH138,Tables!$A$80:$A$87,1),1),ROWS(Tables!$A$80:$A$87)-1)))+(AH138-INDEX(Tables!$A$80:$A$87,MAX(1,MIN(IFERROR(MATCH(AH138,Tables!$A$80:$A$87,1),1),ROWS(Tables!$A$80:$A$87)-1))))*(INDEX(Tables!$B$80:$B$87,MAX(1,MIN(IFERROR(MATCH(AH138,Tables!$A$80:$A$87,1),1),ROWS(Tables!$A$80:$A$87)-1))+1)-INDEX(Tables!$B$80:$B$87,MAX(1,MIN(IFERROR(MATCH(AH138,Tables!$A$80:$A$87,1),1),ROWS(Tables!$A$80:$A$87)-1))))/(INDEX(Tables!$A$80:$A$87,MAX(1,MIN(IFERROR(MATCH(AH138,Tables!$A$80:$A$87,1),1),ROWS(Tables!$A$80:$A$87)-1))+1)-INDEX(Tables!$A$80:$A$87,MAX(1,MIN(IFERROR(MATCH(AH138,Tables!$A$80:$A$87,1),1),ROWS(Tables!$A$80:$A$87)-1)))))</f>
        <v>1.04345</v>
      </c>
      <c r="AN138" s="181">
        <f t="shared" si="135"/>
        <v>4422.9781787777774</v>
      </c>
      <c r="AO138" s="181">
        <f>(INDEX(Tables!$B$91:$B$94,MAX(1,MIN(IFERROR(MATCH(P138,Tables!$A$91:$A$94,1),1),ROWS(Tables!$A$91:$A$94)-1)))+(P138-INDEX(Tables!$A$91:$A$94,MAX(1,MIN(IFERROR(MATCH(P138,Tables!$A$91:$A$94,1),1),ROWS(Tables!$A$91:$A$94)-1))))*(INDEX(Tables!$B$91:$B$94,MAX(1,MIN(IFERROR(MATCH(P138,Tables!$A$91:$A$94,1),1),ROWS(Tables!$A$91:$A$94)-1))+1)-INDEX(Tables!$B$91:$B$94,MAX(1,MIN(IFERROR(MATCH(P138,Tables!$A$91:$A$94,1),1),ROWS(Tables!$A$91:$A$94)-1))))/(INDEX(Tables!$A$91:$A$94,MAX(1,MIN(IFERROR(MATCH(P138,Tables!$A$91:$A$94,1),1),ROWS(Tables!$A$91:$A$94)-1))+1)-INDEX(Tables!$A$91:$A$94,MAX(1,MIN(IFERROR(MATCH(P138,Tables!$A$91:$A$94,1),1),ROWS(Tables!$A$91:$A$94)-1)))))</f>
        <v>1.4152439024390244</v>
      </c>
      <c r="AP138" s="181">
        <f>IF(AD138=5000,(INDEX(Tables!$B$99:$B$118,MAX(1,MIN(IFERROR(MATCH(AF138,Tables!$A$99:$A$118,1),1),ROWS(Tables!$A$99:$A$118)-1)))+(AF138-INDEX(Tables!$A$99:$A$118,MAX(1,MIN(IFERROR(MATCH(AF138,Tables!$A$99:$A$118,1),1),ROWS(Tables!$A$99:$A$118)-1))))*(INDEX(Tables!$B$99:$B$118,MAX(1,MIN(IFERROR(MATCH(AF138,Tables!$A$99:$A$118,1),1),ROWS(Tables!$A$99:$A$118)-1))+1)-INDEX(Tables!$B$99:$B$118,MAX(1,MIN(IFERROR(MATCH(AF138,Tables!$A$99:$A$118,1),1),ROWS(Tables!$A$99:$A$118)-1))))/(INDEX(Tables!$A$99:$A$118,MAX(1,MIN(IFERROR(MATCH(AF138,Tables!$A$99:$A$118,1),1),ROWS(Tables!$A$99:$A$118)-1))+1)-INDEX(Tables!$A$99:$A$118,MAX(1,MIN(IFERROR(MATCH(AF138,Tables!$A$99:$A$118,1),1),ROWS(Tables!$A$99:$A$118)-1))))),IF(AD138=10000,(INDEX(Tables!$D$99:$D$118,MAX(1,MIN(IFERROR(MATCH(AF138,Tables!$C$99:$C$118,1),1),ROWS(Tables!$C$99:$C$118)-1)))+(AF138-INDEX(Tables!$C$99:$C$118,MAX(1,MIN(IFERROR(MATCH(AF138,Tables!$C$99:$C$118,1),1),ROWS(Tables!$C$99:$C$118)-1))))*(INDEX(Tables!$D$99:$D$118,MAX(1,MIN(IFERROR(MATCH(AF138,Tables!$C$99:$C$118,1),1),ROWS(Tables!$C$99:$C$118)-1))+1)-INDEX(Tables!$D$99:$D$118,MAX(1,MIN(IFERROR(MATCH(AF138,Tables!$C$99:$C$118,1),1),ROWS(Tables!$C$99:$C$118)-1))))/(INDEX(Tables!$C$99:$C$118,MAX(1,MIN(IFERROR(MATCH(AF138,Tables!$C$99:$C$118,1),1),ROWS(Tables!$C$99:$C$118)-1))+1)-INDEX(Tables!$C$99:$C$118,MAX(1,MIN(IFERROR(MATCH(AF138,Tables!$C$99:$C$118,1),1),ROWS(Tables!$C$99:$C$118)-1))))),(INDEX(Tables!$F$99:$F$118,MAX(1,MIN(IFERROR(MATCH(AF138,Tables!$E$99:$E$118,1),1),ROWS(Tables!$E$99:$E$118)-1)))+(AF138-INDEX(Tables!$E$99:$E$118,MAX(1,MIN(IFERROR(MATCH(AF138,Tables!$E$99:$E$118,1),1),ROWS(Tables!$E$99:$E$118)-1))))*(INDEX(Tables!$F$99:$F$118,MAX(1,MIN(IFERROR(MATCH(AF138,Tables!$E$99:$E$118,1),1),ROWS(Tables!$E$99:$E$118)-1))+1)-INDEX(Tables!$F$99:$F$118,MAX(1,MIN(IFERROR(MATCH(AF138,Tables!$E$99:$E$118,1),1),ROWS(Tables!$E$99:$E$118)-1))))/(INDEX(Tables!$E$99:$E$118,MAX(1,MIN(IFERROR(MATCH(AF138,Tables!$E$99:$E$118,1),1),ROWS(Tables!$E$99:$E$118)-1))+1)-INDEX(Tables!$E$99:$E$118,MAX(1,MIN(IFERROR(MATCH(AF138,Tables!$E$99:$E$118,1),1),ROWS(Tables!$E$99:$E$118)-1)))))))</f>
        <v>14.196524590163936</v>
      </c>
      <c r="AQ138" s="181">
        <f>IF(P138&lt;6,(INDEX(Tables!$B$123:$B$138,MAX(1,MIN(IFERROR(MATCH(U138,Tables!$A$123:$A$138,1),1),ROWS(Tables!$A$123:$A$138)-1)))+(U138-INDEX(Tables!$A$123:$A$138,MAX(1,MIN(IFERROR(MATCH(U138,Tables!$A$123:$A$138,1),1),ROWS(Tables!$A$123:$A$138)-1))))*(INDEX(Tables!$B$123:$B$138,MAX(1,MIN(IFERROR(MATCH(U138,Tables!$A$123:$A$138,1),1),ROWS(Tables!$A$123:$A$138)-1))+1)-INDEX(Tables!$B$123:$B$138,MAX(1,MIN(IFERROR(MATCH(U138,Tables!$A$123:$A$138,1),1),ROWS(Tables!$A$123:$A$138)-1))))/(INDEX(Tables!$A$123:$A$138,MAX(1,MIN(IFERROR(MATCH(U138,Tables!$A$123:$A$138,1),1),ROWS(Tables!$A$123:$A$138)-1))+1)-INDEX(Tables!$A$123:$A$138,MAX(1,MIN(IFERROR(MATCH(U138,Tables!$A$123:$A$138,1),1),ROWS(Tables!$A$123:$A$138)-1))))),IF(P138&lt;8,(INDEX(Tables!$D$123:$D$138,MAX(1,MIN(IFERROR(MATCH(U138,Tables!$C$123:$C$138,1),1),ROWS(Tables!$C$123:$C$138)-1)))+(U138-INDEX(Tables!$C$123:$C$138,MAX(1,MIN(IFERROR(MATCH(U138,Tables!$C$123:$C$138,1),1),ROWS(Tables!$C$123:$C$138)-1))))*(INDEX(Tables!$D$123:$D$138,MAX(1,MIN(IFERROR(MATCH(U138,Tables!$C$123:$C$138,1),1),ROWS(Tables!$C$123:$C$138)-1))+1)-INDEX(Tables!$D$123:$D$138,MAX(1,MIN(IFERROR(MATCH(U138,Tables!$C$123:$C$138,1),1),ROWS(Tables!$C$123:$C$138)-1))))/(INDEX(Tables!$C$123:$C$138,MAX(1,MIN(IFERROR(MATCH(U138,Tables!$C$123:$C$138,1),1),ROWS(Tables!$C$123:$C$138)-1))+1)-INDEX(Tables!$C$123:$C$138,MAX(1,MIN(IFERROR(MATCH(U138,Tables!$C$123:$C$138,1),1),ROWS(Tables!$C$123:$C$138)-1))))),IF(P138&lt;10,(INDEX(Tables!$F$123:$F$138,MAX(1,MIN(IFERROR(MATCH(U138,Tables!$E$123:$E$138,1),1),ROWS(Tables!$E$123:$E$138)-1)))+(U138-INDEX(Tables!$E$123:$E$138,MAX(1,MIN(IFERROR(MATCH(U138,Tables!$E$123:$E$138,1),1),ROWS(Tables!$E$123:$E$138)-1))))*(INDEX(Tables!$F$123:$F$138,MAX(1,MIN(IFERROR(MATCH(U138,Tables!$E$123:$E$138,1),1),ROWS(Tables!$E$123:$E$138)-1))+1)-INDEX(Tables!$F$123:$F$138,MAX(1,MIN(IFERROR(MATCH(U138,Tables!$E$123:$E$138,1),1),ROWS(Tables!$E$123:$E$138)-1))))/(INDEX(Tables!$E$123:$E$138,MAX(1,MIN(IFERROR(MATCH(U138,Tables!$E$123:$E$138,1),1),ROWS(Tables!$E$123:$E$138)-1))+1)-INDEX(Tables!$E$123:$E$138,MAX(1,MIN(IFERROR(MATCH(U138,Tables!$E$123:$E$138,1),1),ROWS(Tables!$E$123:$E$138)-1))))),(INDEX(Tables!$H$123:$H$138,MAX(1,MIN(IFERROR(MATCH(U138,Tables!$G$123:$G$138,1),1),ROWS(Tables!$G$123:$G$138)-1)))+(U138-INDEX(Tables!$G$123:$G$138,MAX(1,MIN(IFERROR(MATCH(U138,Tables!$G$123:$G$138,1),1),ROWS(Tables!$G$123:$G$138)-1))))*(INDEX(Tables!$H$123:$H$138,MAX(1,MIN(IFERROR(MATCH(U138,Tables!$G$123:$G$138,1),1),ROWS(Tables!$G$123:$G$138)-1))+1)-INDEX(Tables!$H$123:$H$138,MAX(1,MIN(IFERROR(MATCH(U138,Tables!$G$123:$G$138,1),1),ROWS(Tables!$G$123:$G$138)-1))))/(INDEX(Tables!$G$123:$G$138,MAX(1,MIN(IFERROR(MATCH(U138,Tables!$G$123:$G$138,1),1),ROWS(Tables!$G$123:$G$138)-1))+1)-INDEX(Tables!$G$123:$G$138,MAX(1,MIN(IFERROR(MATCH(U138,Tables!$G$123:$G$138,1),1),ROWS(Tables!$G$123:$G$138)-1))))))))</f>
        <v>0.79200000000000004</v>
      </c>
      <c r="AR138" s="181">
        <f>IF(OR(P138&gt;=4,U138&gt;12),VLOOKUP(R138&amp;" "&amp;S138,Tables!$D$143:$F$148,2,FALSE),VLOOKUP(R138&amp;" "&amp;S138,Tables!$A$143:$C$148,2,FALSE))</f>
        <v>0.9</v>
      </c>
      <c r="AS138" s="181">
        <f>IF(OR(P138&gt;=4,U138&gt;12),VLOOKUP(R138&amp;" "&amp;S138,Tables!$D$143:$F$148,3,FALSE),VLOOKUP(R138&amp;" "&amp;S138,Tables!$A$143:$C$148,3,FALSE))</f>
        <v>0.65</v>
      </c>
      <c r="AT138" s="181">
        <f t="shared" si="136"/>
        <v>775.73454712395051</v>
      </c>
      <c r="AU138" s="181">
        <f>IF(AD138=5000,(INDEX(Tables!$B$244:$B$263,MAX(1,MIN(IFERROR(MATCH(AF138,Tables!$A$244:$A$263,1),1),ROWS(Tables!$A$244:$A$263)-1)))+(AF138-INDEX(Tables!$A$244:$A$263,MAX(1,MIN(IFERROR(MATCH(AF138,Tables!$A$244:$A$263,1),1),ROWS(Tables!$A$244:$A$263)-1))))*(INDEX(Tables!$B$244:$B$263,MAX(1,MIN(IFERROR(MATCH(AF138,Tables!$A$244:$A$263,1),1),ROWS(Tables!$A$244:$A$263)-1))+1)-INDEX(Tables!$B$244:$B$263,MAX(1,MIN(IFERROR(MATCH(AF138,Tables!$A$244:$A$263,1),1),ROWS(Tables!$A$244:$A$263)-1))))/(INDEX(Tables!$A$244:$A$263,MAX(1,MIN(IFERROR(MATCH(AF138,Tables!$A$244:$A$263,1),1),ROWS(Tables!$A$244:$A$263)-1))+1)-INDEX(Tables!$A$244:$A$263,MAX(1,MIN(IFERROR(MATCH(AF138,Tables!$A$244:$A$263,1),1),ROWS(Tables!$A$244:$A$263)-1))))),IF(AD138=10000,(INDEX(Tables!$D$244:$D$263,MAX(1,MIN(IFERROR(MATCH(AF138,Tables!$C$244:$C$263,1),1),ROWS(Tables!$C$244:$C$263)-1)))+(AF138-INDEX(Tables!$C$244:$C$263,MAX(1,MIN(IFERROR(MATCH(AF138,Tables!$C$244:$C$263,1),1),ROWS(Tables!$C$244:$C$263)-1))))*(INDEX(Tables!$D$244:$D$263,MAX(1,MIN(IFERROR(MATCH(AF138,Tables!$C$244:$C$263,1),1),ROWS(Tables!$C$244:$C$263)-1))+1)-INDEX(Tables!$D$244:$D$263,MAX(1,MIN(IFERROR(MATCH(AF138,Tables!$C$244:$C$263,1),1),ROWS(Tables!$C$244:$C$263)-1))))/(INDEX(Tables!$C$244:$C$263,MAX(1,MIN(IFERROR(MATCH(AF138,Tables!$C$244:$C$263,1),1),ROWS(Tables!$C$244:$C$263)-1))+1)-INDEX(Tables!$C$244:$C$263,MAX(1,MIN(IFERROR(MATCH(AF138,Tables!$C$244:$C$263,1),1),ROWS(Tables!$C$244:$C$263)-1))))),(INDEX(Tables!$F$244:$F$263,MAX(1,MIN(IFERROR(MATCH(AF138,Tables!$E$244:$E$263,1),1),ROWS(Tables!$E$244:$E$263)-1)))+(AF138-INDEX(Tables!$E$244:$E$263,MAX(1,MIN(IFERROR(MATCH(AF138,Tables!$E$244:$E$263,1),1),ROWS(Tables!$E$244:$E$263)-1))))*(INDEX(Tables!$F$244:$F$263,MAX(1,MIN(IFERROR(MATCH(AF138,Tables!$E$244:$E$263,1),1),ROWS(Tables!$E$244:$E$263)-1))+1)-INDEX(Tables!$F$244:$F$263,MAX(1,MIN(IFERROR(MATCH(AF138,Tables!$E$244:$E$263,1),1),ROWS(Tables!$E$244:$E$263)-1))))/(INDEX(Tables!$E$244:$E$263,MAX(1,MIN(IFERROR(MATCH(AF138,Tables!$E$244:$E$263,1),1),ROWS(Tables!$E$244:$E$263)-1))+1)-INDEX(Tables!$E$244:$E$263,MAX(1,MIN(IFERROR(MATCH(AF138,Tables!$E$244:$E$263,1),1),ROWS(Tables!$E$244:$E$263)-1)))))))</f>
        <v>9.8737916666666656</v>
      </c>
      <c r="AV138" s="181">
        <f>IF(P138&lt;6,(INDEX(Tables!$B$260:$B$274,MAX(1,MIN(IFERROR(MATCH(U138,Tables!$A$260:$A$274,1),1),ROWS(Tables!$A$260:$A$274)-1)))+(U138-INDEX(Tables!$A$260:$A$274,MAX(1,MIN(IFERROR(MATCH(U138,Tables!$A$260:$A$274,1),1),ROWS(Tables!$A$260:$A$274)-1))))*(INDEX(Tables!$B$260:$B$274,MAX(1,MIN(IFERROR(MATCH(U138,Tables!$A$260:$A$274,1),1),ROWS(Tables!$A$260:$A$274)-1))+1)-INDEX(Tables!$B$260:$B$274,MAX(1,MIN(IFERROR(MATCH(U138,Tables!$A$260:$A$274,1),1),ROWS(Tables!$A$260:$A$274)-1))))/(INDEX(Tables!$A$260:$A$274,MAX(1,MIN(IFERROR(MATCH(U138,Tables!$A$260:$A$274,1),1),ROWS(Tables!$A$260:$A$274)-1))+1)-INDEX(Tables!$A$260:$A$274,MAX(1,MIN(IFERROR(MATCH(U138,Tables!$A$260:$A$274,1),1),ROWS(Tables!$A$260:$A$274)-1))))),IF(P138&lt;8,(INDEX(Tables!$D$260:$D$274,MAX(1,MIN(IFERROR(MATCH(U138,Tables!$C$260:$C$274,1),1),ROWS(Tables!$C$260:$C$274)-1)))+(U138-INDEX(Tables!$C$260:$C$274,MAX(1,MIN(IFERROR(MATCH(U138,Tables!$C$260:$C$274,1),1),ROWS(Tables!$C$260:$C$274)-1))))*(INDEX(Tables!$D$260:$D$274,MAX(1,MIN(IFERROR(MATCH(U138,Tables!$C$260:$C$274,1),1),ROWS(Tables!$C$260:$C$274)-1))+1)-INDEX(Tables!$D$260:$D$274,MAX(1,MIN(IFERROR(MATCH(U138,Tables!$C$260:$C$274,1),1),ROWS(Tables!$C$260:$C$274)-1))))/(INDEX(Tables!$C$260:$C$274,MAX(1,MIN(IFERROR(MATCH(U138,Tables!$C$260:$C$274,1),1),ROWS(Tables!$C$260:$C$274)-1))+1)-INDEX(Tables!$C$260:$C$274,MAX(1,MIN(IFERROR(MATCH(U138,Tables!$C$260:$C$274,1),1),ROWS(Tables!$C$260:$C$274)-1))))),IF(P138&lt;10,(INDEX(Tables!$F$260:$F$274,MAX(1,MIN(IFERROR(MATCH(U138,Tables!$E$260:$E$274,1),1),ROWS(Tables!$E$260:$E$274)-1)))+(U138-INDEX(Tables!$E$260:$E$274,MAX(1,MIN(IFERROR(MATCH(U138,Tables!$E$260:$E$274,1),1),ROWS(Tables!$E$260:$E$274)-1))))*(INDEX(Tables!$F$260:$F$274,MAX(1,MIN(IFERROR(MATCH(U138,Tables!$E$260:$E$274,1),1),ROWS(Tables!$E$260:$E$274)-1))+1)-INDEX(Tables!$F$260:$F$274,MAX(1,MIN(IFERROR(MATCH(U138,Tables!$E$260:$E$274,1),1),ROWS(Tables!$E$260:$E$274)-1))))/(INDEX(Tables!$E$260:$E$274,MAX(1,MIN(IFERROR(MATCH(U138,Tables!$E$260:$E$274,1),1),ROWS(Tables!$E$260:$E$274)-1))+1)-INDEX(Tables!$E$260:$E$274,MAX(1,MIN(IFERROR(MATCH(U138,Tables!$E$260:$E$274,1),1),ROWS(Tables!$E$260:$E$274)-1))))),(INDEX(Tables!$H$260:$H$274,MAX(1,MIN(IFERROR(MATCH(U138,Tables!$G$260:$G$274,1),1),ROWS(Tables!$G$260:$G$274)-1)))+(U138-INDEX(Tables!$G$260:$G$274,MAX(1,MIN(IFERROR(MATCH(U138,Tables!$G$260:$G$274,1),1),ROWS(Tables!$G$260:$G$274)-1))))*(INDEX(Tables!$H$260:$H$274,MAX(1,MIN(IFERROR(MATCH(U138,Tables!$G$260:$G$274,1),1),ROWS(Tables!$G$260:$G$274)-1))+1)-INDEX(Tables!$H$260:$H$274,MAX(1,MIN(IFERROR(MATCH(U138,Tables!$G$260:$G$274,1),1),ROWS(Tables!$G$260:$G$274)-1))))/(INDEX(Tables!$G$260:$G$274,MAX(1,MIN(IFERROR(MATCH(U138,Tables!$G$260:$G$274,1),1),ROWS(Tables!$G$260:$G$274)-1))+1)-INDEX(Tables!$G$260:$G$274,MAX(1,MIN(IFERROR(MATCH(U138,Tables!$G$260:$G$274,1),1),ROWS(Tables!$G$260:$G$274)-1))))))))</f>
        <v>0.84099999999999997</v>
      </c>
      <c r="AW138" s="181">
        <f t="shared" si="137"/>
        <v>572.90929417902043</v>
      </c>
      <c r="AX138" s="181">
        <f t="shared" si="138"/>
        <v>56593.432835820888</v>
      </c>
      <c r="AY138" s="181">
        <f t="shared" si="139"/>
        <v>61792.145561722617</v>
      </c>
      <c r="AZ138" s="181">
        <f t="shared" si="140"/>
        <v>18877.83259855862</v>
      </c>
      <c r="BA138" s="181">
        <f t="shared" si="141"/>
        <v>-1440</v>
      </c>
      <c r="BB138" s="181">
        <f t="shared" si="142"/>
        <v>55914.026911600253</v>
      </c>
      <c r="BC138" s="181">
        <f t="shared" si="143"/>
        <v>46800</v>
      </c>
      <c r="BD138" s="181">
        <f>VLOOKUP(V138&amp;" "&amp;J138,Tables!$A$152:$E$239,4,FALSE)</f>
        <v>12000</v>
      </c>
      <c r="BE138" s="181">
        <f>VLOOKUP(V138&amp;" "&amp;J138,Tables!$A$152:$E$239,5,FALSE)</f>
        <v>23000</v>
      </c>
      <c r="BF138" s="181">
        <f t="shared" si="144"/>
        <v>8640</v>
      </c>
      <c r="BG138" s="181">
        <f t="shared" si="145"/>
        <v>16560</v>
      </c>
      <c r="BH138" s="181">
        <f t="shared" si="146"/>
        <v>57313.432835820895</v>
      </c>
      <c r="BI138" s="181">
        <f t="shared" si="147"/>
        <v>46800</v>
      </c>
      <c r="BJ138" s="181">
        <f t="shared" si="148"/>
        <v>55914.026911600253</v>
      </c>
      <c r="BK138" s="181">
        <f t="shared" si="149"/>
        <v>46800</v>
      </c>
      <c r="BL138" s="181">
        <f t="shared" si="150"/>
        <v>572.90929417902043</v>
      </c>
      <c r="BM138" s="181">
        <f t="shared" si="151"/>
        <v>8640</v>
      </c>
      <c r="BN138" s="181">
        <f t="shared" si="152"/>
        <v>775.73454712395051</v>
      </c>
      <c r="BO138" s="181">
        <f t="shared" si="153"/>
        <v>16560</v>
      </c>
      <c r="BP138" t="str">
        <f t="shared" si="154"/>
        <v>Fail</v>
      </c>
      <c r="BQ138" t="str">
        <f t="shared" si="155"/>
        <v>Fail</v>
      </c>
      <c r="BR138" t="str">
        <f t="shared" si="156"/>
        <v>Pass</v>
      </c>
      <c r="BS138" t="str">
        <f t="shared" si="157"/>
        <v>Pass</v>
      </c>
      <c r="BT138" t="str">
        <f t="shared" si="158"/>
        <v>Fail</v>
      </c>
      <c r="BU138" t="str">
        <f t="shared" si="159"/>
        <v>Barlow Stress</v>
      </c>
    </row>
    <row r="139" spans="1:73">
      <c r="A139" t="s">
        <v>731</v>
      </c>
      <c r="B139" s="181">
        <v>137</v>
      </c>
      <c r="C139" t="s">
        <v>594</v>
      </c>
      <c r="D139" s="181">
        <v>24</v>
      </c>
      <c r="E139" s="181">
        <v>0.26300000000000001</v>
      </c>
      <c r="F139" t="s">
        <v>117</v>
      </c>
      <c r="G139" t="s">
        <v>119</v>
      </c>
      <c r="H139" t="s">
        <v>122</v>
      </c>
      <c r="I139" s="181">
        <v>1</v>
      </c>
      <c r="J139" t="s">
        <v>126</v>
      </c>
      <c r="K139" t="s">
        <v>129</v>
      </c>
      <c r="L139" s="181">
        <v>70</v>
      </c>
      <c r="M139" s="181">
        <v>1440</v>
      </c>
      <c r="N139" t="s">
        <v>390</v>
      </c>
      <c r="O139" s="181">
        <v>120</v>
      </c>
      <c r="P139" s="181">
        <v>10</v>
      </c>
      <c r="Q139" s="181">
        <v>26</v>
      </c>
      <c r="R139" t="s">
        <v>418</v>
      </c>
      <c r="S139" t="s">
        <v>420</v>
      </c>
      <c r="T139" s="181">
        <v>70</v>
      </c>
      <c r="U139" s="181">
        <f>HLOOKUP(D139,'Highway Loading'!$C$155:$AD$156,2,FALSE)</f>
        <v>24</v>
      </c>
      <c r="V139" s="181">
        <f>IF(ISBLANK(G139),"",INDEX('Highway Loading'!$C$216:$AG$216,1,MATCH(G139,'Highway Loading'!$C$215:$AG$215,0)))</f>
        <v>65000</v>
      </c>
      <c r="W139" s="181">
        <f>INDEX('Highway Loading'!$I$245:$L$253,MATCH(H139,'Highway Loading'!$H$245:$H$253,0),MATCH(I139,'Highway Loading'!$I$244:$L$244,0))</f>
        <v>0.72</v>
      </c>
      <c r="X139" s="181">
        <f t="shared" si="128"/>
        <v>1</v>
      </c>
      <c r="Y139" s="181">
        <f>VLOOKUP(K139,'Highway Loading'!$B$283:$E$292,2,FALSE)</f>
        <v>29000000</v>
      </c>
      <c r="Z139" s="181">
        <f>VLOOKUP(K139,'Highway Loading'!$B$283:$E$292,3,FALSE)</f>
        <v>0.3</v>
      </c>
      <c r="AA139" s="181">
        <f>VLOOKUP(K139,'Highway Loading'!$B$283:$E$292,4,FALSE)</f>
        <v>6.4999999999999996E-6</v>
      </c>
      <c r="AB139" s="181">
        <f t="shared" si="129"/>
        <v>1</v>
      </c>
      <c r="AC139" s="181">
        <f>VLOOKUP(N139,'Highway Loading'!$B$256:$D$261,2,FALSE)</f>
        <v>1000</v>
      </c>
      <c r="AD139" s="181">
        <f>VLOOKUP(N139,'Highway Loading'!$B$256:$D$261,3,FALSE)</f>
        <v>10000</v>
      </c>
      <c r="AE139" s="181">
        <f>VLOOKUP(S139,'Highway Loading'!$B$340:$C$341,2,FALSE)</f>
        <v>12000</v>
      </c>
      <c r="AF139" s="181">
        <f t="shared" si="130"/>
        <v>1.0958333333333334E-2</v>
      </c>
      <c r="AG139" s="181">
        <f t="shared" si="131"/>
        <v>4.615384615384615</v>
      </c>
      <c r="AH139" s="181">
        <f t="shared" si="132"/>
        <v>1.0833333333333333</v>
      </c>
      <c r="AI139" s="181">
        <f t="shared" si="133"/>
        <v>65703.42205323193</v>
      </c>
      <c r="AJ139" s="181">
        <f t="shared" si="134"/>
        <v>46800</v>
      </c>
      <c r="AK139" s="181">
        <f>IF(AC139=200,(INDEX(Tables!$B$17:$B$38,MAX(1,MIN(IFERROR(MATCH(AF139,Tables!$A$17:$A$38,1),1),ROWS(Tables!$A$17:$A$38)-1)))+(AF139-INDEX(Tables!$A$17:$A$38,MAX(1,MIN(IFERROR(MATCH(AF139,Tables!$A$17:$A$38,1),1),ROWS(Tables!$A$17:$A$38)-1))))*(INDEX(Tables!$B$17:$B$38,MAX(1,MIN(IFERROR(MATCH(AF139,Tables!$A$17:$A$38,1),1),ROWS(Tables!$A$17:$A$38)-1))+1)-INDEX(Tables!$B$17:$B$38,MAX(1,MIN(IFERROR(MATCH(AF139,Tables!$A$17:$A$38,1),1),ROWS(Tables!$A$17:$A$38)-1))))/(INDEX(Tables!$A$17:$A$38,MAX(1,MIN(IFERROR(MATCH(AF139,Tables!$A$17:$A$38,1),1),ROWS(Tables!$A$17:$A$38)-1))+1)-INDEX(Tables!$A$17:$A$38,MAX(1,MIN(IFERROR(MATCH(AF139,Tables!$A$17:$A$38,1),1),ROWS(Tables!$A$17:$A$38)-1))))),IF(AC139=500,(INDEX(Tables!$D$17:$D$38,MAX(1,MIN(IFERROR(MATCH(AF139,Tables!$C$17:$C$38,1),1),ROWS(Tables!$C$17:$C$38)-1)))+(AF139-INDEX(Tables!$C$17:$C$38,MAX(1,MIN(IFERROR(MATCH(AF139,Tables!$C$17:$C$38,1),1),ROWS(Tables!$C$17:$C$38)-1))))*(INDEX(Tables!$D$17:$D$38,MAX(1,MIN(IFERROR(MATCH(AF139,Tables!$C$17:$C$38,1),1),ROWS(Tables!$C$17:$C$38)-1))+1)-INDEX(Tables!$D$17:$D$38,MAX(1,MIN(IFERROR(MATCH(AF139,Tables!$C$17:$C$38,1),1),ROWS(Tables!$C$17:$C$38)-1))))/(INDEX(Tables!$C$17:$C$38,MAX(1,MIN(IFERROR(MATCH(AF139,Tables!$C$17:$C$38,1),1),ROWS(Tables!$C$17:$C$38)-1))+1)-INDEX(Tables!$C$17:$C$38,MAX(1,MIN(IFERROR(MATCH(AF139,Tables!$C$17:$C$38,1),1),ROWS(Tables!$C$17:$C$38)-1))))),IF(AC139=1000,(INDEX(Tables!$F$17:$F$38,MAX(1,MIN(IFERROR(MATCH(AF139,Tables!$E$17:$E$38,1),1),ROWS(Tables!$E$17:$E$38)-1)))+(AF139-INDEX(Tables!$E$17:$E$38,MAX(1,MIN(IFERROR(MATCH(AF139,Tables!$E$17:$E$38,1),1),ROWS(Tables!$E$17:$E$38)-1))))*(INDEX(Tables!$F$17:$F$38,MAX(1,MIN(IFERROR(MATCH(AF139,Tables!$E$17:$E$38,1),1),ROWS(Tables!$E$17:$E$38)-1))+1)-INDEX(Tables!$F$17:$F$38,MAX(1,MIN(IFERROR(MATCH(AF139,Tables!$E$17:$E$38,1),1),ROWS(Tables!$E$17:$E$38)-1))))/(INDEX(Tables!$E$17:$E$38,MAX(1,MIN(IFERROR(MATCH(AF139,Tables!$E$17:$E$38,1),1),ROWS(Tables!$E$17:$E$38)-1))+1)-INDEX(Tables!$E$17:$E$38,MAX(1,MIN(IFERROR(MATCH(AF139,Tables!$E$17:$E$38,1),1),ROWS(Tables!$E$17:$E$38)-1))))),(INDEX(Tables!$H$17:$H$38,MAX(1,MIN(IFERROR(MATCH(AF139,Tables!$G$17:$G$38,1),1),ROWS(Tables!$G$17:$G$38)-1)))+(AF139-INDEX(Tables!$G$17:$G$38,MAX(1,MIN(IFERROR(MATCH(AF139,Tables!$G$17:$G$38,1),1),ROWS(Tables!$G$17:$G$38)-1))))*(INDEX(Tables!$H$17:$H$38,MAX(1,MIN(IFERROR(MATCH(AF139,Tables!$G$17:$G$38,1),1),ROWS(Tables!$G$17:$G$38)-1))+1)-INDEX(Tables!$H$17:$H$38,MAX(1,MIN(IFERROR(MATCH(AF139,Tables!$G$17:$G$38,1),1),ROWS(Tables!$G$17:$G$38)-1))))/(INDEX(Tables!$G$17:$G$38,MAX(1,MIN(IFERROR(MATCH(AF139,Tables!$G$17:$G$38,1),1),ROWS(Tables!$G$17:$G$38)-1))+1)-INDEX(Tables!$G$17:$G$38,MAX(1,MIN(IFERROR(MATCH(AF139,Tables!$G$17:$G$38,1),1),ROWS(Tables!$G$17:$G$38)-1))))))))</f>
        <v>4262.4833333333336</v>
      </c>
      <c r="AL139" s="181">
        <f>IF(AC139&lt;1000,(INDEX(Tables!$B$43:$B$76,MAX(1,MIN(IFERROR(MATCH(AG139,Tables!$A$43:$A$76,1),1),ROWS(Tables!$A$43:$A$76)-1)))+(AG139-INDEX(Tables!$A$43:$A$76,MAX(1,MIN(IFERROR(MATCH(AG139,Tables!$A$43:$A$76,1),1),ROWS(Tables!$A$43:$A$76)-1))))*(INDEX(Tables!$B$43:$B$76,MAX(1,MIN(IFERROR(MATCH(AG139,Tables!$A$43:$A$76,1),1),ROWS(Tables!$A$43:$A$76)-1))+1)-INDEX(Tables!$B$43:$B$76,MAX(1,MIN(IFERROR(MATCH(AG139,Tables!$A$43:$A$76,1),1),ROWS(Tables!$A$43:$A$76)-1))))/(INDEX(Tables!$A$43:$A$76,MAX(1,MIN(IFERROR(MATCH(AG139,Tables!$A$43:$A$76,1),1),ROWS(Tables!$A$43:$A$76)-1))+1)-INDEX(Tables!$A$43:$A$76,MAX(1,MIN(IFERROR(MATCH(AG139,Tables!$A$43:$A$76,1),1),ROWS(Tables!$A$43:$A$76)-1))))),(INDEX(Tables!$D$43:$D$76,MAX(1,MIN(IFERROR(MATCH(AG139,Tables!$C$43:$C$76,1),1),ROWS(Tables!$C$43:$C$76)-1)))+(AG139-INDEX(Tables!$C$43:$C$76,MAX(1,MIN(IFERROR(MATCH(AG139,Tables!$C$43:$C$76,1),1),ROWS(Tables!$C$43:$C$76)-1))))*(INDEX(Tables!$D$43:$D$76,MAX(1,MIN(IFERROR(MATCH(AG139,Tables!$C$43:$C$76,1),1),ROWS(Tables!$C$43:$C$76)-1))+1)-INDEX(Tables!$D$43:$D$76,MAX(1,MIN(IFERROR(MATCH(AG139,Tables!$C$43:$C$76,1),1),ROWS(Tables!$C$43:$C$76)-1))))/(INDEX(Tables!$C$43:$C$76,MAX(1,MIN(IFERROR(MATCH(AG139,Tables!$C$43:$C$76,1),1),ROWS(Tables!$C$43:$C$76)-1))+1)-INDEX(Tables!$C$43:$C$76,MAX(1,MIN(IFERROR(MATCH(AG139,Tables!$C$43:$C$76,1),1),ROWS(Tables!$C$43:$C$76)-1))))))</f>
        <v>0.9366923076923076</v>
      </c>
      <c r="AM139" s="181">
        <f>(INDEX(Tables!$B$80:$B$87,MAX(1,MIN(IFERROR(MATCH(AH139,Tables!$A$80:$A$87,1),1),ROWS(Tables!$A$80:$A$87)-1)))+(AH139-INDEX(Tables!$A$80:$A$87,MAX(1,MIN(IFERROR(MATCH(AH139,Tables!$A$80:$A$87,1),1),ROWS(Tables!$A$80:$A$87)-1))))*(INDEX(Tables!$B$80:$B$87,MAX(1,MIN(IFERROR(MATCH(AH139,Tables!$A$80:$A$87,1),1),ROWS(Tables!$A$80:$A$87)-1))+1)-INDEX(Tables!$B$80:$B$87,MAX(1,MIN(IFERROR(MATCH(AH139,Tables!$A$80:$A$87,1),1),ROWS(Tables!$A$80:$A$87)-1))))/(INDEX(Tables!$A$80:$A$87,MAX(1,MIN(IFERROR(MATCH(AH139,Tables!$A$80:$A$87,1),1),ROWS(Tables!$A$80:$A$87)-1))+1)-INDEX(Tables!$A$80:$A$87,MAX(1,MIN(IFERROR(MATCH(AH139,Tables!$A$80:$A$87,1),1),ROWS(Tables!$A$80:$A$87)-1)))))</f>
        <v>0.96739999999999982</v>
      </c>
      <c r="AN139" s="181">
        <f t="shared" si="135"/>
        <v>6437.4590626499994</v>
      </c>
      <c r="AO139" s="181">
        <f>(INDEX(Tables!$B$91:$B$94,MAX(1,MIN(IFERROR(MATCH(P139,Tables!$A$91:$A$94,1),1),ROWS(Tables!$A$91:$A$94)-1)))+(P139-INDEX(Tables!$A$91:$A$94,MAX(1,MIN(IFERROR(MATCH(P139,Tables!$A$91:$A$94,1),1),ROWS(Tables!$A$91:$A$94)-1))))*(INDEX(Tables!$B$91:$B$94,MAX(1,MIN(IFERROR(MATCH(P139,Tables!$A$91:$A$94,1),1),ROWS(Tables!$A$91:$A$94)-1))+1)-INDEX(Tables!$B$91:$B$94,MAX(1,MIN(IFERROR(MATCH(P139,Tables!$A$91:$A$94,1),1),ROWS(Tables!$A$91:$A$94)-1))))/(INDEX(Tables!$A$91:$A$94,MAX(1,MIN(IFERROR(MATCH(P139,Tables!$A$91:$A$94,1),1),ROWS(Tables!$A$91:$A$94)-1))+1)-INDEX(Tables!$A$91:$A$94,MAX(1,MIN(IFERROR(MATCH(P139,Tables!$A$91:$A$94,1),1),ROWS(Tables!$A$91:$A$94)-1)))))</f>
        <v>1.3542682926829268</v>
      </c>
      <c r="AP139" s="181">
        <f>IF(AD139=5000,(INDEX(Tables!$B$99:$B$118,MAX(1,MIN(IFERROR(MATCH(AF139,Tables!$A$99:$A$118,1),1),ROWS(Tables!$A$99:$A$118)-1)))+(AF139-INDEX(Tables!$A$99:$A$118,MAX(1,MIN(IFERROR(MATCH(AF139,Tables!$A$99:$A$118,1),1),ROWS(Tables!$A$99:$A$118)-1))))*(INDEX(Tables!$B$99:$B$118,MAX(1,MIN(IFERROR(MATCH(AF139,Tables!$A$99:$A$118,1),1),ROWS(Tables!$A$99:$A$118)-1))+1)-INDEX(Tables!$B$99:$B$118,MAX(1,MIN(IFERROR(MATCH(AF139,Tables!$A$99:$A$118,1),1),ROWS(Tables!$A$99:$A$118)-1))))/(INDEX(Tables!$A$99:$A$118,MAX(1,MIN(IFERROR(MATCH(AF139,Tables!$A$99:$A$118,1),1),ROWS(Tables!$A$99:$A$118)-1))+1)-INDEX(Tables!$A$99:$A$118,MAX(1,MIN(IFERROR(MATCH(AF139,Tables!$A$99:$A$118,1),1),ROWS(Tables!$A$99:$A$118)-1))))),IF(AD139=10000,(INDEX(Tables!$D$99:$D$118,MAX(1,MIN(IFERROR(MATCH(AF139,Tables!$C$99:$C$118,1),1),ROWS(Tables!$C$99:$C$118)-1)))+(AF139-INDEX(Tables!$C$99:$C$118,MAX(1,MIN(IFERROR(MATCH(AF139,Tables!$C$99:$C$118,1),1),ROWS(Tables!$C$99:$C$118)-1))))*(INDEX(Tables!$D$99:$D$118,MAX(1,MIN(IFERROR(MATCH(AF139,Tables!$C$99:$C$118,1),1),ROWS(Tables!$C$99:$C$118)-1))+1)-INDEX(Tables!$D$99:$D$118,MAX(1,MIN(IFERROR(MATCH(AF139,Tables!$C$99:$C$118,1),1),ROWS(Tables!$C$99:$C$118)-1))))/(INDEX(Tables!$C$99:$C$118,MAX(1,MIN(IFERROR(MATCH(AF139,Tables!$C$99:$C$118,1),1),ROWS(Tables!$C$99:$C$118)-1))+1)-INDEX(Tables!$C$99:$C$118,MAX(1,MIN(IFERROR(MATCH(AF139,Tables!$C$99:$C$118,1),1),ROWS(Tables!$C$99:$C$118)-1))))),(INDEX(Tables!$F$99:$F$118,MAX(1,MIN(IFERROR(MATCH(AF139,Tables!$E$99:$E$118,1),1),ROWS(Tables!$E$99:$E$118)-1)))+(AF139-INDEX(Tables!$E$99:$E$118,MAX(1,MIN(IFERROR(MATCH(AF139,Tables!$E$99:$E$118,1),1),ROWS(Tables!$E$99:$E$118)-1))))*(INDEX(Tables!$F$99:$F$118,MAX(1,MIN(IFERROR(MATCH(AF139,Tables!$E$99:$E$118,1),1),ROWS(Tables!$E$99:$E$118)-1))+1)-INDEX(Tables!$F$99:$F$118,MAX(1,MIN(IFERROR(MATCH(AF139,Tables!$E$99:$E$118,1),1),ROWS(Tables!$E$99:$E$118)-1))))/(INDEX(Tables!$E$99:$E$118,MAX(1,MIN(IFERROR(MATCH(AF139,Tables!$E$99:$E$118,1),1),ROWS(Tables!$E$99:$E$118)-1))+1)-INDEX(Tables!$E$99:$E$118,MAX(1,MIN(IFERROR(MATCH(AF139,Tables!$E$99:$E$118,1),1),ROWS(Tables!$E$99:$E$118)-1)))))))</f>
        <v>13.297525555555557</v>
      </c>
      <c r="AQ139" s="181">
        <f>IF(P139&lt;6,(INDEX(Tables!$B$123:$B$138,MAX(1,MIN(IFERROR(MATCH(U139,Tables!$A$123:$A$138,1),1),ROWS(Tables!$A$123:$A$138)-1)))+(U139-INDEX(Tables!$A$123:$A$138,MAX(1,MIN(IFERROR(MATCH(U139,Tables!$A$123:$A$138,1),1),ROWS(Tables!$A$123:$A$138)-1))))*(INDEX(Tables!$B$123:$B$138,MAX(1,MIN(IFERROR(MATCH(U139,Tables!$A$123:$A$138,1),1),ROWS(Tables!$A$123:$A$138)-1))+1)-INDEX(Tables!$B$123:$B$138,MAX(1,MIN(IFERROR(MATCH(U139,Tables!$A$123:$A$138,1),1),ROWS(Tables!$A$123:$A$138)-1))))/(INDEX(Tables!$A$123:$A$138,MAX(1,MIN(IFERROR(MATCH(U139,Tables!$A$123:$A$138,1),1),ROWS(Tables!$A$123:$A$138)-1))+1)-INDEX(Tables!$A$123:$A$138,MAX(1,MIN(IFERROR(MATCH(U139,Tables!$A$123:$A$138,1),1),ROWS(Tables!$A$123:$A$138)-1))))),IF(P139&lt;8,(INDEX(Tables!$D$123:$D$138,MAX(1,MIN(IFERROR(MATCH(U139,Tables!$C$123:$C$138,1),1),ROWS(Tables!$C$123:$C$138)-1)))+(U139-INDEX(Tables!$C$123:$C$138,MAX(1,MIN(IFERROR(MATCH(U139,Tables!$C$123:$C$138,1),1),ROWS(Tables!$C$123:$C$138)-1))))*(INDEX(Tables!$D$123:$D$138,MAX(1,MIN(IFERROR(MATCH(U139,Tables!$C$123:$C$138,1),1),ROWS(Tables!$C$123:$C$138)-1))+1)-INDEX(Tables!$D$123:$D$138,MAX(1,MIN(IFERROR(MATCH(U139,Tables!$C$123:$C$138,1),1),ROWS(Tables!$C$123:$C$138)-1))))/(INDEX(Tables!$C$123:$C$138,MAX(1,MIN(IFERROR(MATCH(U139,Tables!$C$123:$C$138,1),1),ROWS(Tables!$C$123:$C$138)-1))+1)-INDEX(Tables!$C$123:$C$138,MAX(1,MIN(IFERROR(MATCH(U139,Tables!$C$123:$C$138,1),1),ROWS(Tables!$C$123:$C$138)-1))))),IF(P139&lt;10,(INDEX(Tables!$F$123:$F$138,MAX(1,MIN(IFERROR(MATCH(U139,Tables!$E$123:$E$138,1),1),ROWS(Tables!$E$123:$E$138)-1)))+(U139-INDEX(Tables!$E$123:$E$138,MAX(1,MIN(IFERROR(MATCH(U139,Tables!$E$123:$E$138,1),1),ROWS(Tables!$E$123:$E$138)-1))))*(INDEX(Tables!$F$123:$F$138,MAX(1,MIN(IFERROR(MATCH(U139,Tables!$E$123:$E$138,1),1),ROWS(Tables!$E$123:$E$138)-1))+1)-INDEX(Tables!$F$123:$F$138,MAX(1,MIN(IFERROR(MATCH(U139,Tables!$E$123:$E$138,1),1),ROWS(Tables!$E$123:$E$138)-1))))/(INDEX(Tables!$E$123:$E$138,MAX(1,MIN(IFERROR(MATCH(U139,Tables!$E$123:$E$138,1),1),ROWS(Tables!$E$123:$E$138)-1))+1)-INDEX(Tables!$E$123:$E$138,MAX(1,MIN(IFERROR(MATCH(U139,Tables!$E$123:$E$138,1),1),ROWS(Tables!$E$123:$E$138)-1))))),(INDEX(Tables!$H$123:$H$138,MAX(1,MIN(IFERROR(MATCH(U139,Tables!$G$123:$G$138,1),1),ROWS(Tables!$G$123:$G$138)-1)))+(U139-INDEX(Tables!$G$123:$G$138,MAX(1,MIN(IFERROR(MATCH(U139,Tables!$G$123:$G$138,1),1),ROWS(Tables!$G$123:$G$138)-1))))*(INDEX(Tables!$H$123:$H$138,MAX(1,MIN(IFERROR(MATCH(U139,Tables!$G$123:$G$138,1),1),ROWS(Tables!$G$123:$G$138)-1))+1)-INDEX(Tables!$H$123:$H$138,MAX(1,MIN(IFERROR(MATCH(U139,Tables!$G$123:$G$138,1),1),ROWS(Tables!$G$123:$G$138)-1))))/(INDEX(Tables!$G$123:$G$138,MAX(1,MIN(IFERROR(MATCH(U139,Tables!$G$123:$G$138,1),1),ROWS(Tables!$G$123:$G$138)-1))+1)-INDEX(Tables!$G$123:$G$138,MAX(1,MIN(IFERROR(MATCH(U139,Tables!$G$123:$G$138,1),1),ROWS(Tables!$G$123:$G$138)-1))))))))</f>
        <v>0.57750000000000001</v>
      </c>
      <c r="AR139" s="181">
        <f>IF(OR(P139&gt;=4,U139&gt;12),VLOOKUP(R139&amp;" "&amp;S139,Tables!$D$143:$F$148,2,FALSE),VLOOKUP(R139&amp;" "&amp;S139,Tables!$A$143:$C$148,2,FALSE))</f>
        <v>0.9</v>
      </c>
      <c r="AS139" s="181">
        <f>IF(OR(P139&gt;=4,U139&gt;12),VLOOKUP(R139&amp;" "&amp;S139,Tables!$D$143:$F$148,3,FALSE),VLOOKUP(R139&amp;" "&amp;S139,Tables!$A$143:$C$148,3,FALSE))</f>
        <v>0.65</v>
      </c>
      <c r="AT139" s="181">
        <f t="shared" si="136"/>
        <v>506.99322135733627</v>
      </c>
      <c r="AU139" s="181">
        <f>IF(AD139=5000,(INDEX(Tables!$B$244:$B$263,MAX(1,MIN(IFERROR(MATCH(AF139,Tables!$A$244:$A$263,1),1),ROWS(Tables!$A$244:$A$263)-1)))+(AF139-INDEX(Tables!$A$244:$A$263,MAX(1,MIN(IFERROR(MATCH(AF139,Tables!$A$244:$A$263,1),1),ROWS(Tables!$A$244:$A$263)-1))))*(INDEX(Tables!$B$244:$B$263,MAX(1,MIN(IFERROR(MATCH(AF139,Tables!$A$244:$A$263,1),1),ROWS(Tables!$A$244:$A$263)-1))+1)-INDEX(Tables!$B$244:$B$263,MAX(1,MIN(IFERROR(MATCH(AF139,Tables!$A$244:$A$263,1),1),ROWS(Tables!$A$244:$A$263)-1))))/(INDEX(Tables!$A$244:$A$263,MAX(1,MIN(IFERROR(MATCH(AF139,Tables!$A$244:$A$263,1),1),ROWS(Tables!$A$244:$A$263)-1))+1)-INDEX(Tables!$A$244:$A$263,MAX(1,MIN(IFERROR(MATCH(AF139,Tables!$A$244:$A$263,1),1),ROWS(Tables!$A$244:$A$263)-1))))),IF(AD139=10000,(INDEX(Tables!$D$244:$D$263,MAX(1,MIN(IFERROR(MATCH(AF139,Tables!$C$244:$C$263,1),1),ROWS(Tables!$C$244:$C$263)-1)))+(AF139-INDEX(Tables!$C$244:$C$263,MAX(1,MIN(IFERROR(MATCH(AF139,Tables!$C$244:$C$263,1),1),ROWS(Tables!$C$244:$C$263)-1))))*(INDEX(Tables!$D$244:$D$263,MAX(1,MIN(IFERROR(MATCH(AF139,Tables!$C$244:$C$263,1),1),ROWS(Tables!$C$244:$C$263)-1))+1)-INDEX(Tables!$D$244:$D$263,MAX(1,MIN(IFERROR(MATCH(AF139,Tables!$C$244:$C$263,1),1),ROWS(Tables!$C$244:$C$263)-1))))/(INDEX(Tables!$C$244:$C$263,MAX(1,MIN(IFERROR(MATCH(AF139,Tables!$C$244:$C$263,1),1),ROWS(Tables!$C$244:$C$263)-1))+1)-INDEX(Tables!$C$244:$C$263,MAX(1,MIN(IFERROR(MATCH(AF139,Tables!$C$244:$C$263,1),1),ROWS(Tables!$C$244:$C$263)-1))))),(INDEX(Tables!$F$244:$F$263,MAX(1,MIN(IFERROR(MATCH(AF139,Tables!$E$244:$E$263,1),1),ROWS(Tables!$E$244:$E$263)-1)))+(AF139-INDEX(Tables!$E$244:$E$263,MAX(1,MIN(IFERROR(MATCH(AF139,Tables!$E$244:$E$263,1),1),ROWS(Tables!$E$244:$E$263)-1))))*(INDEX(Tables!$F$244:$F$263,MAX(1,MIN(IFERROR(MATCH(AF139,Tables!$E$244:$E$263,1),1),ROWS(Tables!$E$244:$E$263)-1))+1)-INDEX(Tables!$F$244:$F$263,MAX(1,MIN(IFERROR(MATCH(AF139,Tables!$E$244:$E$263,1),1),ROWS(Tables!$E$244:$E$263)-1))))/(INDEX(Tables!$E$244:$E$263,MAX(1,MIN(IFERROR(MATCH(AF139,Tables!$E$244:$E$263,1),1),ROWS(Tables!$E$244:$E$263)-1))+1)-INDEX(Tables!$E$244:$E$263,MAX(1,MIN(IFERROR(MATCH(AF139,Tables!$E$244:$E$263,1),1),ROWS(Tables!$E$244:$E$263)-1)))))))</f>
        <v>9.7907314814814814</v>
      </c>
      <c r="AV139" s="181">
        <f>IF(P139&lt;6,(INDEX(Tables!$B$260:$B$274,MAX(1,MIN(IFERROR(MATCH(U139,Tables!$A$260:$A$274,1),1),ROWS(Tables!$A$260:$A$274)-1)))+(U139-INDEX(Tables!$A$260:$A$274,MAX(1,MIN(IFERROR(MATCH(U139,Tables!$A$260:$A$274,1),1),ROWS(Tables!$A$260:$A$274)-1))))*(INDEX(Tables!$B$260:$B$274,MAX(1,MIN(IFERROR(MATCH(U139,Tables!$A$260:$A$274,1),1),ROWS(Tables!$A$260:$A$274)-1))+1)-INDEX(Tables!$B$260:$B$274,MAX(1,MIN(IFERROR(MATCH(U139,Tables!$A$260:$A$274,1),1),ROWS(Tables!$A$260:$A$274)-1))))/(INDEX(Tables!$A$260:$A$274,MAX(1,MIN(IFERROR(MATCH(U139,Tables!$A$260:$A$274,1),1),ROWS(Tables!$A$260:$A$274)-1))+1)-INDEX(Tables!$A$260:$A$274,MAX(1,MIN(IFERROR(MATCH(U139,Tables!$A$260:$A$274,1),1),ROWS(Tables!$A$260:$A$274)-1))))),IF(P139&lt;8,(INDEX(Tables!$D$260:$D$274,MAX(1,MIN(IFERROR(MATCH(U139,Tables!$C$260:$C$274,1),1),ROWS(Tables!$C$260:$C$274)-1)))+(U139-INDEX(Tables!$C$260:$C$274,MAX(1,MIN(IFERROR(MATCH(U139,Tables!$C$260:$C$274,1),1),ROWS(Tables!$C$260:$C$274)-1))))*(INDEX(Tables!$D$260:$D$274,MAX(1,MIN(IFERROR(MATCH(U139,Tables!$C$260:$C$274,1),1),ROWS(Tables!$C$260:$C$274)-1))+1)-INDEX(Tables!$D$260:$D$274,MAX(1,MIN(IFERROR(MATCH(U139,Tables!$C$260:$C$274,1),1),ROWS(Tables!$C$260:$C$274)-1))))/(INDEX(Tables!$C$260:$C$274,MAX(1,MIN(IFERROR(MATCH(U139,Tables!$C$260:$C$274,1),1),ROWS(Tables!$C$260:$C$274)-1))+1)-INDEX(Tables!$C$260:$C$274,MAX(1,MIN(IFERROR(MATCH(U139,Tables!$C$260:$C$274,1),1),ROWS(Tables!$C$260:$C$274)-1))))),IF(P139&lt;10,(INDEX(Tables!$F$260:$F$274,MAX(1,MIN(IFERROR(MATCH(U139,Tables!$E$260:$E$274,1),1),ROWS(Tables!$E$260:$E$274)-1)))+(U139-INDEX(Tables!$E$260:$E$274,MAX(1,MIN(IFERROR(MATCH(U139,Tables!$E$260:$E$274,1),1),ROWS(Tables!$E$260:$E$274)-1))))*(INDEX(Tables!$F$260:$F$274,MAX(1,MIN(IFERROR(MATCH(U139,Tables!$E$260:$E$274,1),1),ROWS(Tables!$E$260:$E$274)-1))+1)-INDEX(Tables!$F$260:$F$274,MAX(1,MIN(IFERROR(MATCH(U139,Tables!$E$260:$E$274,1),1),ROWS(Tables!$E$260:$E$274)-1))))/(INDEX(Tables!$E$260:$E$274,MAX(1,MIN(IFERROR(MATCH(U139,Tables!$E$260:$E$274,1),1),ROWS(Tables!$E$260:$E$274)-1))+1)-INDEX(Tables!$E$260:$E$274,MAX(1,MIN(IFERROR(MATCH(U139,Tables!$E$260:$E$274,1),1),ROWS(Tables!$E$260:$E$274)-1))))),(INDEX(Tables!$H$260:$H$274,MAX(1,MIN(IFERROR(MATCH(U139,Tables!$G$260:$G$274,1),1),ROWS(Tables!$G$260:$G$274)-1)))+(U139-INDEX(Tables!$G$260:$G$274,MAX(1,MIN(IFERROR(MATCH(U139,Tables!$G$260:$G$274,1),1),ROWS(Tables!$G$260:$G$274)-1))))*(INDEX(Tables!$H$260:$H$274,MAX(1,MIN(IFERROR(MATCH(U139,Tables!$G$260:$G$274,1),1),ROWS(Tables!$G$260:$G$274)-1))+1)-INDEX(Tables!$H$260:$H$274,MAX(1,MIN(IFERROR(MATCH(U139,Tables!$G$260:$G$274,1),1),ROWS(Tables!$G$260:$G$274)-1))))/(INDEX(Tables!$G$260:$G$274,MAX(1,MIN(IFERROR(MATCH(U139,Tables!$G$260:$G$274,1),1),ROWS(Tables!$G$260:$G$274)-1))+1)-INDEX(Tables!$G$260:$G$274,MAX(1,MIN(IFERROR(MATCH(U139,Tables!$G$260:$G$274,1),1),ROWS(Tables!$G$260:$G$274)-1))))))))</f>
        <v>0.64533333333333331</v>
      </c>
      <c r="AW139" s="181">
        <f t="shared" si="137"/>
        <v>417.13686094929994</v>
      </c>
      <c r="AX139" s="181">
        <f t="shared" si="138"/>
        <v>64983.42205323193</v>
      </c>
      <c r="AY139" s="181">
        <f t="shared" si="139"/>
        <v>71927.874337239264</v>
      </c>
      <c r="AZ139" s="181">
        <f t="shared" si="140"/>
        <v>21843.401195713879</v>
      </c>
      <c r="BA139" s="181">
        <f t="shared" si="141"/>
        <v>-1440</v>
      </c>
      <c r="BB139" s="181">
        <f t="shared" si="142"/>
        <v>64936.184850473313</v>
      </c>
      <c r="BC139" s="181">
        <f t="shared" si="143"/>
        <v>46800</v>
      </c>
      <c r="BD139" s="181">
        <f>VLOOKUP(V139&amp;" "&amp;J139,Tables!$A$152:$E$239,4,FALSE)</f>
        <v>12000</v>
      </c>
      <c r="BE139" s="181">
        <f>VLOOKUP(V139&amp;" "&amp;J139,Tables!$A$152:$E$239,5,FALSE)</f>
        <v>23000</v>
      </c>
      <c r="BF139" s="181">
        <f t="shared" si="144"/>
        <v>8640</v>
      </c>
      <c r="BG139" s="181">
        <f t="shared" si="145"/>
        <v>16560</v>
      </c>
      <c r="BH139" s="181">
        <f t="shared" si="146"/>
        <v>65703.42205323193</v>
      </c>
      <c r="BI139" s="181">
        <f t="shared" si="147"/>
        <v>46800</v>
      </c>
      <c r="BJ139" s="181">
        <f t="shared" si="148"/>
        <v>64936.184850473313</v>
      </c>
      <c r="BK139" s="181">
        <f t="shared" si="149"/>
        <v>46800</v>
      </c>
      <c r="BL139" s="181">
        <f t="shared" si="150"/>
        <v>417.13686094929994</v>
      </c>
      <c r="BM139" s="181">
        <f t="shared" si="151"/>
        <v>8640</v>
      </c>
      <c r="BN139" s="181">
        <f t="shared" si="152"/>
        <v>506.99322135733627</v>
      </c>
      <c r="BO139" s="181">
        <f t="shared" si="153"/>
        <v>16560</v>
      </c>
      <c r="BP139" t="str">
        <f t="shared" si="154"/>
        <v>Fail</v>
      </c>
      <c r="BQ139" t="str">
        <f t="shared" si="155"/>
        <v>Fail</v>
      </c>
      <c r="BR139" t="str">
        <f t="shared" si="156"/>
        <v>Pass</v>
      </c>
      <c r="BS139" t="str">
        <f t="shared" si="157"/>
        <v>Pass</v>
      </c>
      <c r="BT139" t="str">
        <f t="shared" si="158"/>
        <v>Fail</v>
      </c>
      <c r="BU139" t="str">
        <f t="shared" si="159"/>
        <v>Barlow Stress</v>
      </c>
    </row>
    <row r="140" spans="1:73">
      <c r="A140" t="s">
        <v>732</v>
      </c>
      <c r="B140" s="181">
        <v>138</v>
      </c>
      <c r="C140" t="s">
        <v>594</v>
      </c>
      <c r="D140" s="181">
        <v>36</v>
      </c>
      <c r="E140" s="181">
        <v>0.32500000000000001</v>
      </c>
      <c r="F140" t="s">
        <v>117</v>
      </c>
      <c r="G140" t="s">
        <v>119</v>
      </c>
      <c r="H140" t="s">
        <v>122</v>
      </c>
      <c r="I140" s="181">
        <v>1</v>
      </c>
      <c r="J140" t="s">
        <v>126</v>
      </c>
      <c r="K140" t="s">
        <v>129</v>
      </c>
      <c r="L140" s="181">
        <v>70</v>
      </c>
      <c r="M140" s="181">
        <v>3000</v>
      </c>
      <c r="N140" t="s">
        <v>390</v>
      </c>
      <c r="O140" s="181">
        <v>120</v>
      </c>
      <c r="P140" s="181">
        <v>14</v>
      </c>
      <c r="Q140" s="181">
        <v>38</v>
      </c>
      <c r="R140" t="s">
        <v>418</v>
      </c>
      <c r="S140" t="s">
        <v>420</v>
      </c>
      <c r="T140" s="181">
        <v>70</v>
      </c>
      <c r="U140" s="181">
        <f>HLOOKUP(D140,'Highway Loading'!$C$155:$AD$156,2,FALSE)</f>
        <v>36</v>
      </c>
      <c r="V140" s="181">
        <f>IF(ISBLANK(G140),"",INDEX('Highway Loading'!$C$216:$AG$216,1,MATCH(G140,'Highway Loading'!$C$215:$AG$215,0)))</f>
        <v>65000</v>
      </c>
      <c r="W140" s="181">
        <f>INDEX('Highway Loading'!$I$245:$L$253,MATCH(H140,'Highway Loading'!$H$245:$H$253,0),MATCH(I140,'Highway Loading'!$I$244:$L$244,0))</f>
        <v>0.72</v>
      </c>
      <c r="X140" s="181">
        <f t="shared" si="128"/>
        <v>1</v>
      </c>
      <c r="Y140" s="181">
        <f>VLOOKUP(K140,'Highway Loading'!$B$283:$E$292,2,FALSE)</f>
        <v>29000000</v>
      </c>
      <c r="Z140" s="181">
        <f>VLOOKUP(K140,'Highway Loading'!$B$283:$E$292,3,FALSE)</f>
        <v>0.3</v>
      </c>
      <c r="AA140" s="181">
        <f>VLOOKUP(K140,'Highway Loading'!$B$283:$E$292,4,FALSE)</f>
        <v>6.4999999999999996E-6</v>
      </c>
      <c r="AB140" s="181">
        <f t="shared" si="129"/>
        <v>1</v>
      </c>
      <c r="AC140" s="181">
        <f>VLOOKUP(N140,'Highway Loading'!$B$256:$D$261,2,FALSE)</f>
        <v>1000</v>
      </c>
      <c r="AD140" s="181">
        <f>VLOOKUP(N140,'Highway Loading'!$B$256:$D$261,3,FALSE)</f>
        <v>10000</v>
      </c>
      <c r="AE140" s="181">
        <f>VLOOKUP(S140,'Highway Loading'!$B$340:$C$341,2,FALSE)</f>
        <v>12000</v>
      </c>
      <c r="AF140" s="181">
        <f t="shared" si="130"/>
        <v>9.0277777777777787E-3</v>
      </c>
      <c r="AG140" s="181">
        <f t="shared" si="131"/>
        <v>4.4210526315789478</v>
      </c>
      <c r="AH140" s="181">
        <f t="shared" si="132"/>
        <v>1.0555555555555556</v>
      </c>
      <c r="AI140" s="181">
        <f t="shared" si="133"/>
        <v>166153.84615384616</v>
      </c>
      <c r="AJ140" s="181">
        <f t="shared" si="134"/>
        <v>46800</v>
      </c>
      <c r="AK140" s="181">
        <f>IF(AC140=200,(INDEX(Tables!$B$17:$B$38,MAX(1,MIN(IFERROR(MATCH(AF140,Tables!$A$17:$A$38,1),1),ROWS(Tables!$A$17:$A$38)-1)))+(AF140-INDEX(Tables!$A$17:$A$38,MAX(1,MIN(IFERROR(MATCH(AF140,Tables!$A$17:$A$38,1),1),ROWS(Tables!$A$17:$A$38)-1))))*(INDEX(Tables!$B$17:$B$38,MAX(1,MIN(IFERROR(MATCH(AF140,Tables!$A$17:$A$38,1),1),ROWS(Tables!$A$17:$A$38)-1))+1)-INDEX(Tables!$B$17:$B$38,MAX(1,MIN(IFERROR(MATCH(AF140,Tables!$A$17:$A$38,1),1),ROWS(Tables!$A$17:$A$38)-1))))/(INDEX(Tables!$A$17:$A$38,MAX(1,MIN(IFERROR(MATCH(AF140,Tables!$A$17:$A$38,1),1),ROWS(Tables!$A$17:$A$38)-1))+1)-INDEX(Tables!$A$17:$A$38,MAX(1,MIN(IFERROR(MATCH(AF140,Tables!$A$17:$A$38,1),1),ROWS(Tables!$A$17:$A$38)-1))))),IF(AC140=500,(INDEX(Tables!$D$17:$D$38,MAX(1,MIN(IFERROR(MATCH(AF140,Tables!$C$17:$C$38,1),1),ROWS(Tables!$C$17:$C$38)-1)))+(AF140-INDEX(Tables!$C$17:$C$38,MAX(1,MIN(IFERROR(MATCH(AF140,Tables!$C$17:$C$38,1),1),ROWS(Tables!$C$17:$C$38)-1))))*(INDEX(Tables!$D$17:$D$38,MAX(1,MIN(IFERROR(MATCH(AF140,Tables!$C$17:$C$38,1),1),ROWS(Tables!$C$17:$C$38)-1))+1)-INDEX(Tables!$D$17:$D$38,MAX(1,MIN(IFERROR(MATCH(AF140,Tables!$C$17:$C$38,1),1),ROWS(Tables!$C$17:$C$38)-1))))/(INDEX(Tables!$C$17:$C$38,MAX(1,MIN(IFERROR(MATCH(AF140,Tables!$C$17:$C$38,1),1),ROWS(Tables!$C$17:$C$38)-1))+1)-INDEX(Tables!$C$17:$C$38,MAX(1,MIN(IFERROR(MATCH(AF140,Tables!$C$17:$C$38,1),1),ROWS(Tables!$C$17:$C$38)-1))))),IF(AC140=1000,(INDEX(Tables!$F$17:$F$38,MAX(1,MIN(IFERROR(MATCH(AF140,Tables!$E$17:$E$38,1),1),ROWS(Tables!$E$17:$E$38)-1)))+(AF140-INDEX(Tables!$E$17:$E$38,MAX(1,MIN(IFERROR(MATCH(AF140,Tables!$E$17:$E$38,1),1),ROWS(Tables!$E$17:$E$38)-1))))*(INDEX(Tables!$F$17:$F$38,MAX(1,MIN(IFERROR(MATCH(AF140,Tables!$E$17:$E$38,1),1),ROWS(Tables!$E$17:$E$38)-1))+1)-INDEX(Tables!$F$17:$F$38,MAX(1,MIN(IFERROR(MATCH(AF140,Tables!$E$17:$E$38,1),1),ROWS(Tables!$E$17:$E$38)-1))))/(INDEX(Tables!$E$17:$E$38,MAX(1,MIN(IFERROR(MATCH(AF140,Tables!$E$17:$E$38,1),1),ROWS(Tables!$E$17:$E$38)-1))+1)-INDEX(Tables!$E$17:$E$38,MAX(1,MIN(IFERROR(MATCH(AF140,Tables!$E$17:$E$38,1),1),ROWS(Tables!$E$17:$E$38)-1))))),(INDEX(Tables!$H$17:$H$38,MAX(1,MIN(IFERROR(MATCH(AF140,Tables!$G$17:$G$38,1),1),ROWS(Tables!$G$17:$G$38)-1)))+(AF140-INDEX(Tables!$G$17:$G$38,MAX(1,MIN(IFERROR(MATCH(AF140,Tables!$G$17:$G$38,1),1),ROWS(Tables!$G$17:$G$38)-1))))*(INDEX(Tables!$H$17:$H$38,MAX(1,MIN(IFERROR(MATCH(AF140,Tables!$G$17:$G$38,1),1),ROWS(Tables!$G$17:$G$38)-1))+1)-INDEX(Tables!$H$17:$H$38,MAX(1,MIN(IFERROR(MATCH(AF140,Tables!$G$17:$G$38,1),1),ROWS(Tables!$G$17:$G$38)-1))))/(INDEX(Tables!$G$17:$G$38,MAX(1,MIN(IFERROR(MATCH(AF140,Tables!$G$17:$G$38,1),1),ROWS(Tables!$G$17:$G$38)-1))+1)-INDEX(Tables!$G$17:$G$38,MAX(1,MIN(IFERROR(MATCH(AF140,Tables!$G$17:$G$38,1),1),ROWS(Tables!$G$17:$G$38)-1))))))))</f>
        <v>4874.5555555555557</v>
      </c>
      <c r="AL140" s="181">
        <f>IF(AC140&lt;1000,(INDEX(Tables!$B$43:$B$76,MAX(1,MIN(IFERROR(MATCH(AG140,Tables!$A$43:$A$76,1),1),ROWS(Tables!$A$43:$A$76)-1)))+(AG140-INDEX(Tables!$A$43:$A$76,MAX(1,MIN(IFERROR(MATCH(AG140,Tables!$A$43:$A$76,1),1),ROWS(Tables!$A$43:$A$76)-1))))*(INDEX(Tables!$B$43:$B$76,MAX(1,MIN(IFERROR(MATCH(AG140,Tables!$A$43:$A$76,1),1),ROWS(Tables!$A$43:$A$76)-1))+1)-INDEX(Tables!$B$43:$B$76,MAX(1,MIN(IFERROR(MATCH(AG140,Tables!$A$43:$A$76,1),1),ROWS(Tables!$A$43:$A$76)-1))))/(INDEX(Tables!$A$43:$A$76,MAX(1,MIN(IFERROR(MATCH(AG140,Tables!$A$43:$A$76,1),1),ROWS(Tables!$A$43:$A$76)-1))+1)-INDEX(Tables!$A$43:$A$76,MAX(1,MIN(IFERROR(MATCH(AG140,Tables!$A$43:$A$76,1),1),ROWS(Tables!$A$43:$A$76)-1))))),(INDEX(Tables!$D$43:$D$76,MAX(1,MIN(IFERROR(MATCH(AG140,Tables!$C$43:$C$76,1),1),ROWS(Tables!$C$43:$C$76)-1)))+(AG140-INDEX(Tables!$C$43:$C$76,MAX(1,MIN(IFERROR(MATCH(AG140,Tables!$C$43:$C$76,1),1),ROWS(Tables!$C$43:$C$76)-1))))*(INDEX(Tables!$D$43:$D$76,MAX(1,MIN(IFERROR(MATCH(AG140,Tables!$C$43:$C$76,1),1),ROWS(Tables!$C$43:$C$76)-1))+1)-INDEX(Tables!$D$43:$D$76,MAX(1,MIN(IFERROR(MATCH(AG140,Tables!$C$43:$C$76,1),1),ROWS(Tables!$C$43:$C$76)-1))))/(INDEX(Tables!$C$43:$C$76,MAX(1,MIN(IFERROR(MATCH(AG140,Tables!$C$43:$C$76,1),1),ROWS(Tables!$C$43:$C$76)-1))+1)-INDEX(Tables!$C$43:$C$76,MAX(1,MIN(IFERROR(MATCH(AG140,Tables!$C$43:$C$76,1),1),ROWS(Tables!$C$43:$C$76)-1))))))</f>
        <v>0.92289473684210532</v>
      </c>
      <c r="AM140" s="181">
        <f>(INDEX(Tables!$B$80:$B$87,MAX(1,MIN(IFERROR(MATCH(AH140,Tables!$A$80:$A$87,1),1),ROWS(Tables!$A$80:$A$87)-1)))+(AH140-INDEX(Tables!$A$80:$A$87,MAX(1,MIN(IFERROR(MATCH(AH140,Tables!$A$80:$A$87,1),1),ROWS(Tables!$A$80:$A$87)-1))))*(INDEX(Tables!$B$80:$B$87,MAX(1,MIN(IFERROR(MATCH(AH140,Tables!$A$80:$A$87,1),1),ROWS(Tables!$A$80:$A$87)-1))+1)-INDEX(Tables!$B$80:$B$87,MAX(1,MIN(IFERROR(MATCH(AH140,Tables!$A$80:$A$87,1),1),ROWS(Tables!$A$80:$A$87)-1))))/(INDEX(Tables!$A$80:$A$87,MAX(1,MIN(IFERROR(MATCH(AH140,Tables!$A$80:$A$87,1),1),ROWS(Tables!$A$80:$A$87)-1))+1)-INDEX(Tables!$A$80:$A$87,MAX(1,MIN(IFERROR(MATCH(AH140,Tables!$A$80:$A$87,1),1),ROWS(Tables!$A$80:$A$87)-1)))))</f>
        <v>0.91873333333333329</v>
      </c>
      <c r="AN140" s="181">
        <f t="shared" si="135"/>
        <v>10332.767944722224</v>
      </c>
      <c r="AO140" s="181">
        <f>(INDEX(Tables!$B$91:$B$94,MAX(1,MIN(IFERROR(MATCH(P140,Tables!$A$91:$A$94,1),1),ROWS(Tables!$A$91:$A$94)-1)))+(P140-INDEX(Tables!$A$91:$A$94,MAX(1,MIN(IFERROR(MATCH(P140,Tables!$A$91:$A$94,1),1),ROWS(Tables!$A$91:$A$94)-1))))*(INDEX(Tables!$B$91:$B$94,MAX(1,MIN(IFERROR(MATCH(P140,Tables!$A$91:$A$94,1),1),ROWS(Tables!$A$91:$A$94)-1))+1)-INDEX(Tables!$B$91:$B$94,MAX(1,MIN(IFERROR(MATCH(P140,Tables!$A$91:$A$94,1),1),ROWS(Tables!$A$91:$A$94)-1))))/(INDEX(Tables!$A$91:$A$94,MAX(1,MIN(IFERROR(MATCH(P140,Tables!$A$91:$A$94,1),1),ROWS(Tables!$A$91:$A$94)-1))+1)-INDEX(Tables!$A$91:$A$94,MAX(1,MIN(IFERROR(MATCH(P140,Tables!$A$91:$A$94,1),1),ROWS(Tables!$A$91:$A$94)-1)))))</f>
        <v>1.2323170731707318</v>
      </c>
      <c r="AP140" s="181">
        <f>IF(AD140=5000,(INDEX(Tables!$B$99:$B$118,MAX(1,MIN(IFERROR(MATCH(AF140,Tables!$A$99:$A$118,1),1),ROWS(Tables!$A$99:$A$118)-1)))+(AF140-INDEX(Tables!$A$99:$A$118,MAX(1,MIN(IFERROR(MATCH(AF140,Tables!$A$99:$A$118,1),1),ROWS(Tables!$A$99:$A$118)-1))))*(INDEX(Tables!$B$99:$B$118,MAX(1,MIN(IFERROR(MATCH(AF140,Tables!$A$99:$A$118,1),1),ROWS(Tables!$A$99:$A$118)-1))+1)-INDEX(Tables!$B$99:$B$118,MAX(1,MIN(IFERROR(MATCH(AF140,Tables!$A$99:$A$118,1),1),ROWS(Tables!$A$99:$A$118)-1))))/(INDEX(Tables!$A$99:$A$118,MAX(1,MIN(IFERROR(MATCH(AF140,Tables!$A$99:$A$118,1),1),ROWS(Tables!$A$99:$A$118)-1))+1)-INDEX(Tables!$A$99:$A$118,MAX(1,MIN(IFERROR(MATCH(AF140,Tables!$A$99:$A$118,1),1),ROWS(Tables!$A$99:$A$118)-1))))),IF(AD140=10000,(INDEX(Tables!$D$99:$D$118,MAX(1,MIN(IFERROR(MATCH(AF140,Tables!$C$99:$C$118,1),1),ROWS(Tables!$C$99:$C$118)-1)))+(AF140-INDEX(Tables!$C$99:$C$118,MAX(1,MIN(IFERROR(MATCH(AF140,Tables!$C$99:$C$118,1),1),ROWS(Tables!$C$99:$C$118)-1))))*(INDEX(Tables!$D$99:$D$118,MAX(1,MIN(IFERROR(MATCH(AF140,Tables!$C$99:$C$118,1),1),ROWS(Tables!$C$99:$C$118)-1))+1)-INDEX(Tables!$D$99:$D$118,MAX(1,MIN(IFERROR(MATCH(AF140,Tables!$C$99:$C$118,1),1),ROWS(Tables!$C$99:$C$118)-1))))/(INDEX(Tables!$C$99:$C$118,MAX(1,MIN(IFERROR(MATCH(AF140,Tables!$C$99:$C$118,1),1),ROWS(Tables!$C$99:$C$118)-1))+1)-INDEX(Tables!$C$99:$C$118,MAX(1,MIN(IFERROR(MATCH(AF140,Tables!$C$99:$C$118,1),1),ROWS(Tables!$C$99:$C$118)-1))))),(INDEX(Tables!$F$99:$F$118,MAX(1,MIN(IFERROR(MATCH(AF140,Tables!$E$99:$E$118,1),1),ROWS(Tables!$E$99:$E$118)-1)))+(AF140-INDEX(Tables!$E$99:$E$118,MAX(1,MIN(IFERROR(MATCH(AF140,Tables!$E$99:$E$118,1),1),ROWS(Tables!$E$99:$E$118)-1))))*(INDEX(Tables!$F$99:$F$118,MAX(1,MIN(IFERROR(MATCH(AF140,Tables!$E$99:$E$118,1),1),ROWS(Tables!$E$99:$E$118)-1))+1)-INDEX(Tables!$F$99:$F$118,MAX(1,MIN(IFERROR(MATCH(AF140,Tables!$E$99:$E$118,1),1),ROWS(Tables!$E$99:$E$118)-1))))/(INDEX(Tables!$E$99:$E$118,MAX(1,MIN(IFERROR(MATCH(AF140,Tables!$E$99:$E$118,1),1),ROWS(Tables!$E$99:$E$118)-1))+1)-INDEX(Tables!$E$99:$E$118,MAX(1,MIN(IFERROR(MATCH(AF140,Tables!$E$99:$E$118,1),1),ROWS(Tables!$E$99:$E$118)-1)))))))</f>
        <v>11.770785529715763</v>
      </c>
      <c r="AQ140" s="181">
        <f>IF(P140&lt;6,(INDEX(Tables!$B$123:$B$138,MAX(1,MIN(IFERROR(MATCH(U140,Tables!$A$123:$A$138,1),1),ROWS(Tables!$A$123:$A$138)-1)))+(U140-INDEX(Tables!$A$123:$A$138,MAX(1,MIN(IFERROR(MATCH(U140,Tables!$A$123:$A$138,1),1),ROWS(Tables!$A$123:$A$138)-1))))*(INDEX(Tables!$B$123:$B$138,MAX(1,MIN(IFERROR(MATCH(U140,Tables!$A$123:$A$138,1),1),ROWS(Tables!$A$123:$A$138)-1))+1)-INDEX(Tables!$B$123:$B$138,MAX(1,MIN(IFERROR(MATCH(U140,Tables!$A$123:$A$138,1),1),ROWS(Tables!$A$123:$A$138)-1))))/(INDEX(Tables!$A$123:$A$138,MAX(1,MIN(IFERROR(MATCH(U140,Tables!$A$123:$A$138,1),1),ROWS(Tables!$A$123:$A$138)-1))+1)-INDEX(Tables!$A$123:$A$138,MAX(1,MIN(IFERROR(MATCH(U140,Tables!$A$123:$A$138,1),1),ROWS(Tables!$A$123:$A$138)-1))))),IF(P140&lt;8,(INDEX(Tables!$D$123:$D$138,MAX(1,MIN(IFERROR(MATCH(U140,Tables!$C$123:$C$138,1),1),ROWS(Tables!$C$123:$C$138)-1)))+(U140-INDEX(Tables!$C$123:$C$138,MAX(1,MIN(IFERROR(MATCH(U140,Tables!$C$123:$C$138,1),1),ROWS(Tables!$C$123:$C$138)-1))))*(INDEX(Tables!$D$123:$D$138,MAX(1,MIN(IFERROR(MATCH(U140,Tables!$C$123:$C$138,1),1),ROWS(Tables!$C$123:$C$138)-1))+1)-INDEX(Tables!$D$123:$D$138,MAX(1,MIN(IFERROR(MATCH(U140,Tables!$C$123:$C$138,1),1),ROWS(Tables!$C$123:$C$138)-1))))/(INDEX(Tables!$C$123:$C$138,MAX(1,MIN(IFERROR(MATCH(U140,Tables!$C$123:$C$138,1),1),ROWS(Tables!$C$123:$C$138)-1))+1)-INDEX(Tables!$C$123:$C$138,MAX(1,MIN(IFERROR(MATCH(U140,Tables!$C$123:$C$138,1),1),ROWS(Tables!$C$123:$C$138)-1))))),IF(P140&lt;10,(INDEX(Tables!$F$123:$F$138,MAX(1,MIN(IFERROR(MATCH(U140,Tables!$E$123:$E$138,1),1),ROWS(Tables!$E$123:$E$138)-1)))+(U140-INDEX(Tables!$E$123:$E$138,MAX(1,MIN(IFERROR(MATCH(U140,Tables!$E$123:$E$138,1),1),ROWS(Tables!$E$123:$E$138)-1))))*(INDEX(Tables!$F$123:$F$138,MAX(1,MIN(IFERROR(MATCH(U140,Tables!$E$123:$E$138,1),1),ROWS(Tables!$E$123:$E$138)-1))+1)-INDEX(Tables!$F$123:$F$138,MAX(1,MIN(IFERROR(MATCH(U140,Tables!$E$123:$E$138,1),1),ROWS(Tables!$E$123:$E$138)-1))))/(INDEX(Tables!$E$123:$E$138,MAX(1,MIN(IFERROR(MATCH(U140,Tables!$E$123:$E$138,1),1),ROWS(Tables!$E$123:$E$138)-1))+1)-INDEX(Tables!$E$123:$E$138,MAX(1,MIN(IFERROR(MATCH(U140,Tables!$E$123:$E$138,1),1),ROWS(Tables!$E$123:$E$138)-1))))),(INDEX(Tables!$H$123:$H$138,MAX(1,MIN(IFERROR(MATCH(U140,Tables!$G$123:$G$138,1),1),ROWS(Tables!$G$123:$G$138)-1)))+(U140-INDEX(Tables!$G$123:$G$138,MAX(1,MIN(IFERROR(MATCH(U140,Tables!$G$123:$G$138,1),1),ROWS(Tables!$G$123:$G$138)-1))))*(INDEX(Tables!$H$123:$H$138,MAX(1,MIN(IFERROR(MATCH(U140,Tables!$G$123:$G$138,1),1),ROWS(Tables!$G$123:$G$138)-1))+1)-INDEX(Tables!$H$123:$H$138,MAX(1,MIN(IFERROR(MATCH(U140,Tables!$G$123:$G$138,1),1),ROWS(Tables!$G$123:$G$138)-1))))/(INDEX(Tables!$G$123:$G$138,MAX(1,MIN(IFERROR(MATCH(U140,Tables!$G$123:$G$138,1),1),ROWS(Tables!$G$123:$G$138)-1))+1)-INDEX(Tables!$G$123:$G$138,MAX(1,MIN(IFERROR(MATCH(U140,Tables!$G$123:$G$138,1),1),ROWS(Tables!$G$123:$G$138)-1))))))))</f>
        <v>0.50060000000000004</v>
      </c>
      <c r="AR140" s="181">
        <f>IF(OR(P140&gt;=4,U140&gt;12),VLOOKUP(R140&amp;" "&amp;S140,Tables!$D$143:$F$148,2,FALSE),VLOOKUP(R140&amp;" "&amp;S140,Tables!$A$143:$C$148,2,FALSE))</f>
        <v>0.9</v>
      </c>
      <c r="AS140" s="181">
        <f>IF(OR(P140&gt;=4,U140&gt;12),VLOOKUP(R140&amp;" "&amp;S140,Tables!$D$143:$F$148,3,FALSE),VLOOKUP(R140&amp;" "&amp;S140,Tables!$A$143:$C$148,3,FALSE))</f>
        <v>0.65</v>
      </c>
      <c r="AT140" s="181">
        <f t="shared" si="136"/>
        <v>353.99194303363834</v>
      </c>
      <c r="AU140" s="181">
        <f>IF(AD140=5000,(INDEX(Tables!$B$244:$B$263,MAX(1,MIN(IFERROR(MATCH(AF140,Tables!$A$244:$A$263,1),1),ROWS(Tables!$A$244:$A$263)-1)))+(AF140-INDEX(Tables!$A$244:$A$263,MAX(1,MIN(IFERROR(MATCH(AF140,Tables!$A$244:$A$263,1),1),ROWS(Tables!$A$244:$A$263)-1))))*(INDEX(Tables!$B$244:$B$263,MAX(1,MIN(IFERROR(MATCH(AF140,Tables!$A$244:$A$263,1),1),ROWS(Tables!$A$244:$A$263)-1))+1)-INDEX(Tables!$B$244:$B$263,MAX(1,MIN(IFERROR(MATCH(AF140,Tables!$A$244:$A$263,1),1),ROWS(Tables!$A$244:$A$263)-1))))/(INDEX(Tables!$A$244:$A$263,MAX(1,MIN(IFERROR(MATCH(AF140,Tables!$A$244:$A$263,1),1),ROWS(Tables!$A$244:$A$263)-1))+1)-INDEX(Tables!$A$244:$A$263,MAX(1,MIN(IFERROR(MATCH(AF140,Tables!$A$244:$A$263,1),1),ROWS(Tables!$A$244:$A$263)-1))))),IF(AD140=10000,(INDEX(Tables!$D$244:$D$263,MAX(1,MIN(IFERROR(MATCH(AF140,Tables!$C$244:$C$263,1),1),ROWS(Tables!$C$244:$C$263)-1)))+(AF140-INDEX(Tables!$C$244:$C$263,MAX(1,MIN(IFERROR(MATCH(AF140,Tables!$C$244:$C$263,1),1),ROWS(Tables!$C$244:$C$263)-1))))*(INDEX(Tables!$D$244:$D$263,MAX(1,MIN(IFERROR(MATCH(AF140,Tables!$C$244:$C$263,1),1),ROWS(Tables!$C$244:$C$263)-1))+1)-INDEX(Tables!$D$244:$D$263,MAX(1,MIN(IFERROR(MATCH(AF140,Tables!$C$244:$C$263,1),1),ROWS(Tables!$C$244:$C$263)-1))))/(INDEX(Tables!$C$244:$C$263,MAX(1,MIN(IFERROR(MATCH(AF140,Tables!$C$244:$C$263,1),1),ROWS(Tables!$C$244:$C$263)-1))+1)-INDEX(Tables!$C$244:$C$263,MAX(1,MIN(IFERROR(MATCH(AF140,Tables!$C$244:$C$263,1),1),ROWS(Tables!$C$244:$C$263)-1))))),(INDEX(Tables!$F$244:$F$263,MAX(1,MIN(IFERROR(MATCH(AF140,Tables!$E$244:$E$263,1),1),ROWS(Tables!$E$244:$E$263)-1)))+(AF140-INDEX(Tables!$E$244:$E$263,MAX(1,MIN(IFERROR(MATCH(AF140,Tables!$E$244:$E$263,1),1),ROWS(Tables!$E$244:$E$263)-1))))*(INDEX(Tables!$F$244:$F$263,MAX(1,MIN(IFERROR(MATCH(AF140,Tables!$E$244:$E$263,1),1),ROWS(Tables!$E$244:$E$263)-1))+1)-INDEX(Tables!$F$244:$F$263,MAX(1,MIN(IFERROR(MATCH(AF140,Tables!$E$244:$E$263,1),1),ROWS(Tables!$E$244:$E$263)-1))))/(INDEX(Tables!$E$244:$E$263,MAX(1,MIN(IFERROR(MATCH(AF140,Tables!$E$244:$E$263,1),1),ROWS(Tables!$E$244:$E$263)-1))+1)-INDEX(Tables!$E$244:$E$263,MAX(1,MIN(IFERROR(MATCH(AF140,Tables!$E$244:$E$263,1),1),ROWS(Tables!$E$244:$E$263)-1)))))))</f>
        <v>9.7669999999999995</v>
      </c>
      <c r="AV140" s="181">
        <f>IF(P140&lt;6,(INDEX(Tables!$B$260:$B$274,MAX(1,MIN(IFERROR(MATCH(U140,Tables!$A$260:$A$274,1),1),ROWS(Tables!$A$260:$A$274)-1)))+(U140-INDEX(Tables!$A$260:$A$274,MAX(1,MIN(IFERROR(MATCH(U140,Tables!$A$260:$A$274,1),1),ROWS(Tables!$A$260:$A$274)-1))))*(INDEX(Tables!$B$260:$B$274,MAX(1,MIN(IFERROR(MATCH(U140,Tables!$A$260:$A$274,1),1),ROWS(Tables!$A$260:$A$274)-1))+1)-INDEX(Tables!$B$260:$B$274,MAX(1,MIN(IFERROR(MATCH(U140,Tables!$A$260:$A$274,1),1),ROWS(Tables!$A$260:$A$274)-1))))/(INDEX(Tables!$A$260:$A$274,MAX(1,MIN(IFERROR(MATCH(U140,Tables!$A$260:$A$274,1),1),ROWS(Tables!$A$260:$A$274)-1))+1)-INDEX(Tables!$A$260:$A$274,MAX(1,MIN(IFERROR(MATCH(U140,Tables!$A$260:$A$274,1),1),ROWS(Tables!$A$260:$A$274)-1))))),IF(P140&lt;8,(INDEX(Tables!$D$260:$D$274,MAX(1,MIN(IFERROR(MATCH(U140,Tables!$C$260:$C$274,1),1),ROWS(Tables!$C$260:$C$274)-1)))+(U140-INDEX(Tables!$C$260:$C$274,MAX(1,MIN(IFERROR(MATCH(U140,Tables!$C$260:$C$274,1),1),ROWS(Tables!$C$260:$C$274)-1))))*(INDEX(Tables!$D$260:$D$274,MAX(1,MIN(IFERROR(MATCH(U140,Tables!$C$260:$C$274,1),1),ROWS(Tables!$C$260:$C$274)-1))+1)-INDEX(Tables!$D$260:$D$274,MAX(1,MIN(IFERROR(MATCH(U140,Tables!$C$260:$C$274,1),1),ROWS(Tables!$C$260:$C$274)-1))))/(INDEX(Tables!$C$260:$C$274,MAX(1,MIN(IFERROR(MATCH(U140,Tables!$C$260:$C$274,1),1),ROWS(Tables!$C$260:$C$274)-1))+1)-INDEX(Tables!$C$260:$C$274,MAX(1,MIN(IFERROR(MATCH(U140,Tables!$C$260:$C$274,1),1),ROWS(Tables!$C$260:$C$274)-1))))),IF(P140&lt;10,(INDEX(Tables!$F$260:$F$274,MAX(1,MIN(IFERROR(MATCH(U140,Tables!$E$260:$E$274,1),1),ROWS(Tables!$E$260:$E$274)-1)))+(U140-INDEX(Tables!$E$260:$E$274,MAX(1,MIN(IFERROR(MATCH(U140,Tables!$E$260:$E$274,1),1),ROWS(Tables!$E$260:$E$274)-1))))*(INDEX(Tables!$F$260:$F$274,MAX(1,MIN(IFERROR(MATCH(U140,Tables!$E$260:$E$274,1),1),ROWS(Tables!$E$260:$E$274)-1))+1)-INDEX(Tables!$F$260:$F$274,MAX(1,MIN(IFERROR(MATCH(U140,Tables!$E$260:$E$274,1),1),ROWS(Tables!$E$260:$E$274)-1))))/(INDEX(Tables!$E$260:$E$274,MAX(1,MIN(IFERROR(MATCH(U140,Tables!$E$260:$E$274,1),1),ROWS(Tables!$E$260:$E$274)-1))+1)-INDEX(Tables!$E$260:$E$274,MAX(1,MIN(IFERROR(MATCH(U140,Tables!$E$260:$E$274,1),1),ROWS(Tables!$E$260:$E$274)-1))))),(INDEX(Tables!$H$260:$H$274,MAX(1,MIN(IFERROR(MATCH(U140,Tables!$G$260:$G$274,1),1),ROWS(Tables!$G$260:$G$274)-1)))+(U140-INDEX(Tables!$G$260:$G$274,MAX(1,MIN(IFERROR(MATCH(U140,Tables!$G$260:$G$274,1),1),ROWS(Tables!$G$260:$G$274)-1))))*(INDEX(Tables!$H$260:$H$274,MAX(1,MIN(IFERROR(MATCH(U140,Tables!$G$260:$G$274,1),1),ROWS(Tables!$G$260:$G$274)-1))+1)-INDEX(Tables!$H$260:$H$274,MAX(1,MIN(IFERROR(MATCH(U140,Tables!$G$260:$G$274,1),1),ROWS(Tables!$G$260:$G$274)-1))))/(INDEX(Tables!$G$260:$G$274,MAX(1,MIN(IFERROR(MATCH(U140,Tables!$G$260:$G$274,1),1),ROWS(Tables!$G$260:$G$274)-1))+1)-INDEX(Tables!$G$260:$G$274,MAX(1,MIN(IFERROR(MATCH(U140,Tables!$G$260:$G$274,1),1),ROWS(Tables!$G$260:$G$274)-1))))))))</f>
        <v>0.51828571428571424</v>
      </c>
      <c r="AW140" s="181">
        <f t="shared" si="137"/>
        <v>304.10776651175956</v>
      </c>
      <c r="AX140" s="181">
        <f t="shared" si="138"/>
        <v>164653.84615384613</v>
      </c>
      <c r="AY140" s="181">
        <f t="shared" si="139"/>
        <v>175340.60604160198</v>
      </c>
      <c r="AZ140" s="181">
        <f t="shared" si="140"/>
        <v>52800.091996082272</v>
      </c>
      <c r="BA140" s="181">
        <f t="shared" si="141"/>
        <v>-3000</v>
      </c>
      <c r="BB140" s="181">
        <f t="shared" si="142"/>
        <v>158011.39138144019</v>
      </c>
      <c r="BC140" s="181">
        <f t="shared" si="143"/>
        <v>46800</v>
      </c>
      <c r="BD140" s="181">
        <f>VLOOKUP(V140&amp;" "&amp;J140,Tables!$A$152:$E$239,4,FALSE)</f>
        <v>12000</v>
      </c>
      <c r="BE140" s="181">
        <f>VLOOKUP(V140&amp;" "&amp;J140,Tables!$A$152:$E$239,5,FALSE)</f>
        <v>23000</v>
      </c>
      <c r="BF140" s="181">
        <f t="shared" si="144"/>
        <v>8640</v>
      </c>
      <c r="BG140" s="181">
        <f t="shared" si="145"/>
        <v>16560</v>
      </c>
      <c r="BH140" s="181">
        <f t="shared" si="146"/>
        <v>166153.84615384616</v>
      </c>
      <c r="BI140" s="181">
        <f t="shared" si="147"/>
        <v>46800</v>
      </c>
      <c r="BJ140" s="181">
        <f t="shared" si="148"/>
        <v>158011.39138144019</v>
      </c>
      <c r="BK140" s="181">
        <f t="shared" si="149"/>
        <v>46800</v>
      </c>
      <c r="BL140" s="181">
        <f t="shared" si="150"/>
        <v>304.10776651175956</v>
      </c>
      <c r="BM140" s="181">
        <f t="shared" si="151"/>
        <v>8640</v>
      </c>
      <c r="BN140" s="181">
        <f t="shared" si="152"/>
        <v>353.99194303363834</v>
      </c>
      <c r="BO140" s="181">
        <f t="shared" si="153"/>
        <v>16560</v>
      </c>
      <c r="BP140" t="str">
        <f t="shared" si="154"/>
        <v>Fail</v>
      </c>
      <c r="BQ140" t="str">
        <f t="shared" si="155"/>
        <v>Fail</v>
      </c>
      <c r="BR140" t="str">
        <f t="shared" si="156"/>
        <v>Pass</v>
      </c>
      <c r="BS140" t="str">
        <f t="shared" si="157"/>
        <v>Pass</v>
      </c>
      <c r="BT140" t="str">
        <f t="shared" si="158"/>
        <v>Fail</v>
      </c>
      <c r="BU140" t="str">
        <f t="shared" si="159"/>
        <v>Barlow Stress</v>
      </c>
    </row>
    <row r="141" spans="1:73">
      <c r="A141" t="s">
        <v>733</v>
      </c>
      <c r="B141" s="181">
        <v>139</v>
      </c>
      <c r="C141" t="s">
        <v>594</v>
      </c>
      <c r="D141" s="181">
        <v>48</v>
      </c>
      <c r="E141" s="181">
        <v>0.38800000000000001</v>
      </c>
      <c r="F141" t="s">
        <v>117</v>
      </c>
      <c r="G141" t="s">
        <v>119</v>
      </c>
      <c r="H141" t="s">
        <v>122</v>
      </c>
      <c r="I141" s="181">
        <v>1</v>
      </c>
      <c r="J141" t="s">
        <v>126</v>
      </c>
      <c r="K141" t="s">
        <v>129</v>
      </c>
      <c r="L141" s="181">
        <v>70</v>
      </c>
      <c r="M141" s="181">
        <v>3000</v>
      </c>
      <c r="N141" t="s">
        <v>390</v>
      </c>
      <c r="O141" s="181">
        <v>120</v>
      </c>
      <c r="P141" s="181">
        <v>30</v>
      </c>
      <c r="Q141" s="181">
        <v>50</v>
      </c>
      <c r="R141" t="s">
        <v>418</v>
      </c>
      <c r="S141" t="s">
        <v>420</v>
      </c>
      <c r="T141" s="181">
        <v>70</v>
      </c>
      <c r="U141" s="181">
        <f>HLOOKUP(D141,'Highway Loading'!$C$155:$AD$156,2,FALSE)</f>
        <v>48</v>
      </c>
      <c r="V141" s="181">
        <f>IF(ISBLANK(G141),"",INDEX('Highway Loading'!$C$216:$AG$216,1,MATCH(G141,'Highway Loading'!$C$215:$AG$215,0)))</f>
        <v>65000</v>
      </c>
      <c r="W141" s="181">
        <f>INDEX('Highway Loading'!$I$245:$L$253,MATCH(H141,'Highway Loading'!$H$245:$H$253,0),MATCH(I141,'Highway Loading'!$I$244:$L$244,0))</f>
        <v>0.72</v>
      </c>
      <c r="X141" s="181">
        <f t="shared" si="128"/>
        <v>1</v>
      </c>
      <c r="Y141" s="181">
        <f>VLOOKUP(K141,'Highway Loading'!$B$283:$E$292,2,FALSE)</f>
        <v>29000000</v>
      </c>
      <c r="Z141" s="181">
        <f>VLOOKUP(K141,'Highway Loading'!$B$283:$E$292,3,FALSE)</f>
        <v>0.3</v>
      </c>
      <c r="AA141" s="181">
        <f>VLOOKUP(K141,'Highway Loading'!$B$283:$E$292,4,FALSE)</f>
        <v>6.4999999999999996E-6</v>
      </c>
      <c r="AB141" s="181">
        <f t="shared" si="129"/>
        <v>1</v>
      </c>
      <c r="AC141" s="181">
        <f>VLOOKUP(N141,'Highway Loading'!$B$256:$D$261,2,FALSE)</f>
        <v>1000</v>
      </c>
      <c r="AD141" s="181">
        <f>VLOOKUP(N141,'Highway Loading'!$B$256:$D$261,3,FALSE)</f>
        <v>10000</v>
      </c>
      <c r="AE141" s="181">
        <f>VLOOKUP(S141,'Highway Loading'!$B$340:$C$341,2,FALSE)</f>
        <v>12000</v>
      </c>
      <c r="AF141" s="181">
        <f t="shared" si="130"/>
        <v>8.083333333333333E-3</v>
      </c>
      <c r="AG141" s="181">
        <f t="shared" si="131"/>
        <v>7.2</v>
      </c>
      <c r="AH141" s="181">
        <f t="shared" si="132"/>
        <v>1.0416666666666667</v>
      </c>
      <c r="AI141" s="181">
        <f t="shared" si="133"/>
        <v>185567.01030927835</v>
      </c>
      <c r="AJ141" s="181">
        <f t="shared" si="134"/>
        <v>46800</v>
      </c>
      <c r="AK141" s="181">
        <f>IF(AC141=200,(INDEX(Tables!$B$17:$B$38,MAX(1,MIN(IFERROR(MATCH(AF141,Tables!$A$17:$A$38,1),1),ROWS(Tables!$A$17:$A$38)-1)))+(AF141-INDEX(Tables!$A$17:$A$38,MAX(1,MIN(IFERROR(MATCH(AF141,Tables!$A$17:$A$38,1),1),ROWS(Tables!$A$17:$A$38)-1))))*(INDEX(Tables!$B$17:$B$38,MAX(1,MIN(IFERROR(MATCH(AF141,Tables!$A$17:$A$38,1),1),ROWS(Tables!$A$17:$A$38)-1))+1)-INDEX(Tables!$B$17:$B$38,MAX(1,MIN(IFERROR(MATCH(AF141,Tables!$A$17:$A$38,1),1),ROWS(Tables!$A$17:$A$38)-1))))/(INDEX(Tables!$A$17:$A$38,MAX(1,MIN(IFERROR(MATCH(AF141,Tables!$A$17:$A$38,1),1),ROWS(Tables!$A$17:$A$38)-1))+1)-INDEX(Tables!$A$17:$A$38,MAX(1,MIN(IFERROR(MATCH(AF141,Tables!$A$17:$A$38,1),1),ROWS(Tables!$A$17:$A$38)-1))))),IF(AC141=500,(INDEX(Tables!$D$17:$D$38,MAX(1,MIN(IFERROR(MATCH(AF141,Tables!$C$17:$C$38,1),1),ROWS(Tables!$C$17:$C$38)-1)))+(AF141-INDEX(Tables!$C$17:$C$38,MAX(1,MIN(IFERROR(MATCH(AF141,Tables!$C$17:$C$38,1),1),ROWS(Tables!$C$17:$C$38)-1))))*(INDEX(Tables!$D$17:$D$38,MAX(1,MIN(IFERROR(MATCH(AF141,Tables!$C$17:$C$38,1),1),ROWS(Tables!$C$17:$C$38)-1))+1)-INDEX(Tables!$D$17:$D$38,MAX(1,MIN(IFERROR(MATCH(AF141,Tables!$C$17:$C$38,1),1),ROWS(Tables!$C$17:$C$38)-1))))/(INDEX(Tables!$C$17:$C$38,MAX(1,MIN(IFERROR(MATCH(AF141,Tables!$C$17:$C$38,1),1),ROWS(Tables!$C$17:$C$38)-1))+1)-INDEX(Tables!$C$17:$C$38,MAX(1,MIN(IFERROR(MATCH(AF141,Tables!$C$17:$C$38,1),1),ROWS(Tables!$C$17:$C$38)-1))))),IF(AC141=1000,(INDEX(Tables!$F$17:$F$38,MAX(1,MIN(IFERROR(MATCH(AF141,Tables!$E$17:$E$38,1),1),ROWS(Tables!$E$17:$E$38)-1)))+(AF141-INDEX(Tables!$E$17:$E$38,MAX(1,MIN(IFERROR(MATCH(AF141,Tables!$E$17:$E$38,1),1),ROWS(Tables!$E$17:$E$38)-1))))*(INDEX(Tables!$F$17:$F$38,MAX(1,MIN(IFERROR(MATCH(AF141,Tables!$E$17:$E$38,1),1),ROWS(Tables!$E$17:$E$38)-1))+1)-INDEX(Tables!$F$17:$F$38,MAX(1,MIN(IFERROR(MATCH(AF141,Tables!$E$17:$E$38,1),1),ROWS(Tables!$E$17:$E$38)-1))))/(INDEX(Tables!$E$17:$E$38,MAX(1,MIN(IFERROR(MATCH(AF141,Tables!$E$17:$E$38,1),1),ROWS(Tables!$E$17:$E$38)-1))+1)-INDEX(Tables!$E$17:$E$38,MAX(1,MIN(IFERROR(MATCH(AF141,Tables!$E$17:$E$38,1),1),ROWS(Tables!$E$17:$E$38)-1))))),(INDEX(Tables!$H$17:$H$38,MAX(1,MIN(IFERROR(MATCH(AF141,Tables!$G$17:$G$38,1),1),ROWS(Tables!$G$17:$G$38)-1)))+(AF141-INDEX(Tables!$G$17:$G$38,MAX(1,MIN(IFERROR(MATCH(AF141,Tables!$G$17:$G$38,1),1),ROWS(Tables!$G$17:$G$38)-1))))*(INDEX(Tables!$H$17:$H$38,MAX(1,MIN(IFERROR(MATCH(AF141,Tables!$G$17:$G$38,1),1),ROWS(Tables!$G$17:$G$38)-1))+1)-INDEX(Tables!$H$17:$H$38,MAX(1,MIN(IFERROR(MATCH(AF141,Tables!$G$17:$G$38,1),1),ROWS(Tables!$G$17:$G$38)-1))))/(INDEX(Tables!$G$17:$G$38,MAX(1,MIN(IFERROR(MATCH(AF141,Tables!$G$17:$G$38,1),1),ROWS(Tables!$G$17:$G$38)-1))+1)-INDEX(Tables!$G$17:$G$38,MAX(1,MIN(IFERROR(MATCH(AF141,Tables!$G$17:$G$38,1),1),ROWS(Tables!$G$17:$G$38)-1))))))))</f>
        <v>5266.3333333333339</v>
      </c>
      <c r="AL141" s="181">
        <f>IF(AC141&lt;1000,(INDEX(Tables!$B$43:$B$76,MAX(1,MIN(IFERROR(MATCH(AG141,Tables!$A$43:$A$76,1),1),ROWS(Tables!$A$43:$A$76)-1)))+(AG141-INDEX(Tables!$A$43:$A$76,MAX(1,MIN(IFERROR(MATCH(AG141,Tables!$A$43:$A$76,1),1),ROWS(Tables!$A$43:$A$76)-1))))*(INDEX(Tables!$B$43:$B$76,MAX(1,MIN(IFERROR(MATCH(AG141,Tables!$A$43:$A$76,1),1),ROWS(Tables!$A$43:$A$76)-1))+1)-INDEX(Tables!$B$43:$B$76,MAX(1,MIN(IFERROR(MATCH(AG141,Tables!$A$43:$A$76,1),1),ROWS(Tables!$A$43:$A$76)-1))))/(INDEX(Tables!$A$43:$A$76,MAX(1,MIN(IFERROR(MATCH(AG141,Tables!$A$43:$A$76,1),1),ROWS(Tables!$A$43:$A$76)-1))+1)-INDEX(Tables!$A$43:$A$76,MAX(1,MIN(IFERROR(MATCH(AG141,Tables!$A$43:$A$76,1),1),ROWS(Tables!$A$43:$A$76)-1))))),(INDEX(Tables!$D$43:$D$76,MAX(1,MIN(IFERROR(MATCH(AG141,Tables!$C$43:$C$76,1),1),ROWS(Tables!$C$43:$C$76)-1)))+(AG141-INDEX(Tables!$C$43:$C$76,MAX(1,MIN(IFERROR(MATCH(AG141,Tables!$C$43:$C$76,1),1),ROWS(Tables!$C$43:$C$76)-1))))*(INDEX(Tables!$D$43:$D$76,MAX(1,MIN(IFERROR(MATCH(AG141,Tables!$C$43:$C$76,1),1),ROWS(Tables!$C$43:$C$76)-1))+1)-INDEX(Tables!$D$43:$D$76,MAX(1,MIN(IFERROR(MATCH(AG141,Tables!$C$43:$C$76,1),1),ROWS(Tables!$C$43:$C$76)-1))))/(INDEX(Tables!$C$43:$C$76,MAX(1,MIN(IFERROR(MATCH(AG141,Tables!$C$43:$C$76,1),1),ROWS(Tables!$C$43:$C$76)-1))+1)-INDEX(Tables!$C$43:$C$76,MAX(1,MIN(IFERROR(MATCH(AG141,Tables!$C$43:$C$76,1),1),ROWS(Tables!$C$43:$C$76)-1))))))</f>
        <v>1.0784</v>
      </c>
      <c r="AM141" s="181">
        <f>(INDEX(Tables!$B$80:$B$87,MAX(1,MIN(IFERROR(MATCH(AH141,Tables!$A$80:$A$87,1),1),ROWS(Tables!$A$80:$A$87)-1)))+(AH141-INDEX(Tables!$A$80:$A$87,MAX(1,MIN(IFERROR(MATCH(AH141,Tables!$A$80:$A$87,1),1),ROWS(Tables!$A$80:$A$87)-1))))*(INDEX(Tables!$B$80:$B$87,MAX(1,MIN(IFERROR(MATCH(AH141,Tables!$A$80:$A$87,1),1),ROWS(Tables!$A$80:$A$87)-1))+1)-INDEX(Tables!$B$80:$B$87,MAX(1,MIN(IFERROR(MATCH(AH141,Tables!$A$80:$A$87,1),1),ROWS(Tables!$A$80:$A$87)-1))))/(INDEX(Tables!$A$80:$A$87,MAX(1,MIN(IFERROR(MATCH(AH141,Tables!$A$80:$A$87,1),1),ROWS(Tables!$A$80:$A$87)-1))+1)-INDEX(Tables!$A$80:$A$87,MAX(1,MIN(IFERROR(MATCH(AH141,Tables!$A$80:$A$87,1),1),ROWS(Tables!$A$80:$A$87)-1)))))</f>
        <v>0.89595000000000002</v>
      </c>
      <c r="AN141" s="181">
        <f t="shared" si="135"/>
        <v>16960.972212800003</v>
      </c>
      <c r="AO141" s="181">
        <f>(INDEX(Tables!$B$91:$B$94,MAX(1,MIN(IFERROR(MATCH(P141,Tables!$A$91:$A$94,1),1),ROWS(Tables!$A$91:$A$94)-1)))+(P141-INDEX(Tables!$A$91:$A$94,MAX(1,MIN(IFERROR(MATCH(P141,Tables!$A$91:$A$94,1),1),ROWS(Tables!$A$91:$A$94)-1))))*(INDEX(Tables!$B$91:$B$94,MAX(1,MIN(IFERROR(MATCH(P141,Tables!$A$91:$A$94,1),1),ROWS(Tables!$A$91:$A$94)-1))+1)-INDEX(Tables!$B$91:$B$94,MAX(1,MIN(IFERROR(MATCH(P141,Tables!$A$91:$A$94,1),1),ROWS(Tables!$A$91:$A$94)-1))))/(INDEX(Tables!$A$91:$A$94,MAX(1,MIN(IFERROR(MATCH(P141,Tables!$A$91:$A$94,1),1),ROWS(Tables!$A$91:$A$94)-1))+1)-INDEX(Tables!$A$91:$A$94,MAX(1,MIN(IFERROR(MATCH(P141,Tables!$A$91:$A$94,1),1),ROWS(Tables!$A$91:$A$94)-1)))))</f>
        <v>1</v>
      </c>
      <c r="AP141" s="181">
        <f>IF(AD141=5000,(INDEX(Tables!$B$99:$B$118,MAX(1,MIN(IFERROR(MATCH(AF141,Tables!$A$99:$A$118,1),1),ROWS(Tables!$A$99:$A$118)-1)))+(AF141-INDEX(Tables!$A$99:$A$118,MAX(1,MIN(IFERROR(MATCH(AF141,Tables!$A$99:$A$118,1),1),ROWS(Tables!$A$99:$A$118)-1))))*(INDEX(Tables!$B$99:$B$118,MAX(1,MIN(IFERROR(MATCH(AF141,Tables!$A$99:$A$118,1),1),ROWS(Tables!$A$99:$A$118)-1))+1)-INDEX(Tables!$B$99:$B$118,MAX(1,MIN(IFERROR(MATCH(AF141,Tables!$A$99:$A$118,1),1),ROWS(Tables!$A$99:$A$118)-1))))/(INDEX(Tables!$A$99:$A$118,MAX(1,MIN(IFERROR(MATCH(AF141,Tables!$A$99:$A$118,1),1),ROWS(Tables!$A$99:$A$118)-1))+1)-INDEX(Tables!$A$99:$A$118,MAX(1,MIN(IFERROR(MATCH(AF141,Tables!$A$99:$A$118,1),1),ROWS(Tables!$A$99:$A$118)-1))))),IF(AD141=10000,(INDEX(Tables!$D$99:$D$118,MAX(1,MIN(IFERROR(MATCH(AF141,Tables!$C$99:$C$118,1),1),ROWS(Tables!$C$99:$C$118)-1)))+(AF141-INDEX(Tables!$C$99:$C$118,MAX(1,MIN(IFERROR(MATCH(AF141,Tables!$C$99:$C$118,1),1),ROWS(Tables!$C$99:$C$118)-1))))*(INDEX(Tables!$D$99:$D$118,MAX(1,MIN(IFERROR(MATCH(AF141,Tables!$C$99:$C$118,1),1),ROWS(Tables!$C$99:$C$118)-1))+1)-INDEX(Tables!$D$99:$D$118,MAX(1,MIN(IFERROR(MATCH(AF141,Tables!$C$99:$C$118,1),1),ROWS(Tables!$C$99:$C$118)-1))))/(INDEX(Tables!$C$99:$C$118,MAX(1,MIN(IFERROR(MATCH(AF141,Tables!$C$99:$C$118,1),1),ROWS(Tables!$C$99:$C$118)-1))+1)-INDEX(Tables!$C$99:$C$118,MAX(1,MIN(IFERROR(MATCH(AF141,Tables!$C$99:$C$118,1),1),ROWS(Tables!$C$99:$C$118)-1))))),(INDEX(Tables!$F$99:$F$118,MAX(1,MIN(IFERROR(MATCH(AF141,Tables!$E$99:$E$118,1),1),ROWS(Tables!$E$99:$E$118)-1)))+(AF141-INDEX(Tables!$E$99:$E$118,MAX(1,MIN(IFERROR(MATCH(AF141,Tables!$E$99:$E$118,1),1),ROWS(Tables!$E$99:$E$118)-1))))*(INDEX(Tables!$F$99:$F$118,MAX(1,MIN(IFERROR(MATCH(AF141,Tables!$E$99:$E$118,1),1),ROWS(Tables!$E$99:$E$118)-1))+1)-INDEX(Tables!$F$99:$F$118,MAX(1,MIN(IFERROR(MATCH(AF141,Tables!$E$99:$E$118,1),1),ROWS(Tables!$E$99:$E$118)-1))))/(INDEX(Tables!$E$99:$E$118,MAX(1,MIN(IFERROR(MATCH(AF141,Tables!$E$99:$E$118,1),1),ROWS(Tables!$E$99:$E$118)-1))+1)-INDEX(Tables!$E$99:$E$118,MAX(1,MIN(IFERROR(MATCH(AF141,Tables!$E$99:$E$118,1),1),ROWS(Tables!$E$99:$E$118)-1)))))))</f>
        <v>10.99765891472868</v>
      </c>
      <c r="AQ141" s="181">
        <f>IF(P141&lt;6,(INDEX(Tables!$B$123:$B$138,MAX(1,MIN(IFERROR(MATCH(U141,Tables!$A$123:$A$138,1),1),ROWS(Tables!$A$123:$A$138)-1)))+(U141-INDEX(Tables!$A$123:$A$138,MAX(1,MIN(IFERROR(MATCH(U141,Tables!$A$123:$A$138,1),1),ROWS(Tables!$A$123:$A$138)-1))))*(INDEX(Tables!$B$123:$B$138,MAX(1,MIN(IFERROR(MATCH(U141,Tables!$A$123:$A$138,1),1),ROWS(Tables!$A$123:$A$138)-1))+1)-INDEX(Tables!$B$123:$B$138,MAX(1,MIN(IFERROR(MATCH(U141,Tables!$A$123:$A$138,1),1),ROWS(Tables!$A$123:$A$138)-1))))/(INDEX(Tables!$A$123:$A$138,MAX(1,MIN(IFERROR(MATCH(U141,Tables!$A$123:$A$138,1),1),ROWS(Tables!$A$123:$A$138)-1))+1)-INDEX(Tables!$A$123:$A$138,MAX(1,MIN(IFERROR(MATCH(U141,Tables!$A$123:$A$138,1),1),ROWS(Tables!$A$123:$A$138)-1))))),IF(P141&lt;8,(INDEX(Tables!$D$123:$D$138,MAX(1,MIN(IFERROR(MATCH(U141,Tables!$C$123:$C$138,1),1),ROWS(Tables!$C$123:$C$138)-1)))+(U141-INDEX(Tables!$C$123:$C$138,MAX(1,MIN(IFERROR(MATCH(U141,Tables!$C$123:$C$138,1),1),ROWS(Tables!$C$123:$C$138)-1))))*(INDEX(Tables!$D$123:$D$138,MAX(1,MIN(IFERROR(MATCH(U141,Tables!$C$123:$C$138,1),1),ROWS(Tables!$C$123:$C$138)-1))+1)-INDEX(Tables!$D$123:$D$138,MAX(1,MIN(IFERROR(MATCH(U141,Tables!$C$123:$C$138,1),1),ROWS(Tables!$C$123:$C$138)-1))))/(INDEX(Tables!$C$123:$C$138,MAX(1,MIN(IFERROR(MATCH(U141,Tables!$C$123:$C$138,1),1),ROWS(Tables!$C$123:$C$138)-1))+1)-INDEX(Tables!$C$123:$C$138,MAX(1,MIN(IFERROR(MATCH(U141,Tables!$C$123:$C$138,1),1),ROWS(Tables!$C$123:$C$138)-1))))),IF(P141&lt;10,(INDEX(Tables!$F$123:$F$138,MAX(1,MIN(IFERROR(MATCH(U141,Tables!$E$123:$E$138,1),1),ROWS(Tables!$E$123:$E$138)-1)))+(U141-INDEX(Tables!$E$123:$E$138,MAX(1,MIN(IFERROR(MATCH(U141,Tables!$E$123:$E$138,1),1),ROWS(Tables!$E$123:$E$138)-1))))*(INDEX(Tables!$F$123:$F$138,MAX(1,MIN(IFERROR(MATCH(U141,Tables!$E$123:$E$138,1),1),ROWS(Tables!$E$123:$E$138)-1))+1)-INDEX(Tables!$F$123:$F$138,MAX(1,MIN(IFERROR(MATCH(U141,Tables!$E$123:$E$138,1),1),ROWS(Tables!$E$123:$E$138)-1))))/(INDEX(Tables!$E$123:$E$138,MAX(1,MIN(IFERROR(MATCH(U141,Tables!$E$123:$E$138,1),1),ROWS(Tables!$E$123:$E$138)-1))+1)-INDEX(Tables!$E$123:$E$138,MAX(1,MIN(IFERROR(MATCH(U141,Tables!$E$123:$E$138,1),1),ROWS(Tables!$E$123:$E$138)-1))))),(INDEX(Tables!$H$123:$H$138,MAX(1,MIN(IFERROR(MATCH(U141,Tables!$G$123:$G$138,1),1),ROWS(Tables!$G$123:$G$138)-1)))+(U141-INDEX(Tables!$G$123:$G$138,MAX(1,MIN(IFERROR(MATCH(U141,Tables!$G$123:$G$138,1),1),ROWS(Tables!$G$123:$G$138)-1))))*(INDEX(Tables!$H$123:$H$138,MAX(1,MIN(IFERROR(MATCH(U141,Tables!$G$123:$G$138,1),1),ROWS(Tables!$G$123:$G$138)-1))+1)-INDEX(Tables!$H$123:$H$138,MAX(1,MIN(IFERROR(MATCH(U141,Tables!$G$123:$G$138,1),1),ROWS(Tables!$G$123:$G$138)-1))))/(INDEX(Tables!$G$123:$G$138,MAX(1,MIN(IFERROR(MATCH(U141,Tables!$G$123:$G$138,1),1),ROWS(Tables!$G$123:$G$138)-1))+1)-INDEX(Tables!$G$123:$G$138,MAX(1,MIN(IFERROR(MATCH(U141,Tables!$G$123:$G$138,1),1),ROWS(Tables!$G$123:$G$138)-1))))))))</f>
        <v>0.46899999999999997</v>
      </c>
      <c r="AR141" s="181">
        <f>IF(OR(P141&gt;=4,U141&gt;12),VLOOKUP(R141&amp;" "&amp;S141,Tables!$D$143:$F$148,2,FALSE),VLOOKUP(R141&amp;" "&amp;S141,Tables!$A$143:$C$148,2,FALSE))</f>
        <v>0.9</v>
      </c>
      <c r="AS141" s="181">
        <f>IF(OR(P141&gt;=4,U141&gt;12),VLOOKUP(R141&amp;" "&amp;S141,Tables!$D$143:$F$148,3,FALSE),VLOOKUP(R141&amp;" "&amp;S141,Tables!$A$143:$C$148,3,FALSE))</f>
        <v>0.65</v>
      </c>
      <c r="AT141" s="181">
        <f t="shared" si="136"/>
        <v>251.4477240116278</v>
      </c>
      <c r="AU141" s="181">
        <f>IF(AD141=5000,(INDEX(Tables!$B$244:$B$263,MAX(1,MIN(IFERROR(MATCH(AF141,Tables!$A$244:$A$263,1),1),ROWS(Tables!$A$244:$A$263)-1)))+(AF141-INDEX(Tables!$A$244:$A$263,MAX(1,MIN(IFERROR(MATCH(AF141,Tables!$A$244:$A$263,1),1),ROWS(Tables!$A$244:$A$263)-1))))*(INDEX(Tables!$B$244:$B$263,MAX(1,MIN(IFERROR(MATCH(AF141,Tables!$A$244:$A$263,1),1),ROWS(Tables!$A$244:$A$263)-1))+1)-INDEX(Tables!$B$244:$B$263,MAX(1,MIN(IFERROR(MATCH(AF141,Tables!$A$244:$A$263,1),1),ROWS(Tables!$A$244:$A$263)-1))))/(INDEX(Tables!$A$244:$A$263,MAX(1,MIN(IFERROR(MATCH(AF141,Tables!$A$244:$A$263,1),1),ROWS(Tables!$A$244:$A$263)-1))+1)-INDEX(Tables!$A$244:$A$263,MAX(1,MIN(IFERROR(MATCH(AF141,Tables!$A$244:$A$263,1),1),ROWS(Tables!$A$244:$A$263)-1))))),IF(AD141=10000,(INDEX(Tables!$D$244:$D$263,MAX(1,MIN(IFERROR(MATCH(AF141,Tables!$C$244:$C$263,1),1),ROWS(Tables!$C$244:$C$263)-1)))+(AF141-INDEX(Tables!$C$244:$C$263,MAX(1,MIN(IFERROR(MATCH(AF141,Tables!$C$244:$C$263,1),1),ROWS(Tables!$C$244:$C$263)-1))))*(INDEX(Tables!$D$244:$D$263,MAX(1,MIN(IFERROR(MATCH(AF141,Tables!$C$244:$C$263,1),1),ROWS(Tables!$C$244:$C$263)-1))+1)-INDEX(Tables!$D$244:$D$263,MAX(1,MIN(IFERROR(MATCH(AF141,Tables!$C$244:$C$263,1),1),ROWS(Tables!$C$244:$C$263)-1))))/(INDEX(Tables!$C$244:$C$263,MAX(1,MIN(IFERROR(MATCH(AF141,Tables!$C$244:$C$263,1),1),ROWS(Tables!$C$244:$C$263)-1))+1)-INDEX(Tables!$C$244:$C$263,MAX(1,MIN(IFERROR(MATCH(AF141,Tables!$C$244:$C$263,1),1),ROWS(Tables!$C$244:$C$263)-1))))),(INDEX(Tables!$F$244:$F$263,MAX(1,MIN(IFERROR(MATCH(AF141,Tables!$E$244:$E$263,1),1),ROWS(Tables!$E$244:$E$263)-1)))+(AF141-INDEX(Tables!$E$244:$E$263,MAX(1,MIN(IFERROR(MATCH(AF141,Tables!$E$244:$E$263,1),1),ROWS(Tables!$E$244:$E$263)-1))))*(INDEX(Tables!$F$244:$F$263,MAX(1,MIN(IFERROR(MATCH(AF141,Tables!$E$244:$E$263,1),1),ROWS(Tables!$E$244:$E$263)-1))+1)-INDEX(Tables!$F$244:$F$263,MAX(1,MIN(IFERROR(MATCH(AF141,Tables!$E$244:$E$263,1),1),ROWS(Tables!$E$244:$E$263)-1))))/(INDEX(Tables!$E$244:$E$263,MAX(1,MIN(IFERROR(MATCH(AF141,Tables!$E$244:$E$263,1),1),ROWS(Tables!$E$244:$E$263)-1))+1)-INDEX(Tables!$E$244:$E$263,MAX(1,MIN(IFERROR(MATCH(AF141,Tables!$E$244:$E$263,1),1),ROWS(Tables!$E$244:$E$263)-1)))))))</f>
        <v>9.7669999999999995</v>
      </c>
      <c r="AV141" s="181">
        <f>IF(P141&lt;6,(INDEX(Tables!$B$260:$B$274,MAX(1,MIN(IFERROR(MATCH(U141,Tables!$A$260:$A$274,1),1),ROWS(Tables!$A$260:$A$274)-1)))+(U141-INDEX(Tables!$A$260:$A$274,MAX(1,MIN(IFERROR(MATCH(U141,Tables!$A$260:$A$274,1),1),ROWS(Tables!$A$260:$A$274)-1))))*(INDEX(Tables!$B$260:$B$274,MAX(1,MIN(IFERROR(MATCH(U141,Tables!$A$260:$A$274,1),1),ROWS(Tables!$A$260:$A$274)-1))+1)-INDEX(Tables!$B$260:$B$274,MAX(1,MIN(IFERROR(MATCH(U141,Tables!$A$260:$A$274,1),1),ROWS(Tables!$A$260:$A$274)-1))))/(INDEX(Tables!$A$260:$A$274,MAX(1,MIN(IFERROR(MATCH(U141,Tables!$A$260:$A$274,1),1),ROWS(Tables!$A$260:$A$274)-1))+1)-INDEX(Tables!$A$260:$A$274,MAX(1,MIN(IFERROR(MATCH(U141,Tables!$A$260:$A$274,1),1),ROWS(Tables!$A$260:$A$274)-1))))),IF(P141&lt;8,(INDEX(Tables!$D$260:$D$274,MAX(1,MIN(IFERROR(MATCH(U141,Tables!$C$260:$C$274,1),1),ROWS(Tables!$C$260:$C$274)-1)))+(U141-INDEX(Tables!$C$260:$C$274,MAX(1,MIN(IFERROR(MATCH(U141,Tables!$C$260:$C$274,1),1),ROWS(Tables!$C$260:$C$274)-1))))*(INDEX(Tables!$D$260:$D$274,MAX(1,MIN(IFERROR(MATCH(U141,Tables!$C$260:$C$274,1),1),ROWS(Tables!$C$260:$C$274)-1))+1)-INDEX(Tables!$D$260:$D$274,MAX(1,MIN(IFERROR(MATCH(U141,Tables!$C$260:$C$274,1),1),ROWS(Tables!$C$260:$C$274)-1))))/(INDEX(Tables!$C$260:$C$274,MAX(1,MIN(IFERROR(MATCH(U141,Tables!$C$260:$C$274,1),1),ROWS(Tables!$C$260:$C$274)-1))+1)-INDEX(Tables!$C$260:$C$274,MAX(1,MIN(IFERROR(MATCH(U141,Tables!$C$260:$C$274,1),1),ROWS(Tables!$C$260:$C$274)-1))))),IF(P141&lt;10,(INDEX(Tables!$F$260:$F$274,MAX(1,MIN(IFERROR(MATCH(U141,Tables!$E$260:$E$274,1),1),ROWS(Tables!$E$260:$E$274)-1)))+(U141-INDEX(Tables!$E$260:$E$274,MAX(1,MIN(IFERROR(MATCH(U141,Tables!$E$260:$E$274,1),1),ROWS(Tables!$E$260:$E$274)-1))))*(INDEX(Tables!$F$260:$F$274,MAX(1,MIN(IFERROR(MATCH(U141,Tables!$E$260:$E$274,1),1),ROWS(Tables!$E$260:$E$274)-1))+1)-INDEX(Tables!$F$260:$F$274,MAX(1,MIN(IFERROR(MATCH(U141,Tables!$E$260:$E$274,1),1),ROWS(Tables!$E$260:$E$274)-1))))/(INDEX(Tables!$E$260:$E$274,MAX(1,MIN(IFERROR(MATCH(U141,Tables!$E$260:$E$274,1),1),ROWS(Tables!$E$260:$E$274)-1))+1)-INDEX(Tables!$E$260:$E$274,MAX(1,MIN(IFERROR(MATCH(U141,Tables!$E$260:$E$274,1),1),ROWS(Tables!$E$260:$E$274)-1))))),(INDEX(Tables!$H$260:$H$274,MAX(1,MIN(IFERROR(MATCH(U141,Tables!$G$260:$G$274,1),1),ROWS(Tables!$G$260:$G$274)-1)))+(U141-INDEX(Tables!$G$260:$G$274,MAX(1,MIN(IFERROR(MATCH(U141,Tables!$G$260:$G$274,1),1),ROWS(Tables!$G$260:$G$274)-1))))*(INDEX(Tables!$H$260:$H$274,MAX(1,MIN(IFERROR(MATCH(U141,Tables!$G$260:$G$274,1),1),ROWS(Tables!$G$260:$G$274)-1))+1)-INDEX(Tables!$H$260:$H$274,MAX(1,MIN(IFERROR(MATCH(U141,Tables!$G$260:$G$274,1),1),ROWS(Tables!$G$260:$G$274)-1))))/(INDEX(Tables!$G$260:$G$274,MAX(1,MIN(IFERROR(MATCH(U141,Tables!$G$260:$G$274,1),1),ROWS(Tables!$G$260:$G$274)-1))+1)-INDEX(Tables!$G$260:$G$274,MAX(1,MIN(IFERROR(MATCH(U141,Tables!$G$260:$G$274,1),1),ROWS(Tables!$G$260:$G$274)-1))))))))</f>
        <v>0.45700000000000002</v>
      </c>
      <c r="AW141" s="181">
        <f t="shared" si="137"/>
        <v>217.59655124999998</v>
      </c>
      <c r="AX141" s="181">
        <f t="shared" si="138"/>
        <v>184067.01030927835</v>
      </c>
      <c r="AY141" s="181">
        <f t="shared" si="139"/>
        <v>201279.43024608999</v>
      </c>
      <c r="AZ141" s="181">
        <f t="shared" si="140"/>
        <v>60525.991307873497</v>
      </c>
      <c r="BA141" s="181">
        <f t="shared" si="141"/>
        <v>-3000</v>
      </c>
      <c r="BB141" s="181">
        <f t="shared" si="142"/>
        <v>181076.18253962806</v>
      </c>
      <c r="BC141" s="181">
        <f t="shared" si="143"/>
        <v>46800</v>
      </c>
      <c r="BD141" s="181">
        <f>VLOOKUP(V141&amp;" "&amp;J141,Tables!$A$152:$E$239,4,FALSE)</f>
        <v>12000</v>
      </c>
      <c r="BE141" s="181">
        <f>VLOOKUP(V141&amp;" "&amp;J141,Tables!$A$152:$E$239,5,FALSE)</f>
        <v>23000</v>
      </c>
      <c r="BF141" s="181">
        <f t="shared" si="144"/>
        <v>8640</v>
      </c>
      <c r="BG141" s="181">
        <f t="shared" si="145"/>
        <v>16560</v>
      </c>
      <c r="BH141" s="181">
        <f t="shared" si="146"/>
        <v>185567.01030927835</v>
      </c>
      <c r="BI141" s="181">
        <f t="shared" si="147"/>
        <v>46800</v>
      </c>
      <c r="BJ141" s="181">
        <f t="shared" si="148"/>
        <v>181076.18253962806</v>
      </c>
      <c r="BK141" s="181">
        <f t="shared" si="149"/>
        <v>46800</v>
      </c>
      <c r="BL141" s="181">
        <f t="shared" si="150"/>
        <v>217.59655124999998</v>
      </c>
      <c r="BM141" s="181">
        <f t="shared" si="151"/>
        <v>8640</v>
      </c>
      <c r="BN141" s="181">
        <f t="shared" si="152"/>
        <v>251.4477240116278</v>
      </c>
      <c r="BO141" s="181">
        <f t="shared" si="153"/>
        <v>16560</v>
      </c>
      <c r="BP141" t="str">
        <f t="shared" si="154"/>
        <v>Fail</v>
      </c>
      <c r="BQ141" t="str">
        <f t="shared" si="155"/>
        <v>Fail</v>
      </c>
      <c r="BR141" t="str">
        <f t="shared" si="156"/>
        <v>Pass</v>
      </c>
      <c r="BS141" t="str">
        <f t="shared" si="157"/>
        <v>Pass</v>
      </c>
      <c r="BT141" t="str">
        <f t="shared" si="158"/>
        <v>Fail</v>
      </c>
      <c r="BU141" t="str">
        <f t="shared" si="159"/>
        <v>Barlow Stress</v>
      </c>
    </row>
    <row r="142" spans="1:73">
      <c r="A142" t="s">
        <v>734</v>
      </c>
      <c r="B142" s="181">
        <v>140</v>
      </c>
      <c r="C142" t="s">
        <v>594</v>
      </c>
      <c r="D142" s="181">
        <v>6</v>
      </c>
      <c r="E142" s="181">
        <v>0.13400000000000001</v>
      </c>
      <c r="F142" t="s">
        <v>117</v>
      </c>
      <c r="G142" t="s">
        <v>119</v>
      </c>
      <c r="H142" t="s">
        <v>122</v>
      </c>
      <c r="I142" s="181">
        <v>1</v>
      </c>
      <c r="J142" t="s">
        <v>126</v>
      </c>
      <c r="K142" t="s">
        <v>129</v>
      </c>
      <c r="L142" s="181">
        <v>70</v>
      </c>
      <c r="M142" s="181">
        <v>3000</v>
      </c>
      <c r="N142" t="s">
        <v>391</v>
      </c>
      <c r="O142" s="181">
        <v>120</v>
      </c>
      <c r="P142" s="181">
        <v>1</v>
      </c>
      <c r="Q142" s="181">
        <v>8.625</v>
      </c>
      <c r="R142" t="s">
        <v>417</v>
      </c>
      <c r="S142" t="s">
        <v>420</v>
      </c>
      <c r="T142" s="181">
        <v>70</v>
      </c>
      <c r="U142" s="181">
        <f>HLOOKUP(D142,'Highway Loading'!$C$155:$AD$156,2,FALSE)</f>
        <v>6.625</v>
      </c>
      <c r="V142" s="181">
        <f>IF(ISBLANK(G142),"",INDEX('Highway Loading'!$C$216:$AG$216,1,MATCH(G142,'Highway Loading'!$C$215:$AG$215,0)))</f>
        <v>65000</v>
      </c>
      <c r="W142" s="181">
        <f>INDEX('Highway Loading'!$I$245:$L$253,MATCH(H142,'Highway Loading'!$H$245:$H$253,0),MATCH(I142,'Highway Loading'!$I$244:$L$244,0))</f>
        <v>0.72</v>
      </c>
      <c r="X142" s="181">
        <f t="shared" si="128"/>
        <v>1</v>
      </c>
      <c r="Y142" s="181">
        <f>VLOOKUP(K142,'Highway Loading'!$B$283:$E$292,2,FALSE)</f>
        <v>29000000</v>
      </c>
      <c r="Z142" s="181">
        <f>VLOOKUP(K142,'Highway Loading'!$B$283:$E$292,3,FALSE)</f>
        <v>0.3</v>
      </c>
      <c r="AA142" s="181">
        <f>VLOOKUP(K142,'Highway Loading'!$B$283:$E$292,4,FALSE)</f>
        <v>6.4999999999999996E-6</v>
      </c>
      <c r="AB142" s="181">
        <f t="shared" si="129"/>
        <v>1</v>
      </c>
      <c r="AC142" s="181">
        <f>VLOOKUP(N142,'Highway Loading'!$B$256:$D$261,2,FALSE)</f>
        <v>1000</v>
      </c>
      <c r="AD142" s="181">
        <f>VLOOKUP(N142,'Highway Loading'!$B$256:$D$261,3,FALSE)</f>
        <v>10000</v>
      </c>
      <c r="AE142" s="181">
        <f>VLOOKUP(S142,'Highway Loading'!$B$340:$C$341,2,FALSE)</f>
        <v>12000</v>
      </c>
      <c r="AF142" s="181">
        <f t="shared" si="130"/>
        <v>2.0226415094339624E-2</v>
      </c>
      <c r="AG142" s="181">
        <f t="shared" si="131"/>
        <v>1.3913043478260869</v>
      </c>
      <c r="AH142" s="181">
        <f t="shared" si="132"/>
        <v>1.3018867924528301</v>
      </c>
      <c r="AI142" s="181">
        <f t="shared" si="133"/>
        <v>74160.447761194024</v>
      </c>
      <c r="AJ142" s="181">
        <f t="shared" si="134"/>
        <v>46800</v>
      </c>
      <c r="AK142" s="181">
        <f>IF(AC142=200,(INDEX(Tables!$B$17:$B$38,MAX(1,MIN(IFERROR(MATCH(AF142,Tables!$A$17:$A$38,1),1),ROWS(Tables!$A$17:$A$38)-1)))+(AF142-INDEX(Tables!$A$17:$A$38,MAX(1,MIN(IFERROR(MATCH(AF142,Tables!$A$17:$A$38,1),1),ROWS(Tables!$A$17:$A$38)-1))))*(INDEX(Tables!$B$17:$B$38,MAX(1,MIN(IFERROR(MATCH(AF142,Tables!$A$17:$A$38,1),1),ROWS(Tables!$A$17:$A$38)-1))+1)-INDEX(Tables!$B$17:$B$38,MAX(1,MIN(IFERROR(MATCH(AF142,Tables!$A$17:$A$38,1),1),ROWS(Tables!$A$17:$A$38)-1))))/(INDEX(Tables!$A$17:$A$38,MAX(1,MIN(IFERROR(MATCH(AF142,Tables!$A$17:$A$38,1),1),ROWS(Tables!$A$17:$A$38)-1))+1)-INDEX(Tables!$A$17:$A$38,MAX(1,MIN(IFERROR(MATCH(AF142,Tables!$A$17:$A$38,1),1),ROWS(Tables!$A$17:$A$38)-1))))),IF(AC142=500,(INDEX(Tables!$D$17:$D$38,MAX(1,MIN(IFERROR(MATCH(AF142,Tables!$C$17:$C$38,1),1),ROWS(Tables!$C$17:$C$38)-1)))+(AF142-INDEX(Tables!$C$17:$C$38,MAX(1,MIN(IFERROR(MATCH(AF142,Tables!$C$17:$C$38,1),1),ROWS(Tables!$C$17:$C$38)-1))))*(INDEX(Tables!$D$17:$D$38,MAX(1,MIN(IFERROR(MATCH(AF142,Tables!$C$17:$C$38,1),1),ROWS(Tables!$C$17:$C$38)-1))+1)-INDEX(Tables!$D$17:$D$38,MAX(1,MIN(IFERROR(MATCH(AF142,Tables!$C$17:$C$38,1),1),ROWS(Tables!$C$17:$C$38)-1))))/(INDEX(Tables!$C$17:$C$38,MAX(1,MIN(IFERROR(MATCH(AF142,Tables!$C$17:$C$38,1),1),ROWS(Tables!$C$17:$C$38)-1))+1)-INDEX(Tables!$C$17:$C$38,MAX(1,MIN(IFERROR(MATCH(AF142,Tables!$C$17:$C$38,1),1),ROWS(Tables!$C$17:$C$38)-1))))),IF(AC142=1000,(INDEX(Tables!$F$17:$F$38,MAX(1,MIN(IFERROR(MATCH(AF142,Tables!$E$17:$E$38,1),1),ROWS(Tables!$E$17:$E$38)-1)))+(AF142-INDEX(Tables!$E$17:$E$38,MAX(1,MIN(IFERROR(MATCH(AF142,Tables!$E$17:$E$38,1),1),ROWS(Tables!$E$17:$E$38)-1))))*(INDEX(Tables!$F$17:$F$38,MAX(1,MIN(IFERROR(MATCH(AF142,Tables!$E$17:$E$38,1),1),ROWS(Tables!$E$17:$E$38)-1))+1)-INDEX(Tables!$F$17:$F$38,MAX(1,MIN(IFERROR(MATCH(AF142,Tables!$E$17:$E$38,1),1),ROWS(Tables!$E$17:$E$38)-1))))/(INDEX(Tables!$E$17:$E$38,MAX(1,MIN(IFERROR(MATCH(AF142,Tables!$E$17:$E$38,1),1),ROWS(Tables!$E$17:$E$38)-1))+1)-INDEX(Tables!$E$17:$E$38,MAX(1,MIN(IFERROR(MATCH(AF142,Tables!$E$17:$E$38,1),1),ROWS(Tables!$E$17:$E$38)-1))))),(INDEX(Tables!$H$17:$H$38,MAX(1,MIN(IFERROR(MATCH(AF142,Tables!$G$17:$G$38,1),1),ROWS(Tables!$G$17:$G$38)-1)))+(AF142-INDEX(Tables!$G$17:$G$38,MAX(1,MIN(IFERROR(MATCH(AF142,Tables!$G$17:$G$38,1),1),ROWS(Tables!$G$17:$G$38)-1))))*(INDEX(Tables!$H$17:$H$38,MAX(1,MIN(IFERROR(MATCH(AF142,Tables!$G$17:$G$38,1),1),ROWS(Tables!$G$17:$G$38)-1))+1)-INDEX(Tables!$H$17:$H$38,MAX(1,MIN(IFERROR(MATCH(AF142,Tables!$G$17:$G$38,1),1),ROWS(Tables!$G$17:$G$38)-1))))/(INDEX(Tables!$G$17:$G$38,MAX(1,MIN(IFERROR(MATCH(AF142,Tables!$G$17:$G$38,1),1),ROWS(Tables!$G$17:$G$38)-1))+1)-INDEX(Tables!$G$17:$G$38,MAX(1,MIN(IFERROR(MATCH(AF142,Tables!$G$17:$G$38,1),1),ROWS(Tables!$G$17:$G$38)-1))))))))</f>
        <v>2258.1735849056604</v>
      </c>
      <c r="AL142" s="181">
        <f>IF(AC142&lt;1000,(INDEX(Tables!$B$43:$B$76,MAX(1,MIN(IFERROR(MATCH(AG142,Tables!$A$43:$A$76,1),1),ROWS(Tables!$A$43:$A$76)-1)))+(AG142-INDEX(Tables!$A$43:$A$76,MAX(1,MIN(IFERROR(MATCH(AG142,Tables!$A$43:$A$76,1),1),ROWS(Tables!$A$43:$A$76)-1))))*(INDEX(Tables!$B$43:$B$76,MAX(1,MIN(IFERROR(MATCH(AG142,Tables!$A$43:$A$76,1),1),ROWS(Tables!$A$43:$A$76)-1))+1)-INDEX(Tables!$B$43:$B$76,MAX(1,MIN(IFERROR(MATCH(AG142,Tables!$A$43:$A$76,1),1),ROWS(Tables!$A$43:$A$76)-1))))/(INDEX(Tables!$A$43:$A$76,MAX(1,MIN(IFERROR(MATCH(AG142,Tables!$A$43:$A$76,1),1),ROWS(Tables!$A$43:$A$76)-1))+1)-INDEX(Tables!$A$43:$A$76,MAX(1,MIN(IFERROR(MATCH(AG142,Tables!$A$43:$A$76,1),1),ROWS(Tables!$A$43:$A$76)-1))))),(INDEX(Tables!$D$43:$D$76,MAX(1,MIN(IFERROR(MATCH(AG142,Tables!$C$43:$C$76,1),1),ROWS(Tables!$C$43:$C$76)-1)))+(AG142-INDEX(Tables!$C$43:$C$76,MAX(1,MIN(IFERROR(MATCH(AG142,Tables!$C$43:$C$76,1),1),ROWS(Tables!$C$43:$C$76)-1))))*(INDEX(Tables!$D$43:$D$76,MAX(1,MIN(IFERROR(MATCH(AG142,Tables!$C$43:$C$76,1),1),ROWS(Tables!$C$43:$C$76)-1))+1)-INDEX(Tables!$D$43:$D$76,MAX(1,MIN(IFERROR(MATCH(AG142,Tables!$C$43:$C$76,1),1),ROWS(Tables!$C$43:$C$76)-1))))/(INDEX(Tables!$C$43:$C$76,MAX(1,MIN(IFERROR(MATCH(AG142,Tables!$C$43:$C$76,1),1),ROWS(Tables!$C$43:$C$76)-1))+1)-INDEX(Tables!$C$43:$C$76,MAX(1,MIN(IFERROR(MATCH(AG142,Tables!$C$43:$C$76,1),1),ROWS(Tables!$C$43:$C$76)-1))))))</f>
        <v>0.44230434782608696</v>
      </c>
      <c r="AM142" s="181">
        <f>(INDEX(Tables!$B$80:$B$87,MAX(1,MIN(IFERROR(MATCH(AH142,Tables!$A$80:$A$87,1),1),ROWS(Tables!$A$80:$A$87)-1)))+(AH142-INDEX(Tables!$A$80:$A$87,MAX(1,MIN(IFERROR(MATCH(AH142,Tables!$A$80:$A$87,1),1),ROWS(Tables!$A$80:$A$87)-1))))*(INDEX(Tables!$B$80:$B$87,MAX(1,MIN(IFERROR(MATCH(AH142,Tables!$A$80:$A$87,1),1),ROWS(Tables!$A$80:$A$87)-1))+1)-INDEX(Tables!$B$80:$B$87,MAX(1,MIN(IFERROR(MATCH(AH142,Tables!$A$80:$A$87,1),1),ROWS(Tables!$A$80:$A$87)-1))))/(INDEX(Tables!$A$80:$A$87,MAX(1,MIN(IFERROR(MATCH(AH142,Tables!$A$80:$A$87,1),1),ROWS(Tables!$A$80:$A$87)-1))+1)-INDEX(Tables!$A$80:$A$87,MAX(1,MIN(IFERROR(MATCH(AH142,Tables!$A$80:$A$87,1),1),ROWS(Tables!$A$80:$A$87)-1)))))</f>
        <v>1.403996226415094</v>
      </c>
      <c r="AN142" s="181">
        <f t="shared" si="135"/>
        <v>645.16063758092685</v>
      </c>
      <c r="AO142" s="181">
        <f>(INDEX(Tables!$B$91:$B$94,MAX(1,MIN(IFERROR(MATCH(P142,Tables!$A$91:$A$94,1),1),ROWS(Tables!$A$91:$A$94)-1)))+(P142-INDEX(Tables!$A$91:$A$94,MAX(1,MIN(IFERROR(MATCH(P142,Tables!$A$91:$A$94,1),1),ROWS(Tables!$A$91:$A$94)-1))))*(INDEX(Tables!$B$91:$B$94,MAX(1,MIN(IFERROR(MATCH(P142,Tables!$A$91:$A$94,1),1),ROWS(Tables!$A$91:$A$94)-1))+1)-INDEX(Tables!$B$91:$B$94,MAX(1,MIN(IFERROR(MATCH(P142,Tables!$A$91:$A$94,1),1),ROWS(Tables!$A$91:$A$94)-1))))/(INDEX(Tables!$A$91:$A$94,MAX(1,MIN(IFERROR(MATCH(P142,Tables!$A$91:$A$94,1),1),ROWS(Tables!$A$91:$A$94)-1))+1)-INDEX(Tables!$A$91:$A$94,MAX(1,MIN(IFERROR(MATCH(P142,Tables!$A$91:$A$94,1),1),ROWS(Tables!$A$91:$A$94)-1)))))</f>
        <v>1.5</v>
      </c>
      <c r="AP142" s="181">
        <f>IF(AD142=5000,(INDEX(Tables!$B$99:$B$118,MAX(1,MIN(IFERROR(MATCH(AF142,Tables!$A$99:$A$118,1),1),ROWS(Tables!$A$99:$A$118)-1)))+(AF142-INDEX(Tables!$A$99:$A$118,MAX(1,MIN(IFERROR(MATCH(AF142,Tables!$A$99:$A$118,1),1),ROWS(Tables!$A$99:$A$118)-1))))*(INDEX(Tables!$B$99:$B$118,MAX(1,MIN(IFERROR(MATCH(AF142,Tables!$A$99:$A$118,1),1),ROWS(Tables!$A$99:$A$118)-1))+1)-INDEX(Tables!$B$99:$B$118,MAX(1,MIN(IFERROR(MATCH(AF142,Tables!$A$99:$A$118,1),1),ROWS(Tables!$A$99:$A$118)-1))))/(INDEX(Tables!$A$99:$A$118,MAX(1,MIN(IFERROR(MATCH(AF142,Tables!$A$99:$A$118,1),1),ROWS(Tables!$A$99:$A$118)-1))+1)-INDEX(Tables!$A$99:$A$118,MAX(1,MIN(IFERROR(MATCH(AF142,Tables!$A$99:$A$118,1),1),ROWS(Tables!$A$99:$A$118)-1))))),IF(AD142=10000,(INDEX(Tables!$D$99:$D$118,MAX(1,MIN(IFERROR(MATCH(AF142,Tables!$C$99:$C$118,1),1),ROWS(Tables!$C$99:$C$118)-1)))+(AF142-INDEX(Tables!$C$99:$C$118,MAX(1,MIN(IFERROR(MATCH(AF142,Tables!$C$99:$C$118,1),1),ROWS(Tables!$C$99:$C$118)-1))))*(INDEX(Tables!$D$99:$D$118,MAX(1,MIN(IFERROR(MATCH(AF142,Tables!$C$99:$C$118,1),1),ROWS(Tables!$C$99:$C$118)-1))+1)-INDEX(Tables!$D$99:$D$118,MAX(1,MIN(IFERROR(MATCH(AF142,Tables!$C$99:$C$118,1),1),ROWS(Tables!$C$99:$C$118)-1))))/(INDEX(Tables!$C$99:$C$118,MAX(1,MIN(IFERROR(MATCH(AF142,Tables!$C$99:$C$118,1),1),ROWS(Tables!$C$99:$C$118)-1))+1)-INDEX(Tables!$C$99:$C$118,MAX(1,MIN(IFERROR(MATCH(AF142,Tables!$C$99:$C$118,1),1),ROWS(Tables!$C$99:$C$118)-1))))),(INDEX(Tables!$F$99:$F$118,MAX(1,MIN(IFERROR(MATCH(AF142,Tables!$E$99:$E$118,1),1),ROWS(Tables!$E$99:$E$118)-1)))+(AF142-INDEX(Tables!$E$99:$E$118,MAX(1,MIN(IFERROR(MATCH(AF142,Tables!$E$99:$E$118,1),1),ROWS(Tables!$E$99:$E$118)-1))))*(INDEX(Tables!$F$99:$F$118,MAX(1,MIN(IFERROR(MATCH(AF142,Tables!$E$99:$E$118,1),1),ROWS(Tables!$E$99:$E$118)-1))+1)-INDEX(Tables!$F$99:$F$118,MAX(1,MIN(IFERROR(MATCH(AF142,Tables!$E$99:$E$118,1),1),ROWS(Tables!$E$99:$E$118)-1))))/(INDEX(Tables!$E$99:$E$118,MAX(1,MIN(IFERROR(MATCH(AF142,Tables!$E$99:$E$118,1),1),ROWS(Tables!$E$99:$E$118)-1))+1)-INDEX(Tables!$E$99:$E$118,MAX(1,MIN(IFERROR(MATCH(AF142,Tables!$E$99:$E$118,1),1),ROWS(Tables!$E$99:$E$118)-1)))))))</f>
        <v>14.082741875666404</v>
      </c>
      <c r="AQ142" s="181">
        <f>IF(P142&lt;6,(INDEX(Tables!$B$123:$B$138,MAX(1,MIN(IFERROR(MATCH(U142,Tables!$A$123:$A$138,1),1),ROWS(Tables!$A$123:$A$138)-1)))+(U142-INDEX(Tables!$A$123:$A$138,MAX(1,MIN(IFERROR(MATCH(U142,Tables!$A$123:$A$138,1),1),ROWS(Tables!$A$123:$A$138)-1))))*(INDEX(Tables!$B$123:$B$138,MAX(1,MIN(IFERROR(MATCH(U142,Tables!$A$123:$A$138,1),1),ROWS(Tables!$A$123:$A$138)-1))+1)-INDEX(Tables!$B$123:$B$138,MAX(1,MIN(IFERROR(MATCH(U142,Tables!$A$123:$A$138,1),1),ROWS(Tables!$A$123:$A$138)-1))))/(INDEX(Tables!$A$123:$A$138,MAX(1,MIN(IFERROR(MATCH(U142,Tables!$A$123:$A$138,1),1),ROWS(Tables!$A$123:$A$138)-1))+1)-INDEX(Tables!$A$123:$A$138,MAX(1,MIN(IFERROR(MATCH(U142,Tables!$A$123:$A$138,1),1),ROWS(Tables!$A$123:$A$138)-1))))),IF(P142&lt;8,(INDEX(Tables!$D$123:$D$138,MAX(1,MIN(IFERROR(MATCH(U142,Tables!$C$123:$C$138,1),1),ROWS(Tables!$C$123:$C$138)-1)))+(U142-INDEX(Tables!$C$123:$C$138,MAX(1,MIN(IFERROR(MATCH(U142,Tables!$C$123:$C$138,1),1),ROWS(Tables!$C$123:$C$138)-1))))*(INDEX(Tables!$D$123:$D$138,MAX(1,MIN(IFERROR(MATCH(U142,Tables!$C$123:$C$138,1),1),ROWS(Tables!$C$123:$C$138)-1))+1)-INDEX(Tables!$D$123:$D$138,MAX(1,MIN(IFERROR(MATCH(U142,Tables!$C$123:$C$138,1),1),ROWS(Tables!$C$123:$C$138)-1))))/(INDEX(Tables!$C$123:$C$138,MAX(1,MIN(IFERROR(MATCH(U142,Tables!$C$123:$C$138,1),1),ROWS(Tables!$C$123:$C$138)-1))+1)-INDEX(Tables!$C$123:$C$138,MAX(1,MIN(IFERROR(MATCH(U142,Tables!$C$123:$C$138,1),1),ROWS(Tables!$C$123:$C$138)-1))))),IF(P142&lt;10,(INDEX(Tables!$F$123:$F$138,MAX(1,MIN(IFERROR(MATCH(U142,Tables!$E$123:$E$138,1),1),ROWS(Tables!$E$123:$E$138)-1)))+(U142-INDEX(Tables!$E$123:$E$138,MAX(1,MIN(IFERROR(MATCH(U142,Tables!$E$123:$E$138,1),1),ROWS(Tables!$E$123:$E$138)-1))))*(INDEX(Tables!$F$123:$F$138,MAX(1,MIN(IFERROR(MATCH(U142,Tables!$E$123:$E$138,1),1),ROWS(Tables!$E$123:$E$138)-1))+1)-INDEX(Tables!$F$123:$F$138,MAX(1,MIN(IFERROR(MATCH(U142,Tables!$E$123:$E$138,1),1),ROWS(Tables!$E$123:$E$138)-1))))/(INDEX(Tables!$E$123:$E$138,MAX(1,MIN(IFERROR(MATCH(U142,Tables!$E$123:$E$138,1),1),ROWS(Tables!$E$123:$E$138)-1))+1)-INDEX(Tables!$E$123:$E$138,MAX(1,MIN(IFERROR(MATCH(U142,Tables!$E$123:$E$138,1),1),ROWS(Tables!$E$123:$E$138)-1))))),(INDEX(Tables!$H$123:$H$138,MAX(1,MIN(IFERROR(MATCH(U142,Tables!$G$123:$G$138,1),1),ROWS(Tables!$G$123:$G$138)-1)))+(U142-INDEX(Tables!$G$123:$G$138,MAX(1,MIN(IFERROR(MATCH(U142,Tables!$G$123:$G$138,1),1),ROWS(Tables!$G$123:$G$138)-1))))*(INDEX(Tables!$H$123:$H$138,MAX(1,MIN(IFERROR(MATCH(U142,Tables!$G$123:$G$138,1),1),ROWS(Tables!$G$123:$G$138)-1))+1)-INDEX(Tables!$H$123:$H$138,MAX(1,MIN(IFERROR(MATCH(U142,Tables!$G$123:$G$138,1),1),ROWS(Tables!$G$123:$G$138)-1))))/(INDEX(Tables!$G$123:$G$138,MAX(1,MIN(IFERROR(MATCH(U142,Tables!$G$123:$G$138,1),1),ROWS(Tables!$G$123:$G$138)-1))+1)-INDEX(Tables!$G$123:$G$138,MAX(1,MIN(IFERROR(MATCH(U142,Tables!$G$123:$G$138,1),1),ROWS(Tables!$G$123:$G$138)-1))))))))</f>
        <v>1.4501250000000001</v>
      </c>
      <c r="AR142" s="181">
        <f>IF(OR(P142&gt;=4,U142&gt;12),VLOOKUP(R142&amp;" "&amp;S142,Tables!$D$143:$F$148,2,FALSE),VLOOKUP(R142&amp;" "&amp;S142,Tables!$A$143:$C$148,2,FALSE))</f>
        <v>1.2</v>
      </c>
      <c r="AS142" s="181">
        <f>IF(OR(P142&gt;=4,U142&gt;12),VLOOKUP(R142&amp;" "&amp;S142,Tables!$D$143:$F$148,3,FALSE),VLOOKUP(R142&amp;" "&amp;S142,Tables!$A$143:$C$148,3,FALSE))</f>
        <v>0.8</v>
      </c>
      <c r="AT142" s="181">
        <f t="shared" si="136"/>
        <v>2450.6083274940893</v>
      </c>
      <c r="AU142" s="181">
        <f>IF(AD142=5000,(INDEX(Tables!$B$244:$B$263,MAX(1,MIN(IFERROR(MATCH(AF142,Tables!$A$244:$A$263,1),1),ROWS(Tables!$A$244:$A$263)-1)))+(AF142-INDEX(Tables!$A$244:$A$263,MAX(1,MIN(IFERROR(MATCH(AF142,Tables!$A$244:$A$263,1),1),ROWS(Tables!$A$244:$A$263)-1))))*(INDEX(Tables!$B$244:$B$263,MAX(1,MIN(IFERROR(MATCH(AF142,Tables!$A$244:$A$263,1),1),ROWS(Tables!$A$244:$A$263)-1))+1)-INDEX(Tables!$B$244:$B$263,MAX(1,MIN(IFERROR(MATCH(AF142,Tables!$A$244:$A$263,1),1),ROWS(Tables!$A$244:$A$263)-1))))/(INDEX(Tables!$A$244:$A$263,MAX(1,MIN(IFERROR(MATCH(AF142,Tables!$A$244:$A$263,1),1),ROWS(Tables!$A$244:$A$263)-1))+1)-INDEX(Tables!$A$244:$A$263,MAX(1,MIN(IFERROR(MATCH(AF142,Tables!$A$244:$A$263,1),1),ROWS(Tables!$A$244:$A$263)-1))))),IF(AD142=10000,(INDEX(Tables!$D$244:$D$263,MAX(1,MIN(IFERROR(MATCH(AF142,Tables!$C$244:$C$263,1),1),ROWS(Tables!$C$244:$C$263)-1)))+(AF142-INDEX(Tables!$C$244:$C$263,MAX(1,MIN(IFERROR(MATCH(AF142,Tables!$C$244:$C$263,1),1),ROWS(Tables!$C$244:$C$263)-1))))*(INDEX(Tables!$D$244:$D$263,MAX(1,MIN(IFERROR(MATCH(AF142,Tables!$C$244:$C$263,1),1),ROWS(Tables!$C$244:$C$263)-1))+1)-INDEX(Tables!$D$244:$D$263,MAX(1,MIN(IFERROR(MATCH(AF142,Tables!$C$244:$C$263,1),1),ROWS(Tables!$C$244:$C$263)-1))))/(INDEX(Tables!$C$244:$C$263,MAX(1,MIN(IFERROR(MATCH(AF142,Tables!$C$244:$C$263,1),1),ROWS(Tables!$C$244:$C$263)-1))+1)-INDEX(Tables!$C$244:$C$263,MAX(1,MIN(IFERROR(MATCH(AF142,Tables!$C$244:$C$263,1),1),ROWS(Tables!$C$244:$C$263)-1))))),(INDEX(Tables!$F$244:$F$263,MAX(1,MIN(IFERROR(MATCH(AF142,Tables!$E$244:$E$263,1),1),ROWS(Tables!$E$244:$E$263)-1)))+(AF142-INDEX(Tables!$E$244:$E$263,MAX(1,MIN(IFERROR(MATCH(AF142,Tables!$E$244:$E$263,1),1),ROWS(Tables!$E$244:$E$263)-1))))*(INDEX(Tables!$F$244:$F$263,MAX(1,MIN(IFERROR(MATCH(AF142,Tables!$E$244:$E$263,1),1),ROWS(Tables!$E$244:$E$263)-1))+1)-INDEX(Tables!$F$244:$F$263,MAX(1,MIN(IFERROR(MATCH(AF142,Tables!$E$244:$E$263,1),1),ROWS(Tables!$E$244:$E$263)-1))))/(INDEX(Tables!$E$244:$E$263,MAX(1,MIN(IFERROR(MATCH(AF142,Tables!$E$244:$E$263,1),1),ROWS(Tables!$E$244:$E$263)-1))+1)-INDEX(Tables!$E$244:$E$263,MAX(1,MIN(IFERROR(MATCH(AF142,Tables!$E$244:$E$263,1),1),ROWS(Tables!$E$244:$E$263)-1)))))))</f>
        <v>9.7394226415094334</v>
      </c>
      <c r="AV142" s="181">
        <f>IF(P142&lt;6,(INDEX(Tables!$B$260:$B$274,MAX(1,MIN(IFERROR(MATCH(U142,Tables!$A$260:$A$274,1),1),ROWS(Tables!$A$260:$A$274)-1)))+(U142-INDEX(Tables!$A$260:$A$274,MAX(1,MIN(IFERROR(MATCH(U142,Tables!$A$260:$A$274,1),1),ROWS(Tables!$A$260:$A$274)-1))))*(INDEX(Tables!$B$260:$B$274,MAX(1,MIN(IFERROR(MATCH(U142,Tables!$A$260:$A$274,1),1),ROWS(Tables!$A$260:$A$274)-1))+1)-INDEX(Tables!$B$260:$B$274,MAX(1,MIN(IFERROR(MATCH(U142,Tables!$A$260:$A$274,1),1),ROWS(Tables!$A$260:$A$274)-1))))/(INDEX(Tables!$A$260:$A$274,MAX(1,MIN(IFERROR(MATCH(U142,Tables!$A$260:$A$274,1),1),ROWS(Tables!$A$260:$A$274)-1))+1)-INDEX(Tables!$A$260:$A$274,MAX(1,MIN(IFERROR(MATCH(U142,Tables!$A$260:$A$274,1),1),ROWS(Tables!$A$260:$A$274)-1))))),IF(P142&lt;8,(INDEX(Tables!$D$260:$D$274,MAX(1,MIN(IFERROR(MATCH(U142,Tables!$C$260:$C$274,1),1),ROWS(Tables!$C$260:$C$274)-1)))+(U142-INDEX(Tables!$C$260:$C$274,MAX(1,MIN(IFERROR(MATCH(U142,Tables!$C$260:$C$274,1),1),ROWS(Tables!$C$260:$C$274)-1))))*(INDEX(Tables!$D$260:$D$274,MAX(1,MIN(IFERROR(MATCH(U142,Tables!$C$260:$C$274,1),1),ROWS(Tables!$C$260:$C$274)-1))+1)-INDEX(Tables!$D$260:$D$274,MAX(1,MIN(IFERROR(MATCH(U142,Tables!$C$260:$C$274,1),1),ROWS(Tables!$C$260:$C$274)-1))))/(INDEX(Tables!$C$260:$C$274,MAX(1,MIN(IFERROR(MATCH(U142,Tables!$C$260:$C$274,1),1),ROWS(Tables!$C$260:$C$274)-1))+1)-INDEX(Tables!$C$260:$C$274,MAX(1,MIN(IFERROR(MATCH(U142,Tables!$C$260:$C$274,1),1),ROWS(Tables!$C$260:$C$274)-1))))),IF(P142&lt;10,(INDEX(Tables!$F$260:$F$274,MAX(1,MIN(IFERROR(MATCH(U142,Tables!$E$260:$E$274,1),1),ROWS(Tables!$E$260:$E$274)-1)))+(U142-INDEX(Tables!$E$260:$E$274,MAX(1,MIN(IFERROR(MATCH(U142,Tables!$E$260:$E$274,1),1),ROWS(Tables!$E$260:$E$274)-1))))*(INDEX(Tables!$F$260:$F$274,MAX(1,MIN(IFERROR(MATCH(U142,Tables!$E$260:$E$274,1),1),ROWS(Tables!$E$260:$E$274)-1))+1)-INDEX(Tables!$F$260:$F$274,MAX(1,MIN(IFERROR(MATCH(U142,Tables!$E$260:$E$274,1),1),ROWS(Tables!$E$260:$E$274)-1))))/(INDEX(Tables!$E$260:$E$274,MAX(1,MIN(IFERROR(MATCH(U142,Tables!$E$260:$E$274,1),1),ROWS(Tables!$E$260:$E$274)-1))+1)-INDEX(Tables!$E$260:$E$274,MAX(1,MIN(IFERROR(MATCH(U142,Tables!$E$260:$E$274,1),1),ROWS(Tables!$E$260:$E$274)-1))))),(INDEX(Tables!$H$260:$H$274,MAX(1,MIN(IFERROR(MATCH(U142,Tables!$G$260:$G$274,1),1),ROWS(Tables!$G$260:$G$274)-1)))+(U142-INDEX(Tables!$G$260:$G$274,MAX(1,MIN(IFERROR(MATCH(U142,Tables!$G$260:$G$274,1),1),ROWS(Tables!$G$260:$G$274)-1))))*(INDEX(Tables!$H$260:$H$274,MAX(1,MIN(IFERROR(MATCH(U142,Tables!$G$260:$G$274,1),1),ROWS(Tables!$G$260:$G$274)-1))+1)-INDEX(Tables!$H$260:$H$274,MAX(1,MIN(IFERROR(MATCH(U142,Tables!$G$260:$G$274,1),1),ROWS(Tables!$G$260:$G$274)-1))))/(INDEX(Tables!$G$260:$G$274,MAX(1,MIN(IFERROR(MATCH(U142,Tables!$G$260:$G$274,1),1),ROWS(Tables!$G$260:$G$274)-1))+1)-INDEX(Tables!$G$260:$G$274,MAX(1,MIN(IFERROR(MATCH(U142,Tables!$G$260:$G$274,1),1),ROWS(Tables!$G$260:$G$274)-1))))))))</f>
        <v>1.4965000000000002</v>
      </c>
      <c r="AW142" s="181">
        <f t="shared" si="137"/>
        <v>1749.0055179622645</v>
      </c>
      <c r="AX142" s="181">
        <f t="shared" si="138"/>
        <v>72660.447761194024</v>
      </c>
      <c r="AY142" s="181">
        <f t="shared" si="139"/>
        <v>75756.216726269035</v>
      </c>
      <c r="AZ142" s="181">
        <f t="shared" si="140"/>
        <v>23740.688037594748</v>
      </c>
      <c r="BA142" s="181">
        <f t="shared" si="141"/>
        <v>-3000</v>
      </c>
      <c r="BB142" s="181">
        <f t="shared" si="142"/>
        <v>69365.774321783931</v>
      </c>
      <c r="BC142" s="181">
        <f t="shared" si="143"/>
        <v>46800</v>
      </c>
      <c r="BD142" s="181">
        <f>VLOOKUP(V142&amp;" "&amp;J142,Tables!$A$152:$E$239,4,FALSE)</f>
        <v>12000</v>
      </c>
      <c r="BE142" s="181">
        <f>VLOOKUP(V142&amp;" "&amp;J142,Tables!$A$152:$E$239,5,FALSE)</f>
        <v>23000</v>
      </c>
      <c r="BF142" s="181">
        <f t="shared" si="144"/>
        <v>8640</v>
      </c>
      <c r="BG142" s="181">
        <f t="shared" si="145"/>
        <v>16560</v>
      </c>
      <c r="BH142" s="181">
        <f t="shared" si="146"/>
        <v>74160.447761194024</v>
      </c>
      <c r="BI142" s="181">
        <f t="shared" si="147"/>
        <v>46800</v>
      </c>
      <c r="BJ142" s="181">
        <f t="shared" si="148"/>
        <v>69365.774321783931</v>
      </c>
      <c r="BK142" s="181">
        <f t="shared" si="149"/>
        <v>46800</v>
      </c>
      <c r="BL142" s="181">
        <f t="shared" si="150"/>
        <v>1749.0055179622645</v>
      </c>
      <c r="BM142" s="181">
        <f t="shared" si="151"/>
        <v>8640</v>
      </c>
      <c r="BN142" s="181">
        <f t="shared" si="152"/>
        <v>2450.6083274940893</v>
      </c>
      <c r="BO142" s="181">
        <f t="shared" si="153"/>
        <v>16560</v>
      </c>
      <c r="BP142" t="str">
        <f t="shared" si="154"/>
        <v>Fail</v>
      </c>
      <c r="BQ142" t="str">
        <f t="shared" si="155"/>
        <v>Fail</v>
      </c>
      <c r="BR142" t="str">
        <f t="shared" si="156"/>
        <v>Pass</v>
      </c>
      <c r="BS142" t="str">
        <f t="shared" si="157"/>
        <v>Pass</v>
      </c>
      <c r="BT142" t="str">
        <f t="shared" si="158"/>
        <v>Fail</v>
      </c>
      <c r="BU142" t="str">
        <f t="shared" si="159"/>
        <v>Barlow Stress</v>
      </c>
    </row>
    <row r="143" spans="1:73">
      <c r="A143" t="s">
        <v>735</v>
      </c>
      <c r="B143" s="181">
        <v>141</v>
      </c>
      <c r="C143" t="s">
        <v>594</v>
      </c>
      <c r="D143" s="181">
        <v>8</v>
      </c>
      <c r="E143" s="181">
        <v>0.14799999999999999</v>
      </c>
      <c r="F143" t="s">
        <v>117</v>
      </c>
      <c r="G143" t="s">
        <v>119</v>
      </c>
      <c r="H143" t="s">
        <v>122</v>
      </c>
      <c r="I143" s="181">
        <v>1</v>
      </c>
      <c r="J143" t="s">
        <v>126</v>
      </c>
      <c r="K143" t="s">
        <v>129</v>
      </c>
      <c r="L143" s="181">
        <v>70</v>
      </c>
      <c r="M143" s="181">
        <v>6000</v>
      </c>
      <c r="N143" t="s">
        <v>391</v>
      </c>
      <c r="O143" s="181">
        <v>120</v>
      </c>
      <c r="P143" s="181">
        <v>3</v>
      </c>
      <c r="Q143" s="181">
        <v>10.625</v>
      </c>
      <c r="R143" t="s">
        <v>417</v>
      </c>
      <c r="S143" t="s">
        <v>420</v>
      </c>
      <c r="T143" s="181">
        <v>70</v>
      </c>
      <c r="U143" s="181">
        <f>HLOOKUP(D143,'Highway Loading'!$C$155:$AD$156,2,FALSE)</f>
        <v>8.625</v>
      </c>
      <c r="V143" s="181">
        <f>IF(ISBLANK(G143),"",INDEX('Highway Loading'!$C$216:$AG$216,1,MATCH(G143,'Highway Loading'!$C$215:$AG$215,0)))</f>
        <v>65000</v>
      </c>
      <c r="W143" s="181">
        <f>INDEX('Highway Loading'!$I$245:$L$253,MATCH(H143,'Highway Loading'!$H$245:$H$253,0),MATCH(I143,'Highway Loading'!$I$244:$L$244,0))</f>
        <v>0.72</v>
      </c>
      <c r="X143" s="181">
        <f t="shared" si="128"/>
        <v>1</v>
      </c>
      <c r="Y143" s="181">
        <f>VLOOKUP(K143,'Highway Loading'!$B$283:$E$292,2,FALSE)</f>
        <v>29000000</v>
      </c>
      <c r="Z143" s="181">
        <f>VLOOKUP(K143,'Highway Loading'!$B$283:$E$292,3,FALSE)</f>
        <v>0.3</v>
      </c>
      <c r="AA143" s="181">
        <f>VLOOKUP(K143,'Highway Loading'!$B$283:$E$292,4,FALSE)</f>
        <v>6.4999999999999996E-6</v>
      </c>
      <c r="AB143" s="181">
        <f t="shared" si="129"/>
        <v>1</v>
      </c>
      <c r="AC143" s="181">
        <f>VLOOKUP(N143,'Highway Loading'!$B$256:$D$261,2,FALSE)</f>
        <v>1000</v>
      </c>
      <c r="AD143" s="181">
        <f>VLOOKUP(N143,'Highway Loading'!$B$256:$D$261,3,FALSE)</f>
        <v>10000</v>
      </c>
      <c r="AE143" s="181">
        <f>VLOOKUP(S143,'Highway Loading'!$B$340:$C$341,2,FALSE)</f>
        <v>12000</v>
      </c>
      <c r="AF143" s="181">
        <f t="shared" si="130"/>
        <v>1.7159420289855072E-2</v>
      </c>
      <c r="AG143" s="181">
        <f t="shared" si="131"/>
        <v>3.388235294117647</v>
      </c>
      <c r="AH143" s="181">
        <f t="shared" si="132"/>
        <v>1.2318840579710144</v>
      </c>
      <c r="AI143" s="181">
        <f t="shared" si="133"/>
        <v>174831.08108108109</v>
      </c>
      <c r="AJ143" s="181">
        <f t="shared" si="134"/>
        <v>46800</v>
      </c>
      <c r="AK143" s="181">
        <f>IF(AC143=200,(INDEX(Tables!$B$17:$B$38,MAX(1,MIN(IFERROR(MATCH(AF143,Tables!$A$17:$A$38,1),1),ROWS(Tables!$A$17:$A$38)-1)))+(AF143-INDEX(Tables!$A$17:$A$38,MAX(1,MIN(IFERROR(MATCH(AF143,Tables!$A$17:$A$38,1),1),ROWS(Tables!$A$17:$A$38)-1))))*(INDEX(Tables!$B$17:$B$38,MAX(1,MIN(IFERROR(MATCH(AF143,Tables!$A$17:$A$38,1),1),ROWS(Tables!$A$17:$A$38)-1))+1)-INDEX(Tables!$B$17:$B$38,MAX(1,MIN(IFERROR(MATCH(AF143,Tables!$A$17:$A$38,1),1),ROWS(Tables!$A$17:$A$38)-1))))/(INDEX(Tables!$A$17:$A$38,MAX(1,MIN(IFERROR(MATCH(AF143,Tables!$A$17:$A$38,1),1),ROWS(Tables!$A$17:$A$38)-1))+1)-INDEX(Tables!$A$17:$A$38,MAX(1,MIN(IFERROR(MATCH(AF143,Tables!$A$17:$A$38,1),1),ROWS(Tables!$A$17:$A$38)-1))))),IF(AC143=500,(INDEX(Tables!$D$17:$D$38,MAX(1,MIN(IFERROR(MATCH(AF143,Tables!$C$17:$C$38,1),1),ROWS(Tables!$C$17:$C$38)-1)))+(AF143-INDEX(Tables!$C$17:$C$38,MAX(1,MIN(IFERROR(MATCH(AF143,Tables!$C$17:$C$38,1),1),ROWS(Tables!$C$17:$C$38)-1))))*(INDEX(Tables!$D$17:$D$38,MAX(1,MIN(IFERROR(MATCH(AF143,Tables!$C$17:$C$38,1),1),ROWS(Tables!$C$17:$C$38)-1))+1)-INDEX(Tables!$D$17:$D$38,MAX(1,MIN(IFERROR(MATCH(AF143,Tables!$C$17:$C$38,1),1),ROWS(Tables!$C$17:$C$38)-1))))/(INDEX(Tables!$C$17:$C$38,MAX(1,MIN(IFERROR(MATCH(AF143,Tables!$C$17:$C$38,1),1),ROWS(Tables!$C$17:$C$38)-1))+1)-INDEX(Tables!$C$17:$C$38,MAX(1,MIN(IFERROR(MATCH(AF143,Tables!$C$17:$C$38,1),1),ROWS(Tables!$C$17:$C$38)-1))))),IF(AC143=1000,(INDEX(Tables!$F$17:$F$38,MAX(1,MIN(IFERROR(MATCH(AF143,Tables!$E$17:$E$38,1),1),ROWS(Tables!$E$17:$E$38)-1)))+(AF143-INDEX(Tables!$E$17:$E$38,MAX(1,MIN(IFERROR(MATCH(AF143,Tables!$E$17:$E$38,1),1),ROWS(Tables!$E$17:$E$38)-1))))*(INDEX(Tables!$F$17:$F$38,MAX(1,MIN(IFERROR(MATCH(AF143,Tables!$E$17:$E$38,1),1),ROWS(Tables!$E$17:$E$38)-1))+1)-INDEX(Tables!$F$17:$F$38,MAX(1,MIN(IFERROR(MATCH(AF143,Tables!$E$17:$E$38,1),1),ROWS(Tables!$E$17:$E$38)-1))))/(INDEX(Tables!$E$17:$E$38,MAX(1,MIN(IFERROR(MATCH(AF143,Tables!$E$17:$E$38,1),1),ROWS(Tables!$E$17:$E$38)-1))+1)-INDEX(Tables!$E$17:$E$38,MAX(1,MIN(IFERROR(MATCH(AF143,Tables!$E$17:$E$38,1),1),ROWS(Tables!$E$17:$E$38)-1))))),(INDEX(Tables!$H$17:$H$38,MAX(1,MIN(IFERROR(MATCH(AF143,Tables!$G$17:$G$38,1),1),ROWS(Tables!$G$17:$G$38)-1)))+(AF143-INDEX(Tables!$G$17:$G$38,MAX(1,MIN(IFERROR(MATCH(AF143,Tables!$G$17:$G$38,1),1),ROWS(Tables!$G$17:$G$38)-1))))*(INDEX(Tables!$H$17:$H$38,MAX(1,MIN(IFERROR(MATCH(AF143,Tables!$G$17:$G$38,1),1),ROWS(Tables!$G$17:$G$38)-1))+1)-INDEX(Tables!$H$17:$H$38,MAX(1,MIN(IFERROR(MATCH(AF143,Tables!$G$17:$G$38,1),1),ROWS(Tables!$G$17:$G$38)-1))))/(INDEX(Tables!$G$17:$G$38,MAX(1,MIN(IFERROR(MATCH(AF143,Tables!$G$17:$G$38,1),1),ROWS(Tables!$G$17:$G$38)-1))+1)-INDEX(Tables!$G$17:$G$38,MAX(1,MIN(IFERROR(MATCH(AF143,Tables!$G$17:$G$38,1),1),ROWS(Tables!$G$17:$G$38)-1))))))))</f>
        <v>2855.0289855072469</v>
      </c>
      <c r="AL143" s="181">
        <f>IF(AC143&lt;1000,(INDEX(Tables!$B$43:$B$76,MAX(1,MIN(IFERROR(MATCH(AG143,Tables!$A$43:$A$76,1),1),ROWS(Tables!$A$43:$A$76)-1)))+(AG143-INDEX(Tables!$A$43:$A$76,MAX(1,MIN(IFERROR(MATCH(AG143,Tables!$A$43:$A$76,1),1),ROWS(Tables!$A$43:$A$76)-1))))*(INDEX(Tables!$B$43:$B$76,MAX(1,MIN(IFERROR(MATCH(AG143,Tables!$A$43:$A$76,1),1),ROWS(Tables!$A$43:$A$76)-1))+1)-INDEX(Tables!$B$43:$B$76,MAX(1,MIN(IFERROR(MATCH(AG143,Tables!$A$43:$A$76,1),1),ROWS(Tables!$A$43:$A$76)-1))))/(INDEX(Tables!$A$43:$A$76,MAX(1,MIN(IFERROR(MATCH(AG143,Tables!$A$43:$A$76,1),1),ROWS(Tables!$A$43:$A$76)-1))+1)-INDEX(Tables!$A$43:$A$76,MAX(1,MIN(IFERROR(MATCH(AG143,Tables!$A$43:$A$76,1),1),ROWS(Tables!$A$43:$A$76)-1))))),(INDEX(Tables!$D$43:$D$76,MAX(1,MIN(IFERROR(MATCH(AG143,Tables!$C$43:$C$76,1),1),ROWS(Tables!$C$43:$C$76)-1)))+(AG143-INDEX(Tables!$C$43:$C$76,MAX(1,MIN(IFERROR(MATCH(AG143,Tables!$C$43:$C$76,1),1),ROWS(Tables!$C$43:$C$76)-1))))*(INDEX(Tables!$D$43:$D$76,MAX(1,MIN(IFERROR(MATCH(AG143,Tables!$C$43:$C$76,1),1),ROWS(Tables!$C$43:$C$76)-1))+1)-INDEX(Tables!$D$43:$D$76,MAX(1,MIN(IFERROR(MATCH(AG143,Tables!$C$43:$C$76,1),1),ROWS(Tables!$C$43:$C$76)-1))))/(INDEX(Tables!$C$43:$C$76,MAX(1,MIN(IFERROR(MATCH(AG143,Tables!$C$43:$C$76,1),1),ROWS(Tables!$C$43:$C$76)-1))+1)-INDEX(Tables!$C$43:$C$76,MAX(1,MIN(IFERROR(MATCH(AG143,Tables!$C$43:$C$76,1),1),ROWS(Tables!$C$43:$C$76)-1))))))</f>
        <v>0.82142352941176466</v>
      </c>
      <c r="AM143" s="181">
        <f>(INDEX(Tables!$B$80:$B$87,MAX(1,MIN(IFERROR(MATCH(AH143,Tables!$A$80:$A$87,1),1),ROWS(Tables!$A$80:$A$87)-1)))+(AH143-INDEX(Tables!$A$80:$A$87,MAX(1,MIN(IFERROR(MATCH(AH143,Tables!$A$80:$A$87,1),1),ROWS(Tables!$A$80:$A$87)-1))))*(INDEX(Tables!$B$80:$B$87,MAX(1,MIN(IFERROR(MATCH(AH143,Tables!$A$80:$A$87,1),1),ROWS(Tables!$A$80:$A$87)-1))+1)-INDEX(Tables!$B$80:$B$87,MAX(1,MIN(IFERROR(MATCH(AH143,Tables!$A$80:$A$87,1),1),ROWS(Tables!$A$80:$A$87)-1))))/(INDEX(Tables!$A$80:$A$87,MAX(1,MIN(IFERROR(MATCH(AH143,Tables!$A$80:$A$87,1),1),ROWS(Tables!$A$80:$A$87)-1))+1)-INDEX(Tables!$A$80:$A$87,MAX(1,MIN(IFERROR(MATCH(AH143,Tables!$A$80:$A$87,1),1),ROWS(Tables!$A$80:$A$87)-1)))))</f>
        <v>1.2567086956521738</v>
      </c>
      <c r="AN143" s="181">
        <f t="shared" si="135"/>
        <v>1765.2608619623345</v>
      </c>
      <c r="AO143" s="181">
        <f>(INDEX(Tables!$B$91:$B$94,MAX(1,MIN(IFERROR(MATCH(P143,Tables!$A$91:$A$94,1),1),ROWS(Tables!$A$91:$A$94)-1)))+(P143-INDEX(Tables!$A$91:$A$94,MAX(1,MIN(IFERROR(MATCH(P143,Tables!$A$91:$A$94,1),1),ROWS(Tables!$A$91:$A$94)-1))))*(INDEX(Tables!$B$91:$B$94,MAX(1,MIN(IFERROR(MATCH(P143,Tables!$A$91:$A$94,1),1),ROWS(Tables!$A$91:$A$94)-1))+1)-INDEX(Tables!$B$91:$B$94,MAX(1,MIN(IFERROR(MATCH(P143,Tables!$A$91:$A$94,1),1),ROWS(Tables!$A$91:$A$94)-1))))/(INDEX(Tables!$A$91:$A$94,MAX(1,MIN(IFERROR(MATCH(P143,Tables!$A$91:$A$94,1),1),ROWS(Tables!$A$91:$A$94)-1))+1)-INDEX(Tables!$A$91:$A$94,MAX(1,MIN(IFERROR(MATCH(P143,Tables!$A$91:$A$94,1),1),ROWS(Tables!$A$91:$A$94)-1)))))</f>
        <v>1.5</v>
      </c>
      <c r="AP143" s="181">
        <f>IF(AD143=5000,(INDEX(Tables!$B$99:$B$118,MAX(1,MIN(IFERROR(MATCH(AF143,Tables!$A$99:$A$118,1),1),ROWS(Tables!$A$99:$A$118)-1)))+(AF143-INDEX(Tables!$A$99:$A$118,MAX(1,MIN(IFERROR(MATCH(AF143,Tables!$A$99:$A$118,1),1),ROWS(Tables!$A$99:$A$118)-1))))*(INDEX(Tables!$B$99:$B$118,MAX(1,MIN(IFERROR(MATCH(AF143,Tables!$A$99:$A$118,1),1),ROWS(Tables!$A$99:$A$118)-1))+1)-INDEX(Tables!$B$99:$B$118,MAX(1,MIN(IFERROR(MATCH(AF143,Tables!$A$99:$A$118,1),1),ROWS(Tables!$A$99:$A$118)-1))))/(INDEX(Tables!$A$99:$A$118,MAX(1,MIN(IFERROR(MATCH(AF143,Tables!$A$99:$A$118,1),1),ROWS(Tables!$A$99:$A$118)-1))+1)-INDEX(Tables!$A$99:$A$118,MAX(1,MIN(IFERROR(MATCH(AF143,Tables!$A$99:$A$118,1),1),ROWS(Tables!$A$99:$A$118)-1))))),IF(AD143=10000,(INDEX(Tables!$D$99:$D$118,MAX(1,MIN(IFERROR(MATCH(AF143,Tables!$C$99:$C$118,1),1),ROWS(Tables!$C$99:$C$118)-1)))+(AF143-INDEX(Tables!$C$99:$C$118,MAX(1,MIN(IFERROR(MATCH(AF143,Tables!$C$99:$C$118,1),1),ROWS(Tables!$C$99:$C$118)-1))))*(INDEX(Tables!$D$99:$D$118,MAX(1,MIN(IFERROR(MATCH(AF143,Tables!$C$99:$C$118,1),1),ROWS(Tables!$C$99:$C$118)-1))+1)-INDEX(Tables!$D$99:$D$118,MAX(1,MIN(IFERROR(MATCH(AF143,Tables!$C$99:$C$118,1),1),ROWS(Tables!$C$99:$C$118)-1))))/(INDEX(Tables!$C$99:$C$118,MAX(1,MIN(IFERROR(MATCH(AF143,Tables!$C$99:$C$118,1),1),ROWS(Tables!$C$99:$C$118)-1))+1)-INDEX(Tables!$C$99:$C$118,MAX(1,MIN(IFERROR(MATCH(AF143,Tables!$C$99:$C$118,1),1),ROWS(Tables!$C$99:$C$118)-1))))),(INDEX(Tables!$F$99:$F$118,MAX(1,MIN(IFERROR(MATCH(AF143,Tables!$E$99:$E$118,1),1),ROWS(Tables!$E$99:$E$118)-1)))+(AF143-INDEX(Tables!$E$99:$E$118,MAX(1,MIN(IFERROR(MATCH(AF143,Tables!$E$99:$E$118,1),1),ROWS(Tables!$E$99:$E$118)-1))))*(INDEX(Tables!$F$99:$F$118,MAX(1,MIN(IFERROR(MATCH(AF143,Tables!$E$99:$E$118,1),1),ROWS(Tables!$E$99:$E$118)-1))+1)-INDEX(Tables!$F$99:$F$118,MAX(1,MIN(IFERROR(MATCH(AF143,Tables!$E$99:$E$118,1),1),ROWS(Tables!$E$99:$E$118)-1))))/(INDEX(Tables!$E$99:$E$118,MAX(1,MIN(IFERROR(MATCH(AF143,Tables!$E$99:$E$118,1),1),ROWS(Tables!$E$99:$E$118)-1))+1)-INDEX(Tables!$E$99:$E$118,MAX(1,MIN(IFERROR(MATCH(AF143,Tables!$E$99:$E$118,1),1),ROWS(Tables!$E$99:$E$118)-1)))))))</f>
        <v>14.64829301572618</v>
      </c>
      <c r="AQ143" s="181">
        <f>IF(P143&lt;6,(INDEX(Tables!$B$123:$B$138,MAX(1,MIN(IFERROR(MATCH(U143,Tables!$A$123:$A$138,1),1),ROWS(Tables!$A$123:$A$138)-1)))+(U143-INDEX(Tables!$A$123:$A$138,MAX(1,MIN(IFERROR(MATCH(U143,Tables!$A$123:$A$138,1),1),ROWS(Tables!$A$123:$A$138)-1))))*(INDEX(Tables!$B$123:$B$138,MAX(1,MIN(IFERROR(MATCH(U143,Tables!$A$123:$A$138,1),1),ROWS(Tables!$A$123:$A$138)-1))+1)-INDEX(Tables!$B$123:$B$138,MAX(1,MIN(IFERROR(MATCH(U143,Tables!$A$123:$A$138,1),1),ROWS(Tables!$A$123:$A$138)-1))))/(INDEX(Tables!$A$123:$A$138,MAX(1,MIN(IFERROR(MATCH(U143,Tables!$A$123:$A$138,1),1),ROWS(Tables!$A$123:$A$138)-1))+1)-INDEX(Tables!$A$123:$A$138,MAX(1,MIN(IFERROR(MATCH(U143,Tables!$A$123:$A$138,1),1),ROWS(Tables!$A$123:$A$138)-1))))),IF(P143&lt;8,(INDEX(Tables!$D$123:$D$138,MAX(1,MIN(IFERROR(MATCH(U143,Tables!$C$123:$C$138,1),1),ROWS(Tables!$C$123:$C$138)-1)))+(U143-INDEX(Tables!$C$123:$C$138,MAX(1,MIN(IFERROR(MATCH(U143,Tables!$C$123:$C$138,1),1),ROWS(Tables!$C$123:$C$138)-1))))*(INDEX(Tables!$D$123:$D$138,MAX(1,MIN(IFERROR(MATCH(U143,Tables!$C$123:$C$138,1),1),ROWS(Tables!$C$123:$C$138)-1))+1)-INDEX(Tables!$D$123:$D$138,MAX(1,MIN(IFERROR(MATCH(U143,Tables!$C$123:$C$138,1),1),ROWS(Tables!$C$123:$C$138)-1))))/(INDEX(Tables!$C$123:$C$138,MAX(1,MIN(IFERROR(MATCH(U143,Tables!$C$123:$C$138,1),1),ROWS(Tables!$C$123:$C$138)-1))+1)-INDEX(Tables!$C$123:$C$138,MAX(1,MIN(IFERROR(MATCH(U143,Tables!$C$123:$C$138,1),1),ROWS(Tables!$C$123:$C$138)-1))))),IF(P143&lt;10,(INDEX(Tables!$F$123:$F$138,MAX(1,MIN(IFERROR(MATCH(U143,Tables!$E$123:$E$138,1),1),ROWS(Tables!$E$123:$E$138)-1)))+(U143-INDEX(Tables!$E$123:$E$138,MAX(1,MIN(IFERROR(MATCH(U143,Tables!$E$123:$E$138,1),1),ROWS(Tables!$E$123:$E$138)-1))))*(INDEX(Tables!$F$123:$F$138,MAX(1,MIN(IFERROR(MATCH(U143,Tables!$E$123:$E$138,1),1),ROWS(Tables!$E$123:$E$138)-1))+1)-INDEX(Tables!$F$123:$F$138,MAX(1,MIN(IFERROR(MATCH(U143,Tables!$E$123:$E$138,1),1),ROWS(Tables!$E$123:$E$138)-1))))/(INDEX(Tables!$E$123:$E$138,MAX(1,MIN(IFERROR(MATCH(U143,Tables!$E$123:$E$138,1),1),ROWS(Tables!$E$123:$E$138)-1))+1)-INDEX(Tables!$E$123:$E$138,MAX(1,MIN(IFERROR(MATCH(U143,Tables!$E$123:$E$138,1),1),ROWS(Tables!$E$123:$E$138)-1))))),(INDEX(Tables!$H$123:$H$138,MAX(1,MIN(IFERROR(MATCH(U143,Tables!$G$123:$G$138,1),1),ROWS(Tables!$G$123:$G$138)-1)))+(U143-INDEX(Tables!$G$123:$G$138,MAX(1,MIN(IFERROR(MATCH(U143,Tables!$G$123:$G$138,1),1),ROWS(Tables!$G$123:$G$138)-1))))*(INDEX(Tables!$H$123:$H$138,MAX(1,MIN(IFERROR(MATCH(U143,Tables!$G$123:$G$138,1),1),ROWS(Tables!$G$123:$G$138)-1))+1)-INDEX(Tables!$H$123:$H$138,MAX(1,MIN(IFERROR(MATCH(U143,Tables!$G$123:$G$138,1),1),ROWS(Tables!$G$123:$G$138)-1))))/(INDEX(Tables!$G$123:$G$138,MAX(1,MIN(IFERROR(MATCH(U143,Tables!$G$123:$G$138,1),1),ROWS(Tables!$G$123:$G$138)-1))+1)-INDEX(Tables!$G$123:$G$138,MAX(1,MIN(IFERROR(MATCH(U143,Tables!$G$123:$G$138,1),1),ROWS(Tables!$G$123:$G$138)-1))))))))</f>
        <v>1.389875</v>
      </c>
      <c r="AR143" s="181">
        <f>IF(OR(P143&gt;=4,U143&gt;12),VLOOKUP(R143&amp;" "&amp;S143,Tables!$D$143:$F$148,2,FALSE),VLOOKUP(R143&amp;" "&amp;S143,Tables!$A$143:$C$148,2,FALSE))</f>
        <v>1.2</v>
      </c>
      <c r="AS143" s="181">
        <f>IF(OR(P143&gt;=4,U143&gt;12),VLOOKUP(R143&amp;" "&amp;S143,Tables!$D$143:$F$148,3,FALSE),VLOOKUP(R143&amp;" "&amp;S143,Tables!$A$143:$C$148,3,FALSE))</f>
        <v>0.8</v>
      </c>
      <c r="AT143" s="181">
        <f t="shared" si="136"/>
        <v>2443.115550627891</v>
      </c>
      <c r="AU143" s="181">
        <f>IF(AD143=5000,(INDEX(Tables!$B$244:$B$263,MAX(1,MIN(IFERROR(MATCH(AF143,Tables!$A$244:$A$263,1),1),ROWS(Tables!$A$244:$A$263)-1)))+(AF143-INDEX(Tables!$A$244:$A$263,MAX(1,MIN(IFERROR(MATCH(AF143,Tables!$A$244:$A$263,1),1),ROWS(Tables!$A$244:$A$263)-1))))*(INDEX(Tables!$B$244:$B$263,MAX(1,MIN(IFERROR(MATCH(AF143,Tables!$A$244:$A$263,1),1),ROWS(Tables!$A$244:$A$263)-1))+1)-INDEX(Tables!$B$244:$B$263,MAX(1,MIN(IFERROR(MATCH(AF143,Tables!$A$244:$A$263,1),1),ROWS(Tables!$A$244:$A$263)-1))))/(INDEX(Tables!$A$244:$A$263,MAX(1,MIN(IFERROR(MATCH(AF143,Tables!$A$244:$A$263,1),1),ROWS(Tables!$A$244:$A$263)-1))+1)-INDEX(Tables!$A$244:$A$263,MAX(1,MIN(IFERROR(MATCH(AF143,Tables!$A$244:$A$263,1),1),ROWS(Tables!$A$244:$A$263)-1))))),IF(AD143=10000,(INDEX(Tables!$D$244:$D$263,MAX(1,MIN(IFERROR(MATCH(AF143,Tables!$C$244:$C$263,1),1),ROWS(Tables!$C$244:$C$263)-1)))+(AF143-INDEX(Tables!$C$244:$C$263,MAX(1,MIN(IFERROR(MATCH(AF143,Tables!$C$244:$C$263,1),1),ROWS(Tables!$C$244:$C$263)-1))))*(INDEX(Tables!$D$244:$D$263,MAX(1,MIN(IFERROR(MATCH(AF143,Tables!$C$244:$C$263,1),1),ROWS(Tables!$C$244:$C$263)-1))+1)-INDEX(Tables!$D$244:$D$263,MAX(1,MIN(IFERROR(MATCH(AF143,Tables!$C$244:$C$263,1),1),ROWS(Tables!$C$244:$C$263)-1))))/(INDEX(Tables!$C$244:$C$263,MAX(1,MIN(IFERROR(MATCH(AF143,Tables!$C$244:$C$263,1),1),ROWS(Tables!$C$244:$C$263)-1))+1)-INDEX(Tables!$C$244:$C$263,MAX(1,MIN(IFERROR(MATCH(AF143,Tables!$C$244:$C$263,1),1),ROWS(Tables!$C$244:$C$263)-1))))),(INDEX(Tables!$F$244:$F$263,MAX(1,MIN(IFERROR(MATCH(AF143,Tables!$E$244:$E$263,1),1),ROWS(Tables!$E$244:$E$263)-1)))+(AF143-INDEX(Tables!$E$244:$E$263,MAX(1,MIN(IFERROR(MATCH(AF143,Tables!$E$244:$E$263,1),1),ROWS(Tables!$E$244:$E$263)-1))))*(INDEX(Tables!$F$244:$F$263,MAX(1,MIN(IFERROR(MATCH(AF143,Tables!$E$244:$E$263,1),1),ROWS(Tables!$E$244:$E$263)-1))+1)-INDEX(Tables!$F$244:$F$263,MAX(1,MIN(IFERROR(MATCH(AF143,Tables!$E$244:$E$263,1),1),ROWS(Tables!$E$244:$E$263)-1))))/(INDEX(Tables!$E$244:$E$263,MAX(1,MIN(IFERROR(MATCH(AF143,Tables!$E$244:$E$263,1),1),ROWS(Tables!$E$244:$E$263)-1))+1)-INDEX(Tables!$E$244:$E$263,MAX(1,MIN(IFERROR(MATCH(AF143,Tables!$E$244:$E$263,1),1),ROWS(Tables!$E$244:$E$263)-1)))))))</f>
        <v>9.899371014492754</v>
      </c>
      <c r="AV143" s="181">
        <f>IF(P143&lt;6,(INDEX(Tables!$B$260:$B$274,MAX(1,MIN(IFERROR(MATCH(U143,Tables!$A$260:$A$274,1),1),ROWS(Tables!$A$260:$A$274)-1)))+(U143-INDEX(Tables!$A$260:$A$274,MAX(1,MIN(IFERROR(MATCH(U143,Tables!$A$260:$A$274,1),1),ROWS(Tables!$A$260:$A$274)-1))))*(INDEX(Tables!$B$260:$B$274,MAX(1,MIN(IFERROR(MATCH(U143,Tables!$A$260:$A$274,1),1),ROWS(Tables!$A$260:$A$274)-1))+1)-INDEX(Tables!$B$260:$B$274,MAX(1,MIN(IFERROR(MATCH(U143,Tables!$A$260:$A$274,1),1),ROWS(Tables!$A$260:$A$274)-1))))/(INDEX(Tables!$A$260:$A$274,MAX(1,MIN(IFERROR(MATCH(U143,Tables!$A$260:$A$274,1),1),ROWS(Tables!$A$260:$A$274)-1))+1)-INDEX(Tables!$A$260:$A$274,MAX(1,MIN(IFERROR(MATCH(U143,Tables!$A$260:$A$274,1),1),ROWS(Tables!$A$260:$A$274)-1))))),IF(P143&lt;8,(INDEX(Tables!$D$260:$D$274,MAX(1,MIN(IFERROR(MATCH(U143,Tables!$C$260:$C$274,1),1),ROWS(Tables!$C$260:$C$274)-1)))+(U143-INDEX(Tables!$C$260:$C$274,MAX(1,MIN(IFERROR(MATCH(U143,Tables!$C$260:$C$274,1),1),ROWS(Tables!$C$260:$C$274)-1))))*(INDEX(Tables!$D$260:$D$274,MAX(1,MIN(IFERROR(MATCH(U143,Tables!$C$260:$C$274,1),1),ROWS(Tables!$C$260:$C$274)-1))+1)-INDEX(Tables!$D$260:$D$274,MAX(1,MIN(IFERROR(MATCH(U143,Tables!$C$260:$C$274,1),1),ROWS(Tables!$C$260:$C$274)-1))))/(INDEX(Tables!$C$260:$C$274,MAX(1,MIN(IFERROR(MATCH(U143,Tables!$C$260:$C$274,1),1),ROWS(Tables!$C$260:$C$274)-1))+1)-INDEX(Tables!$C$260:$C$274,MAX(1,MIN(IFERROR(MATCH(U143,Tables!$C$260:$C$274,1),1),ROWS(Tables!$C$260:$C$274)-1))))),IF(P143&lt;10,(INDEX(Tables!$F$260:$F$274,MAX(1,MIN(IFERROR(MATCH(U143,Tables!$E$260:$E$274,1),1),ROWS(Tables!$E$260:$E$274)-1)))+(U143-INDEX(Tables!$E$260:$E$274,MAX(1,MIN(IFERROR(MATCH(U143,Tables!$E$260:$E$274,1),1),ROWS(Tables!$E$260:$E$274)-1))))*(INDEX(Tables!$F$260:$F$274,MAX(1,MIN(IFERROR(MATCH(U143,Tables!$E$260:$E$274,1),1),ROWS(Tables!$E$260:$E$274)-1))+1)-INDEX(Tables!$F$260:$F$274,MAX(1,MIN(IFERROR(MATCH(U143,Tables!$E$260:$E$274,1),1),ROWS(Tables!$E$260:$E$274)-1))))/(INDEX(Tables!$E$260:$E$274,MAX(1,MIN(IFERROR(MATCH(U143,Tables!$E$260:$E$274,1),1),ROWS(Tables!$E$260:$E$274)-1))+1)-INDEX(Tables!$E$260:$E$274,MAX(1,MIN(IFERROR(MATCH(U143,Tables!$E$260:$E$274,1),1),ROWS(Tables!$E$260:$E$274)-1))))),(INDEX(Tables!$H$260:$H$274,MAX(1,MIN(IFERROR(MATCH(U143,Tables!$G$260:$G$274,1),1),ROWS(Tables!$G$260:$G$274)-1)))+(U143-INDEX(Tables!$G$260:$G$274,MAX(1,MIN(IFERROR(MATCH(U143,Tables!$G$260:$G$274,1),1),ROWS(Tables!$G$260:$G$274)-1))))*(INDEX(Tables!$H$260:$H$274,MAX(1,MIN(IFERROR(MATCH(U143,Tables!$G$260:$G$274,1),1),ROWS(Tables!$G$260:$G$274)-1))+1)-INDEX(Tables!$H$260:$H$274,MAX(1,MIN(IFERROR(MATCH(U143,Tables!$G$260:$G$274,1),1),ROWS(Tables!$G$260:$G$274)-1))))/(INDEX(Tables!$G$260:$G$274,MAX(1,MIN(IFERROR(MATCH(U143,Tables!$G$260:$G$274,1),1),ROWS(Tables!$G$260:$G$274)-1))+1)-INDEX(Tables!$G$260:$G$274,MAX(1,MIN(IFERROR(MATCH(U143,Tables!$G$260:$G$274,1),1),ROWS(Tables!$G$260:$G$274)-1))))))))</f>
        <v>1.3123750000000001</v>
      </c>
      <c r="AW143" s="181">
        <f t="shared" si="137"/>
        <v>1559.0024442173915</v>
      </c>
      <c r="AX143" s="181">
        <f t="shared" si="138"/>
        <v>171831.08108108109</v>
      </c>
      <c r="AY143" s="181">
        <f t="shared" si="139"/>
        <v>176039.45749367133</v>
      </c>
      <c r="AZ143" s="181">
        <f t="shared" si="140"/>
        <v>53637.905027130415</v>
      </c>
      <c r="BA143" s="181">
        <f t="shared" si="141"/>
        <v>-6000</v>
      </c>
      <c r="BB143" s="181">
        <f t="shared" si="142"/>
        <v>160743.87056251097</v>
      </c>
      <c r="BC143" s="181">
        <f t="shared" si="143"/>
        <v>46800</v>
      </c>
      <c r="BD143" s="181">
        <f>VLOOKUP(V143&amp;" "&amp;J143,Tables!$A$152:$E$239,4,FALSE)</f>
        <v>12000</v>
      </c>
      <c r="BE143" s="181">
        <f>VLOOKUP(V143&amp;" "&amp;J143,Tables!$A$152:$E$239,5,FALSE)</f>
        <v>23000</v>
      </c>
      <c r="BF143" s="181">
        <f t="shared" si="144"/>
        <v>8640</v>
      </c>
      <c r="BG143" s="181">
        <f t="shared" si="145"/>
        <v>16560</v>
      </c>
      <c r="BH143" s="181">
        <f t="shared" si="146"/>
        <v>174831.08108108109</v>
      </c>
      <c r="BI143" s="181">
        <f t="shared" si="147"/>
        <v>46800</v>
      </c>
      <c r="BJ143" s="181">
        <f t="shared" si="148"/>
        <v>160743.87056251097</v>
      </c>
      <c r="BK143" s="181">
        <f t="shared" si="149"/>
        <v>46800</v>
      </c>
      <c r="BL143" s="181">
        <f t="shared" si="150"/>
        <v>1559.0024442173915</v>
      </c>
      <c r="BM143" s="181">
        <f t="shared" si="151"/>
        <v>8640</v>
      </c>
      <c r="BN143" s="181">
        <f t="shared" si="152"/>
        <v>2443.115550627891</v>
      </c>
      <c r="BO143" s="181">
        <f t="shared" si="153"/>
        <v>16560</v>
      </c>
      <c r="BP143" t="str">
        <f t="shared" si="154"/>
        <v>Fail</v>
      </c>
      <c r="BQ143" t="str">
        <f t="shared" si="155"/>
        <v>Fail</v>
      </c>
      <c r="BR143" t="str">
        <f t="shared" si="156"/>
        <v>Pass</v>
      </c>
      <c r="BS143" t="str">
        <f t="shared" si="157"/>
        <v>Pass</v>
      </c>
      <c r="BT143" t="str">
        <f t="shared" si="158"/>
        <v>Fail</v>
      </c>
      <c r="BU143" t="str">
        <f t="shared" si="159"/>
        <v>Barlow Stress</v>
      </c>
    </row>
    <row r="144" spans="1:73">
      <c r="A144" t="s">
        <v>736</v>
      </c>
      <c r="B144" s="181">
        <v>142</v>
      </c>
      <c r="C144" t="s">
        <v>594</v>
      </c>
      <c r="D144" s="181">
        <v>12</v>
      </c>
      <c r="E144" s="181">
        <v>0.18</v>
      </c>
      <c r="F144" t="s">
        <v>117</v>
      </c>
      <c r="G144" t="s">
        <v>119</v>
      </c>
      <c r="H144" t="s">
        <v>122</v>
      </c>
      <c r="I144" s="181">
        <v>1</v>
      </c>
      <c r="J144" t="s">
        <v>126</v>
      </c>
      <c r="K144" t="s">
        <v>129</v>
      </c>
      <c r="L144" s="181">
        <v>70</v>
      </c>
      <c r="M144" s="181">
        <v>6000</v>
      </c>
      <c r="N144" t="s">
        <v>391</v>
      </c>
      <c r="O144" s="181">
        <v>120</v>
      </c>
      <c r="P144" s="181">
        <v>6</v>
      </c>
      <c r="Q144" s="181">
        <v>14.75</v>
      </c>
      <c r="R144" t="s">
        <v>417</v>
      </c>
      <c r="S144" t="s">
        <v>420</v>
      </c>
      <c r="T144" s="181">
        <v>70</v>
      </c>
      <c r="U144" s="181">
        <f>HLOOKUP(D144,'Highway Loading'!$C$155:$AD$156,2,FALSE)</f>
        <v>12.75</v>
      </c>
      <c r="V144" s="181">
        <f>IF(ISBLANK(G144),"",INDEX('Highway Loading'!$C$216:$AG$216,1,MATCH(G144,'Highway Loading'!$C$215:$AG$215,0)))</f>
        <v>65000</v>
      </c>
      <c r="W144" s="181">
        <f>INDEX('Highway Loading'!$I$245:$L$253,MATCH(H144,'Highway Loading'!$H$245:$H$253,0),MATCH(I144,'Highway Loading'!$I$244:$L$244,0))</f>
        <v>0.72</v>
      </c>
      <c r="X144" s="181">
        <f t="shared" si="128"/>
        <v>1</v>
      </c>
      <c r="Y144" s="181">
        <f>VLOOKUP(K144,'Highway Loading'!$B$283:$E$292,2,FALSE)</f>
        <v>29000000</v>
      </c>
      <c r="Z144" s="181">
        <f>VLOOKUP(K144,'Highway Loading'!$B$283:$E$292,3,FALSE)</f>
        <v>0.3</v>
      </c>
      <c r="AA144" s="181">
        <f>VLOOKUP(K144,'Highway Loading'!$B$283:$E$292,4,FALSE)</f>
        <v>6.4999999999999996E-6</v>
      </c>
      <c r="AB144" s="181">
        <f t="shared" si="129"/>
        <v>1</v>
      </c>
      <c r="AC144" s="181">
        <f>VLOOKUP(N144,'Highway Loading'!$B$256:$D$261,2,FALSE)</f>
        <v>1000</v>
      </c>
      <c r="AD144" s="181">
        <f>VLOOKUP(N144,'Highway Loading'!$B$256:$D$261,3,FALSE)</f>
        <v>10000</v>
      </c>
      <c r="AE144" s="181">
        <f>VLOOKUP(S144,'Highway Loading'!$B$340:$C$341,2,FALSE)</f>
        <v>12000</v>
      </c>
      <c r="AF144" s="181">
        <f t="shared" si="130"/>
        <v>1.4117647058823528E-2</v>
      </c>
      <c r="AG144" s="181">
        <f t="shared" si="131"/>
        <v>4.8813559322033901</v>
      </c>
      <c r="AH144" s="181">
        <f t="shared" si="132"/>
        <v>1.1568627450980393</v>
      </c>
      <c r="AI144" s="181">
        <f t="shared" si="133"/>
        <v>212500</v>
      </c>
      <c r="AJ144" s="181">
        <f t="shared" si="134"/>
        <v>46800</v>
      </c>
      <c r="AK144" s="181">
        <f>IF(AC144=200,(INDEX(Tables!$B$17:$B$38,MAX(1,MIN(IFERROR(MATCH(AF144,Tables!$A$17:$A$38,1),1),ROWS(Tables!$A$17:$A$38)-1)))+(AF144-INDEX(Tables!$A$17:$A$38,MAX(1,MIN(IFERROR(MATCH(AF144,Tables!$A$17:$A$38,1),1),ROWS(Tables!$A$17:$A$38)-1))))*(INDEX(Tables!$B$17:$B$38,MAX(1,MIN(IFERROR(MATCH(AF144,Tables!$A$17:$A$38,1),1),ROWS(Tables!$A$17:$A$38)-1))+1)-INDEX(Tables!$B$17:$B$38,MAX(1,MIN(IFERROR(MATCH(AF144,Tables!$A$17:$A$38,1),1),ROWS(Tables!$A$17:$A$38)-1))))/(INDEX(Tables!$A$17:$A$38,MAX(1,MIN(IFERROR(MATCH(AF144,Tables!$A$17:$A$38,1),1),ROWS(Tables!$A$17:$A$38)-1))+1)-INDEX(Tables!$A$17:$A$38,MAX(1,MIN(IFERROR(MATCH(AF144,Tables!$A$17:$A$38,1),1),ROWS(Tables!$A$17:$A$38)-1))))),IF(AC144=500,(INDEX(Tables!$D$17:$D$38,MAX(1,MIN(IFERROR(MATCH(AF144,Tables!$C$17:$C$38,1),1),ROWS(Tables!$C$17:$C$38)-1)))+(AF144-INDEX(Tables!$C$17:$C$38,MAX(1,MIN(IFERROR(MATCH(AF144,Tables!$C$17:$C$38,1),1),ROWS(Tables!$C$17:$C$38)-1))))*(INDEX(Tables!$D$17:$D$38,MAX(1,MIN(IFERROR(MATCH(AF144,Tables!$C$17:$C$38,1),1),ROWS(Tables!$C$17:$C$38)-1))+1)-INDEX(Tables!$D$17:$D$38,MAX(1,MIN(IFERROR(MATCH(AF144,Tables!$C$17:$C$38,1),1),ROWS(Tables!$C$17:$C$38)-1))))/(INDEX(Tables!$C$17:$C$38,MAX(1,MIN(IFERROR(MATCH(AF144,Tables!$C$17:$C$38,1),1),ROWS(Tables!$C$17:$C$38)-1))+1)-INDEX(Tables!$C$17:$C$38,MAX(1,MIN(IFERROR(MATCH(AF144,Tables!$C$17:$C$38,1),1),ROWS(Tables!$C$17:$C$38)-1))))),IF(AC144=1000,(INDEX(Tables!$F$17:$F$38,MAX(1,MIN(IFERROR(MATCH(AF144,Tables!$E$17:$E$38,1),1),ROWS(Tables!$E$17:$E$38)-1)))+(AF144-INDEX(Tables!$E$17:$E$38,MAX(1,MIN(IFERROR(MATCH(AF144,Tables!$E$17:$E$38,1),1),ROWS(Tables!$E$17:$E$38)-1))))*(INDEX(Tables!$F$17:$F$38,MAX(1,MIN(IFERROR(MATCH(AF144,Tables!$E$17:$E$38,1),1),ROWS(Tables!$E$17:$E$38)-1))+1)-INDEX(Tables!$F$17:$F$38,MAX(1,MIN(IFERROR(MATCH(AF144,Tables!$E$17:$E$38,1),1),ROWS(Tables!$E$17:$E$38)-1))))/(INDEX(Tables!$E$17:$E$38,MAX(1,MIN(IFERROR(MATCH(AF144,Tables!$E$17:$E$38,1),1),ROWS(Tables!$E$17:$E$38)-1))+1)-INDEX(Tables!$E$17:$E$38,MAX(1,MIN(IFERROR(MATCH(AF144,Tables!$E$17:$E$38,1),1),ROWS(Tables!$E$17:$E$38)-1))))),(INDEX(Tables!$H$17:$H$38,MAX(1,MIN(IFERROR(MATCH(AF144,Tables!$G$17:$G$38,1),1),ROWS(Tables!$G$17:$G$38)-1)))+(AF144-INDEX(Tables!$G$17:$G$38,MAX(1,MIN(IFERROR(MATCH(AF144,Tables!$G$17:$G$38,1),1),ROWS(Tables!$G$17:$G$38)-1))))*(INDEX(Tables!$H$17:$H$38,MAX(1,MIN(IFERROR(MATCH(AF144,Tables!$G$17:$G$38,1),1),ROWS(Tables!$G$17:$G$38)-1))+1)-INDEX(Tables!$H$17:$H$38,MAX(1,MIN(IFERROR(MATCH(AF144,Tables!$G$17:$G$38,1),1),ROWS(Tables!$G$17:$G$38)-1))))/(INDEX(Tables!$G$17:$G$38,MAX(1,MIN(IFERROR(MATCH(AF144,Tables!$G$17:$G$38,1),1),ROWS(Tables!$G$17:$G$38)-1))+1)-INDEX(Tables!$G$17:$G$38,MAX(1,MIN(IFERROR(MATCH(AF144,Tables!$G$17:$G$38,1),1),ROWS(Tables!$G$17:$G$38)-1))))))))</f>
        <v>3480.1764705882356</v>
      </c>
      <c r="AL144" s="181">
        <f>IF(AC144&lt;1000,(INDEX(Tables!$B$43:$B$76,MAX(1,MIN(IFERROR(MATCH(AG144,Tables!$A$43:$A$76,1),1),ROWS(Tables!$A$43:$A$76)-1)))+(AG144-INDEX(Tables!$A$43:$A$76,MAX(1,MIN(IFERROR(MATCH(AG144,Tables!$A$43:$A$76,1),1),ROWS(Tables!$A$43:$A$76)-1))))*(INDEX(Tables!$B$43:$B$76,MAX(1,MIN(IFERROR(MATCH(AG144,Tables!$A$43:$A$76,1),1),ROWS(Tables!$A$43:$A$76)-1))+1)-INDEX(Tables!$B$43:$B$76,MAX(1,MIN(IFERROR(MATCH(AG144,Tables!$A$43:$A$76,1),1),ROWS(Tables!$A$43:$A$76)-1))))/(INDEX(Tables!$A$43:$A$76,MAX(1,MIN(IFERROR(MATCH(AG144,Tables!$A$43:$A$76,1),1),ROWS(Tables!$A$43:$A$76)-1))+1)-INDEX(Tables!$A$43:$A$76,MAX(1,MIN(IFERROR(MATCH(AG144,Tables!$A$43:$A$76,1),1),ROWS(Tables!$A$43:$A$76)-1))))),(INDEX(Tables!$D$43:$D$76,MAX(1,MIN(IFERROR(MATCH(AG144,Tables!$C$43:$C$76,1),1),ROWS(Tables!$C$43:$C$76)-1)))+(AG144-INDEX(Tables!$C$43:$C$76,MAX(1,MIN(IFERROR(MATCH(AG144,Tables!$C$43:$C$76,1),1),ROWS(Tables!$C$43:$C$76)-1))))*(INDEX(Tables!$D$43:$D$76,MAX(1,MIN(IFERROR(MATCH(AG144,Tables!$C$43:$C$76,1),1),ROWS(Tables!$C$43:$C$76)-1))+1)-INDEX(Tables!$D$43:$D$76,MAX(1,MIN(IFERROR(MATCH(AG144,Tables!$C$43:$C$76,1),1),ROWS(Tables!$C$43:$C$76)-1))))/(INDEX(Tables!$C$43:$C$76,MAX(1,MIN(IFERROR(MATCH(AG144,Tables!$C$43:$C$76,1),1),ROWS(Tables!$C$43:$C$76)-1))+1)-INDEX(Tables!$C$43:$C$76,MAX(1,MIN(IFERROR(MATCH(AG144,Tables!$C$43:$C$76,1),1),ROWS(Tables!$C$43:$C$76)-1))))))</f>
        <v>0.95557627118644062</v>
      </c>
      <c r="AM144" s="181">
        <f>(INDEX(Tables!$B$80:$B$87,MAX(1,MIN(IFERROR(MATCH(AH144,Tables!$A$80:$A$87,1),1),ROWS(Tables!$A$80:$A$87)-1)))+(AH144-INDEX(Tables!$A$80:$A$87,MAX(1,MIN(IFERROR(MATCH(AH144,Tables!$A$80:$A$87,1),1),ROWS(Tables!$A$80:$A$87)-1))))*(INDEX(Tables!$B$80:$B$87,MAX(1,MIN(IFERROR(MATCH(AH144,Tables!$A$80:$A$87,1),1),ROWS(Tables!$A$80:$A$87)-1))+1)-INDEX(Tables!$B$80:$B$87,MAX(1,MIN(IFERROR(MATCH(AH144,Tables!$A$80:$A$87,1),1),ROWS(Tables!$A$80:$A$87)-1))))/(INDEX(Tables!$A$80:$A$87,MAX(1,MIN(IFERROR(MATCH(AH144,Tables!$A$80:$A$87,1),1),ROWS(Tables!$A$80:$A$87)-1))+1)-INDEX(Tables!$A$80:$A$87,MAX(1,MIN(IFERROR(MATCH(AH144,Tables!$A$80:$A$87,1),1),ROWS(Tables!$A$80:$A$87)-1)))))</f>
        <v>1.1041078431372553</v>
      </c>
      <c r="AN144" s="181">
        <f t="shared" si="135"/>
        <v>3251.0661847354045</v>
      </c>
      <c r="AO144" s="181">
        <f>(INDEX(Tables!$B$91:$B$94,MAX(1,MIN(IFERROR(MATCH(P144,Tables!$A$91:$A$94,1),1),ROWS(Tables!$A$91:$A$94)-1)))+(P144-INDEX(Tables!$A$91:$A$94,MAX(1,MIN(IFERROR(MATCH(P144,Tables!$A$91:$A$94,1),1),ROWS(Tables!$A$91:$A$94)-1))))*(INDEX(Tables!$B$91:$B$94,MAX(1,MIN(IFERROR(MATCH(P144,Tables!$A$91:$A$94,1),1),ROWS(Tables!$A$91:$A$94)-1))+1)-INDEX(Tables!$B$91:$B$94,MAX(1,MIN(IFERROR(MATCH(P144,Tables!$A$91:$A$94,1),1),ROWS(Tables!$A$91:$A$94)-1))))/(INDEX(Tables!$A$91:$A$94,MAX(1,MIN(IFERROR(MATCH(P144,Tables!$A$91:$A$94,1),1),ROWS(Tables!$A$91:$A$94)-1))+1)-INDEX(Tables!$A$91:$A$94,MAX(1,MIN(IFERROR(MATCH(P144,Tables!$A$91:$A$94,1),1),ROWS(Tables!$A$91:$A$94)-1)))))</f>
        <v>1.476219512195122</v>
      </c>
      <c r="AP144" s="181">
        <f>IF(AD144=5000,(INDEX(Tables!$B$99:$B$118,MAX(1,MIN(IFERROR(MATCH(AF144,Tables!$A$99:$A$118,1),1),ROWS(Tables!$A$99:$A$118)-1)))+(AF144-INDEX(Tables!$A$99:$A$118,MAX(1,MIN(IFERROR(MATCH(AF144,Tables!$A$99:$A$118,1),1),ROWS(Tables!$A$99:$A$118)-1))))*(INDEX(Tables!$B$99:$B$118,MAX(1,MIN(IFERROR(MATCH(AF144,Tables!$A$99:$A$118,1),1),ROWS(Tables!$A$99:$A$118)-1))+1)-INDEX(Tables!$B$99:$B$118,MAX(1,MIN(IFERROR(MATCH(AF144,Tables!$A$99:$A$118,1),1),ROWS(Tables!$A$99:$A$118)-1))))/(INDEX(Tables!$A$99:$A$118,MAX(1,MIN(IFERROR(MATCH(AF144,Tables!$A$99:$A$118,1),1),ROWS(Tables!$A$99:$A$118)-1))+1)-INDEX(Tables!$A$99:$A$118,MAX(1,MIN(IFERROR(MATCH(AF144,Tables!$A$99:$A$118,1),1),ROWS(Tables!$A$99:$A$118)-1))))),IF(AD144=10000,(INDEX(Tables!$D$99:$D$118,MAX(1,MIN(IFERROR(MATCH(AF144,Tables!$C$99:$C$118,1),1),ROWS(Tables!$C$99:$C$118)-1)))+(AF144-INDEX(Tables!$C$99:$C$118,MAX(1,MIN(IFERROR(MATCH(AF144,Tables!$C$99:$C$118,1),1),ROWS(Tables!$C$99:$C$118)-1))))*(INDEX(Tables!$D$99:$D$118,MAX(1,MIN(IFERROR(MATCH(AF144,Tables!$C$99:$C$118,1),1),ROWS(Tables!$C$99:$C$118)-1))+1)-INDEX(Tables!$D$99:$D$118,MAX(1,MIN(IFERROR(MATCH(AF144,Tables!$C$99:$C$118,1),1),ROWS(Tables!$C$99:$C$118)-1))))/(INDEX(Tables!$C$99:$C$118,MAX(1,MIN(IFERROR(MATCH(AF144,Tables!$C$99:$C$118,1),1),ROWS(Tables!$C$99:$C$118)-1))+1)-INDEX(Tables!$C$99:$C$118,MAX(1,MIN(IFERROR(MATCH(AF144,Tables!$C$99:$C$118,1),1),ROWS(Tables!$C$99:$C$118)-1))))),(INDEX(Tables!$F$99:$F$118,MAX(1,MIN(IFERROR(MATCH(AF144,Tables!$E$99:$E$118,1),1),ROWS(Tables!$E$99:$E$118)-1)))+(AF144-INDEX(Tables!$E$99:$E$118,MAX(1,MIN(IFERROR(MATCH(AF144,Tables!$E$99:$E$118,1),1),ROWS(Tables!$E$99:$E$118)-1))))*(INDEX(Tables!$F$99:$F$118,MAX(1,MIN(IFERROR(MATCH(AF144,Tables!$E$99:$E$118,1),1),ROWS(Tables!$E$99:$E$118)-1))+1)-INDEX(Tables!$F$99:$F$118,MAX(1,MIN(IFERROR(MATCH(AF144,Tables!$E$99:$E$118,1),1),ROWS(Tables!$E$99:$E$118)-1))))/(INDEX(Tables!$E$99:$E$118,MAX(1,MIN(IFERROR(MATCH(AF144,Tables!$E$99:$E$118,1),1),ROWS(Tables!$E$99:$E$118)-1))+1)-INDEX(Tables!$E$99:$E$118,MAX(1,MIN(IFERROR(MATCH(AF144,Tables!$E$99:$E$118,1),1),ROWS(Tables!$E$99:$E$118)-1)))))))</f>
        <v>14.620281312525011</v>
      </c>
      <c r="AQ144" s="181">
        <f>IF(P144&lt;6,(INDEX(Tables!$B$123:$B$138,MAX(1,MIN(IFERROR(MATCH(U144,Tables!$A$123:$A$138,1),1),ROWS(Tables!$A$123:$A$138)-1)))+(U144-INDEX(Tables!$A$123:$A$138,MAX(1,MIN(IFERROR(MATCH(U144,Tables!$A$123:$A$138,1),1),ROWS(Tables!$A$123:$A$138)-1))))*(INDEX(Tables!$B$123:$B$138,MAX(1,MIN(IFERROR(MATCH(U144,Tables!$A$123:$A$138,1),1),ROWS(Tables!$A$123:$A$138)-1))+1)-INDEX(Tables!$B$123:$B$138,MAX(1,MIN(IFERROR(MATCH(U144,Tables!$A$123:$A$138,1),1),ROWS(Tables!$A$123:$A$138)-1))))/(INDEX(Tables!$A$123:$A$138,MAX(1,MIN(IFERROR(MATCH(U144,Tables!$A$123:$A$138,1),1),ROWS(Tables!$A$123:$A$138)-1))+1)-INDEX(Tables!$A$123:$A$138,MAX(1,MIN(IFERROR(MATCH(U144,Tables!$A$123:$A$138,1),1),ROWS(Tables!$A$123:$A$138)-1))))),IF(P144&lt;8,(INDEX(Tables!$D$123:$D$138,MAX(1,MIN(IFERROR(MATCH(U144,Tables!$C$123:$C$138,1),1),ROWS(Tables!$C$123:$C$138)-1)))+(U144-INDEX(Tables!$C$123:$C$138,MAX(1,MIN(IFERROR(MATCH(U144,Tables!$C$123:$C$138,1),1),ROWS(Tables!$C$123:$C$138)-1))))*(INDEX(Tables!$D$123:$D$138,MAX(1,MIN(IFERROR(MATCH(U144,Tables!$C$123:$C$138,1),1),ROWS(Tables!$C$123:$C$138)-1))+1)-INDEX(Tables!$D$123:$D$138,MAX(1,MIN(IFERROR(MATCH(U144,Tables!$C$123:$C$138,1),1),ROWS(Tables!$C$123:$C$138)-1))))/(INDEX(Tables!$C$123:$C$138,MAX(1,MIN(IFERROR(MATCH(U144,Tables!$C$123:$C$138,1),1),ROWS(Tables!$C$123:$C$138)-1))+1)-INDEX(Tables!$C$123:$C$138,MAX(1,MIN(IFERROR(MATCH(U144,Tables!$C$123:$C$138,1),1),ROWS(Tables!$C$123:$C$138)-1))))),IF(P144&lt;10,(INDEX(Tables!$F$123:$F$138,MAX(1,MIN(IFERROR(MATCH(U144,Tables!$E$123:$E$138,1),1),ROWS(Tables!$E$123:$E$138)-1)))+(U144-INDEX(Tables!$E$123:$E$138,MAX(1,MIN(IFERROR(MATCH(U144,Tables!$E$123:$E$138,1),1),ROWS(Tables!$E$123:$E$138)-1))))*(INDEX(Tables!$F$123:$F$138,MAX(1,MIN(IFERROR(MATCH(U144,Tables!$E$123:$E$138,1),1),ROWS(Tables!$E$123:$E$138)-1))+1)-INDEX(Tables!$F$123:$F$138,MAX(1,MIN(IFERROR(MATCH(U144,Tables!$E$123:$E$138,1),1),ROWS(Tables!$E$123:$E$138)-1))))/(INDEX(Tables!$E$123:$E$138,MAX(1,MIN(IFERROR(MATCH(U144,Tables!$E$123:$E$138,1),1),ROWS(Tables!$E$123:$E$138)-1))+1)-INDEX(Tables!$E$123:$E$138,MAX(1,MIN(IFERROR(MATCH(U144,Tables!$E$123:$E$138,1),1),ROWS(Tables!$E$123:$E$138)-1))))),(INDEX(Tables!$H$123:$H$138,MAX(1,MIN(IFERROR(MATCH(U144,Tables!$G$123:$G$138,1),1),ROWS(Tables!$G$123:$G$138)-1)))+(U144-INDEX(Tables!$G$123:$G$138,MAX(1,MIN(IFERROR(MATCH(U144,Tables!$G$123:$G$138,1),1),ROWS(Tables!$G$123:$G$138)-1))))*(INDEX(Tables!$H$123:$H$138,MAX(1,MIN(IFERROR(MATCH(U144,Tables!$G$123:$G$138,1),1),ROWS(Tables!$G$123:$G$138)-1))+1)-INDEX(Tables!$H$123:$H$138,MAX(1,MIN(IFERROR(MATCH(U144,Tables!$G$123:$G$138,1),1),ROWS(Tables!$G$123:$G$138)-1))))/(INDEX(Tables!$G$123:$G$138,MAX(1,MIN(IFERROR(MATCH(U144,Tables!$G$123:$G$138,1),1),ROWS(Tables!$G$123:$G$138)-1))+1)-INDEX(Tables!$G$123:$G$138,MAX(1,MIN(IFERROR(MATCH(U144,Tables!$G$123:$G$138,1),1),ROWS(Tables!$G$123:$G$138)-1))))))))</f>
        <v>1.01675</v>
      </c>
      <c r="AR144" s="181">
        <f>IF(OR(P144&gt;=4,U144&gt;12),VLOOKUP(R144&amp;" "&amp;S144,Tables!$D$143:$F$148,2,FALSE),VLOOKUP(R144&amp;" "&amp;S144,Tables!$A$143:$C$148,2,FALSE))</f>
        <v>1.1000000000000001</v>
      </c>
      <c r="AS144" s="181">
        <f>IF(OR(P144&gt;=4,U144&gt;12),VLOOKUP(R144&amp;" "&amp;S144,Tables!$D$143:$F$148,3,FALSE),VLOOKUP(R144&amp;" "&amp;S144,Tables!$A$143:$C$148,3,FALSE))</f>
        <v>0.65</v>
      </c>
      <c r="AT144" s="181">
        <f t="shared" si="136"/>
        <v>1307.5118913105614</v>
      </c>
      <c r="AU144" s="181">
        <f>IF(AD144=5000,(INDEX(Tables!$B$244:$B$263,MAX(1,MIN(IFERROR(MATCH(AF144,Tables!$A$244:$A$263,1),1),ROWS(Tables!$A$244:$A$263)-1)))+(AF144-INDEX(Tables!$A$244:$A$263,MAX(1,MIN(IFERROR(MATCH(AF144,Tables!$A$244:$A$263,1),1),ROWS(Tables!$A$244:$A$263)-1))))*(INDEX(Tables!$B$244:$B$263,MAX(1,MIN(IFERROR(MATCH(AF144,Tables!$A$244:$A$263,1),1),ROWS(Tables!$A$244:$A$263)-1))+1)-INDEX(Tables!$B$244:$B$263,MAX(1,MIN(IFERROR(MATCH(AF144,Tables!$A$244:$A$263,1),1),ROWS(Tables!$A$244:$A$263)-1))))/(INDEX(Tables!$A$244:$A$263,MAX(1,MIN(IFERROR(MATCH(AF144,Tables!$A$244:$A$263,1),1),ROWS(Tables!$A$244:$A$263)-1))+1)-INDEX(Tables!$A$244:$A$263,MAX(1,MIN(IFERROR(MATCH(AF144,Tables!$A$244:$A$263,1),1),ROWS(Tables!$A$244:$A$263)-1))))),IF(AD144=10000,(INDEX(Tables!$D$244:$D$263,MAX(1,MIN(IFERROR(MATCH(AF144,Tables!$C$244:$C$263,1),1),ROWS(Tables!$C$244:$C$263)-1)))+(AF144-INDEX(Tables!$C$244:$C$263,MAX(1,MIN(IFERROR(MATCH(AF144,Tables!$C$244:$C$263,1),1),ROWS(Tables!$C$244:$C$263)-1))))*(INDEX(Tables!$D$244:$D$263,MAX(1,MIN(IFERROR(MATCH(AF144,Tables!$C$244:$C$263,1),1),ROWS(Tables!$C$244:$C$263)-1))+1)-INDEX(Tables!$D$244:$D$263,MAX(1,MIN(IFERROR(MATCH(AF144,Tables!$C$244:$C$263,1),1),ROWS(Tables!$C$244:$C$263)-1))))/(INDEX(Tables!$C$244:$C$263,MAX(1,MIN(IFERROR(MATCH(AF144,Tables!$C$244:$C$263,1),1),ROWS(Tables!$C$244:$C$263)-1))+1)-INDEX(Tables!$C$244:$C$263,MAX(1,MIN(IFERROR(MATCH(AF144,Tables!$C$244:$C$263,1),1),ROWS(Tables!$C$244:$C$263)-1))))),(INDEX(Tables!$F$244:$F$263,MAX(1,MIN(IFERROR(MATCH(AF144,Tables!$E$244:$E$263,1),1),ROWS(Tables!$E$244:$E$263)-1)))+(AF144-INDEX(Tables!$E$244:$E$263,MAX(1,MIN(IFERROR(MATCH(AF144,Tables!$E$244:$E$263,1),1),ROWS(Tables!$E$244:$E$263)-1))))*(INDEX(Tables!$F$244:$F$263,MAX(1,MIN(IFERROR(MATCH(AF144,Tables!$E$244:$E$263,1),1),ROWS(Tables!$E$244:$E$263)-1))+1)-INDEX(Tables!$F$244:$F$263,MAX(1,MIN(IFERROR(MATCH(AF144,Tables!$E$244:$E$263,1),1),ROWS(Tables!$E$244:$E$263)-1))))/(INDEX(Tables!$E$244:$E$263,MAX(1,MIN(IFERROR(MATCH(AF144,Tables!$E$244:$E$263,1),1),ROWS(Tables!$E$244:$E$263)-1))+1)-INDEX(Tables!$E$244:$E$263,MAX(1,MIN(IFERROR(MATCH(AF144,Tables!$E$244:$E$263,1),1),ROWS(Tables!$E$244:$E$263)-1)))))))</f>
        <v>9.9543137254901968</v>
      </c>
      <c r="AV144" s="181">
        <f>IF(P144&lt;6,(INDEX(Tables!$B$260:$B$274,MAX(1,MIN(IFERROR(MATCH(U144,Tables!$A$260:$A$274,1),1),ROWS(Tables!$A$260:$A$274)-1)))+(U144-INDEX(Tables!$A$260:$A$274,MAX(1,MIN(IFERROR(MATCH(U144,Tables!$A$260:$A$274,1),1),ROWS(Tables!$A$260:$A$274)-1))))*(INDEX(Tables!$B$260:$B$274,MAX(1,MIN(IFERROR(MATCH(U144,Tables!$A$260:$A$274,1),1),ROWS(Tables!$A$260:$A$274)-1))+1)-INDEX(Tables!$B$260:$B$274,MAX(1,MIN(IFERROR(MATCH(U144,Tables!$A$260:$A$274,1),1),ROWS(Tables!$A$260:$A$274)-1))))/(INDEX(Tables!$A$260:$A$274,MAX(1,MIN(IFERROR(MATCH(U144,Tables!$A$260:$A$274,1),1),ROWS(Tables!$A$260:$A$274)-1))+1)-INDEX(Tables!$A$260:$A$274,MAX(1,MIN(IFERROR(MATCH(U144,Tables!$A$260:$A$274,1),1),ROWS(Tables!$A$260:$A$274)-1))))),IF(P144&lt;8,(INDEX(Tables!$D$260:$D$274,MAX(1,MIN(IFERROR(MATCH(U144,Tables!$C$260:$C$274,1),1),ROWS(Tables!$C$260:$C$274)-1)))+(U144-INDEX(Tables!$C$260:$C$274,MAX(1,MIN(IFERROR(MATCH(U144,Tables!$C$260:$C$274,1),1),ROWS(Tables!$C$260:$C$274)-1))))*(INDEX(Tables!$D$260:$D$274,MAX(1,MIN(IFERROR(MATCH(U144,Tables!$C$260:$C$274,1),1),ROWS(Tables!$C$260:$C$274)-1))+1)-INDEX(Tables!$D$260:$D$274,MAX(1,MIN(IFERROR(MATCH(U144,Tables!$C$260:$C$274,1),1),ROWS(Tables!$C$260:$C$274)-1))))/(INDEX(Tables!$C$260:$C$274,MAX(1,MIN(IFERROR(MATCH(U144,Tables!$C$260:$C$274,1),1),ROWS(Tables!$C$260:$C$274)-1))+1)-INDEX(Tables!$C$260:$C$274,MAX(1,MIN(IFERROR(MATCH(U144,Tables!$C$260:$C$274,1),1),ROWS(Tables!$C$260:$C$274)-1))))),IF(P144&lt;10,(INDEX(Tables!$F$260:$F$274,MAX(1,MIN(IFERROR(MATCH(U144,Tables!$E$260:$E$274,1),1),ROWS(Tables!$E$260:$E$274)-1)))+(U144-INDEX(Tables!$E$260:$E$274,MAX(1,MIN(IFERROR(MATCH(U144,Tables!$E$260:$E$274,1),1),ROWS(Tables!$E$260:$E$274)-1))))*(INDEX(Tables!$F$260:$F$274,MAX(1,MIN(IFERROR(MATCH(U144,Tables!$E$260:$E$274,1),1),ROWS(Tables!$E$260:$E$274)-1))+1)-INDEX(Tables!$F$260:$F$274,MAX(1,MIN(IFERROR(MATCH(U144,Tables!$E$260:$E$274,1),1),ROWS(Tables!$E$260:$E$274)-1))))/(INDEX(Tables!$E$260:$E$274,MAX(1,MIN(IFERROR(MATCH(U144,Tables!$E$260:$E$274,1),1),ROWS(Tables!$E$260:$E$274)-1))+1)-INDEX(Tables!$E$260:$E$274,MAX(1,MIN(IFERROR(MATCH(U144,Tables!$E$260:$E$274,1),1),ROWS(Tables!$E$260:$E$274)-1))))),(INDEX(Tables!$H$260:$H$274,MAX(1,MIN(IFERROR(MATCH(U144,Tables!$G$260:$G$274,1),1),ROWS(Tables!$G$260:$G$274)-1)))+(U144-INDEX(Tables!$G$260:$G$274,MAX(1,MIN(IFERROR(MATCH(U144,Tables!$G$260:$G$274,1),1),ROWS(Tables!$G$260:$G$274)-1))))*(INDEX(Tables!$H$260:$H$274,MAX(1,MIN(IFERROR(MATCH(U144,Tables!$G$260:$G$274,1),1),ROWS(Tables!$G$260:$G$274)-1))+1)-INDEX(Tables!$H$260:$H$274,MAX(1,MIN(IFERROR(MATCH(U144,Tables!$G$260:$G$274,1),1),ROWS(Tables!$G$260:$G$274)-1))))/(INDEX(Tables!$G$260:$G$274,MAX(1,MIN(IFERROR(MATCH(U144,Tables!$G$260:$G$274,1),1),ROWS(Tables!$G$260:$G$274)-1))+1)-INDEX(Tables!$G$260:$G$274,MAX(1,MIN(IFERROR(MATCH(U144,Tables!$G$260:$G$274,1),1),ROWS(Tables!$G$260:$G$274)-1))))))))</f>
        <v>1.0024999999999999</v>
      </c>
      <c r="AW144" s="181">
        <f t="shared" si="137"/>
        <v>877.75122151744085</v>
      </c>
      <c r="AX144" s="181">
        <f t="shared" si="138"/>
        <v>209500</v>
      </c>
      <c r="AY144" s="181">
        <f t="shared" si="139"/>
        <v>214058.57807604596</v>
      </c>
      <c r="AZ144" s="181">
        <f t="shared" si="140"/>
        <v>64703.07107693806</v>
      </c>
      <c r="BA144" s="181">
        <f t="shared" si="141"/>
        <v>-6000</v>
      </c>
      <c r="BB144" s="181">
        <f t="shared" si="142"/>
        <v>194591.5844988194</v>
      </c>
      <c r="BC144" s="181">
        <f t="shared" si="143"/>
        <v>46800</v>
      </c>
      <c r="BD144" s="181">
        <f>VLOOKUP(V144&amp;" "&amp;J144,Tables!$A$152:$E$239,4,FALSE)</f>
        <v>12000</v>
      </c>
      <c r="BE144" s="181">
        <f>VLOOKUP(V144&amp;" "&amp;J144,Tables!$A$152:$E$239,5,FALSE)</f>
        <v>23000</v>
      </c>
      <c r="BF144" s="181">
        <f t="shared" si="144"/>
        <v>8640</v>
      </c>
      <c r="BG144" s="181">
        <f t="shared" si="145"/>
        <v>16560</v>
      </c>
      <c r="BH144" s="181">
        <f t="shared" si="146"/>
        <v>212500</v>
      </c>
      <c r="BI144" s="181">
        <f t="shared" si="147"/>
        <v>46800</v>
      </c>
      <c r="BJ144" s="181">
        <f t="shared" si="148"/>
        <v>194591.5844988194</v>
      </c>
      <c r="BK144" s="181">
        <f t="shared" si="149"/>
        <v>46800</v>
      </c>
      <c r="BL144" s="181">
        <f t="shared" si="150"/>
        <v>877.75122151744085</v>
      </c>
      <c r="BM144" s="181">
        <f t="shared" si="151"/>
        <v>8640</v>
      </c>
      <c r="BN144" s="181">
        <f t="shared" si="152"/>
        <v>1307.5118913105614</v>
      </c>
      <c r="BO144" s="181">
        <f t="shared" si="153"/>
        <v>16560</v>
      </c>
      <c r="BP144" t="str">
        <f t="shared" si="154"/>
        <v>Fail</v>
      </c>
      <c r="BQ144" t="str">
        <f t="shared" si="155"/>
        <v>Fail</v>
      </c>
      <c r="BR144" t="str">
        <f t="shared" si="156"/>
        <v>Pass</v>
      </c>
      <c r="BS144" t="str">
        <f t="shared" si="157"/>
        <v>Pass</v>
      </c>
      <c r="BT144" t="str">
        <f t="shared" si="158"/>
        <v>Fail</v>
      </c>
      <c r="BU144" t="str">
        <f t="shared" si="159"/>
        <v>Barlow Stress</v>
      </c>
    </row>
    <row r="145" spans="1:73">
      <c r="A145" t="s">
        <v>737</v>
      </c>
      <c r="B145" s="181">
        <v>143</v>
      </c>
      <c r="C145" t="s">
        <v>594</v>
      </c>
      <c r="D145" s="181">
        <v>16</v>
      </c>
      <c r="E145" s="181">
        <v>0.188</v>
      </c>
      <c r="F145" t="s">
        <v>117</v>
      </c>
      <c r="G145" t="s">
        <v>119</v>
      </c>
      <c r="H145" t="s">
        <v>122</v>
      </c>
      <c r="I145" s="181">
        <v>1</v>
      </c>
      <c r="J145" t="s">
        <v>126</v>
      </c>
      <c r="K145" t="s">
        <v>129</v>
      </c>
      <c r="L145" s="181">
        <v>70</v>
      </c>
      <c r="M145" s="181">
        <v>6000</v>
      </c>
      <c r="N145" t="s">
        <v>391</v>
      </c>
      <c r="O145" s="181">
        <v>120</v>
      </c>
      <c r="P145" s="181">
        <v>8</v>
      </c>
      <c r="Q145" s="181">
        <v>18</v>
      </c>
      <c r="R145" t="s">
        <v>417</v>
      </c>
      <c r="S145" t="s">
        <v>156</v>
      </c>
      <c r="T145" s="181">
        <v>70</v>
      </c>
      <c r="U145" s="181">
        <f>HLOOKUP(D145,'Highway Loading'!$C$155:$AD$156,2,FALSE)</f>
        <v>16</v>
      </c>
      <c r="V145" s="181">
        <f>IF(ISBLANK(G145),"",INDEX('Highway Loading'!$C$216:$AG$216,1,MATCH(G145,'Highway Loading'!$C$215:$AG$215,0)))</f>
        <v>65000</v>
      </c>
      <c r="W145" s="181">
        <f>INDEX('Highway Loading'!$I$245:$L$253,MATCH(H145,'Highway Loading'!$H$245:$H$253,0),MATCH(I145,'Highway Loading'!$I$244:$L$244,0))</f>
        <v>0.72</v>
      </c>
      <c r="X145" s="181">
        <f t="shared" si="128"/>
        <v>1</v>
      </c>
      <c r="Y145" s="181">
        <f>VLOOKUP(K145,'Highway Loading'!$B$283:$E$292,2,FALSE)</f>
        <v>29000000</v>
      </c>
      <c r="Z145" s="181">
        <f>VLOOKUP(K145,'Highway Loading'!$B$283:$E$292,3,FALSE)</f>
        <v>0.3</v>
      </c>
      <c r="AA145" s="181">
        <f>VLOOKUP(K145,'Highway Loading'!$B$283:$E$292,4,FALSE)</f>
        <v>6.4999999999999996E-6</v>
      </c>
      <c r="AB145" s="181">
        <f t="shared" si="129"/>
        <v>1</v>
      </c>
      <c r="AC145" s="181">
        <f>VLOOKUP(N145,'Highway Loading'!$B$256:$D$261,2,FALSE)</f>
        <v>1000</v>
      </c>
      <c r="AD145" s="181">
        <f>VLOOKUP(N145,'Highway Loading'!$B$256:$D$261,3,FALSE)</f>
        <v>10000</v>
      </c>
      <c r="AE145" s="181">
        <f>VLOOKUP(S145,'Highway Loading'!$B$340:$C$341,2,FALSE)</f>
        <v>10000</v>
      </c>
      <c r="AF145" s="181">
        <f t="shared" si="130"/>
        <v>1.175E-2</v>
      </c>
      <c r="AG145" s="181">
        <f t="shared" si="131"/>
        <v>5.333333333333333</v>
      </c>
      <c r="AH145" s="181">
        <f t="shared" si="132"/>
        <v>1.125</v>
      </c>
      <c r="AI145" s="181">
        <f t="shared" si="133"/>
        <v>255319.14893617021</v>
      </c>
      <c r="AJ145" s="181">
        <f t="shared" si="134"/>
        <v>46800</v>
      </c>
      <c r="AK145" s="181">
        <f>IF(AC145=200,(INDEX(Tables!$B$17:$B$38,MAX(1,MIN(IFERROR(MATCH(AF145,Tables!$A$17:$A$38,1),1),ROWS(Tables!$A$17:$A$38)-1)))+(AF145-INDEX(Tables!$A$17:$A$38,MAX(1,MIN(IFERROR(MATCH(AF145,Tables!$A$17:$A$38,1),1),ROWS(Tables!$A$17:$A$38)-1))))*(INDEX(Tables!$B$17:$B$38,MAX(1,MIN(IFERROR(MATCH(AF145,Tables!$A$17:$A$38,1),1),ROWS(Tables!$A$17:$A$38)-1))+1)-INDEX(Tables!$B$17:$B$38,MAX(1,MIN(IFERROR(MATCH(AF145,Tables!$A$17:$A$38,1),1),ROWS(Tables!$A$17:$A$38)-1))))/(INDEX(Tables!$A$17:$A$38,MAX(1,MIN(IFERROR(MATCH(AF145,Tables!$A$17:$A$38,1),1),ROWS(Tables!$A$17:$A$38)-1))+1)-INDEX(Tables!$A$17:$A$38,MAX(1,MIN(IFERROR(MATCH(AF145,Tables!$A$17:$A$38,1),1),ROWS(Tables!$A$17:$A$38)-1))))),IF(AC145=500,(INDEX(Tables!$D$17:$D$38,MAX(1,MIN(IFERROR(MATCH(AF145,Tables!$C$17:$C$38,1),1),ROWS(Tables!$C$17:$C$38)-1)))+(AF145-INDEX(Tables!$C$17:$C$38,MAX(1,MIN(IFERROR(MATCH(AF145,Tables!$C$17:$C$38,1),1),ROWS(Tables!$C$17:$C$38)-1))))*(INDEX(Tables!$D$17:$D$38,MAX(1,MIN(IFERROR(MATCH(AF145,Tables!$C$17:$C$38,1),1),ROWS(Tables!$C$17:$C$38)-1))+1)-INDEX(Tables!$D$17:$D$38,MAX(1,MIN(IFERROR(MATCH(AF145,Tables!$C$17:$C$38,1),1),ROWS(Tables!$C$17:$C$38)-1))))/(INDEX(Tables!$C$17:$C$38,MAX(1,MIN(IFERROR(MATCH(AF145,Tables!$C$17:$C$38,1),1),ROWS(Tables!$C$17:$C$38)-1))+1)-INDEX(Tables!$C$17:$C$38,MAX(1,MIN(IFERROR(MATCH(AF145,Tables!$C$17:$C$38,1),1),ROWS(Tables!$C$17:$C$38)-1))))),IF(AC145=1000,(INDEX(Tables!$F$17:$F$38,MAX(1,MIN(IFERROR(MATCH(AF145,Tables!$E$17:$E$38,1),1),ROWS(Tables!$E$17:$E$38)-1)))+(AF145-INDEX(Tables!$E$17:$E$38,MAX(1,MIN(IFERROR(MATCH(AF145,Tables!$E$17:$E$38,1),1),ROWS(Tables!$E$17:$E$38)-1))))*(INDEX(Tables!$F$17:$F$38,MAX(1,MIN(IFERROR(MATCH(AF145,Tables!$E$17:$E$38,1),1),ROWS(Tables!$E$17:$E$38)-1))+1)-INDEX(Tables!$F$17:$F$38,MAX(1,MIN(IFERROR(MATCH(AF145,Tables!$E$17:$E$38,1),1),ROWS(Tables!$E$17:$E$38)-1))))/(INDEX(Tables!$E$17:$E$38,MAX(1,MIN(IFERROR(MATCH(AF145,Tables!$E$17:$E$38,1),1),ROWS(Tables!$E$17:$E$38)-1))+1)-INDEX(Tables!$E$17:$E$38,MAX(1,MIN(IFERROR(MATCH(AF145,Tables!$E$17:$E$38,1),1),ROWS(Tables!$E$17:$E$38)-1))))),(INDEX(Tables!$H$17:$H$38,MAX(1,MIN(IFERROR(MATCH(AF145,Tables!$G$17:$G$38,1),1),ROWS(Tables!$G$17:$G$38)-1)))+(AF145-INDEX(Tables!$G$17:$G$38,MAX(1,MIN(IFERROR(MATCH(AF145,Tables!$G$17:$G$38,1),1),ROWS(Tables!$G$17:$G$38)-1))))*(INDEX(Tables!$H$17:$H$38,MAX(1,MIN(IFERROR(MATCH(AF145,Tables!$G$17:$G$38,1),1),ROWS(Tables!$G$17:$G$38)-1))+1)-INDEX(Tables!$H$17:$H$38,MAX(1,MIN(IFERROR(MATCH(AF145,Tables!$G$17:$G$38,1),1),ROWS(Tables!$G$17:$G$38)-1))))/(INDEX(Tables!$G$17:$G$38,MAX(1,MIN(IFERROR(MATCH(AF145,Tables!$G$17:$G$38,1),1),ROWS(Tables!$G$17:$G$38)-1))+1)-INDEX(Tables!$G$17:$G$38,MAX(1,MIN(IFERROR(MATCH(AF145,Tables!$G$17:$G$38,1),1),ROWS(Tables!$G$17:$G$38)-1))))))))</f>
        <v>4067.1</v>
      </c>
      <c r="AL145" s="181">
        <f>IF(AC145&lt;1000,(INDEX(Tables!$B$43:$B$76,MAX(1,MIN(IFERROR(MATCH(AG145,Tables!$A$43:$A$76,1),1),ROWS(Tables!$A$43:$A$76)-1)))+(AG145-INDEX(Tables!$A$43:$A$76,MAX(1,MIN(IFERROR(MATCH(AG145,Tables!$A$43:$A$76,1),1),ROWS(Tables!$A$43:$A$76)-1))))*(INDEX(Tables!$B$43:$B$76,MAX(1,MIN(IFERROR(MATCH(AG145,Tables!$A$43:$A$76,1),1),ROWS(Tables!$A$43:$A$76)-1))+1)-INDEX(Tables!$B$43:$B$76,MAX(1,MIN(IFERROR(MATCH(AG145,Tables!$A$43:$A$76,1),1),ROWS(Tables!$A$43:$A$76)-1))))/(INDEX(Tables!$A$43:$A$76,MAX(1,MIN(IFERROR(MATCH(AG145,Tables!$A$43:$A$76,1),1),ROWS(Tables!$A$43:$A$76)-1))+1)-INDEX(Tables!$A$43:$A$76,MAX(1,MIN(IFERROR(MATCH(AG145,Tables!$A$43:$A$76,1),1),ROWS(Tables!$A$43:$A$76)-1))))),(INDEX(Tables!$D$43:$D$76,MAX(1,MIN(IFERROR(MATCH(AG145,Tables!$C$43:$C$76,1),1),ROWS(Tables!$C$43:$C$76)-1)))+(AG145-INDEX(Tables!$C$43:$C$76,MAX(1,MIN(IFERROR(MATCH(AG145,Tables!$C$43:$C$76,1),1),ROWS(Tables!$C$43:$C$76)-1))))*(INDEX(Tables!$D$43:$D$76,MAX(1,MIN(IFERROR(MATCH(AG145,Tables!$C$43:$C$76,1),1),ROWS(Tables!$C$43:$C$76)-1))+1)-INDEX(Tables!$D$43:$D$76,MAX(1,MIN(IFERROR(MATCH(AG145,Tables!$C$43:$C$76,1),1),ROWS(Tables!$C$43:$C$76)-1))))/(INDEX(Tables!$C$43:$C$76,MAX(1,MIN(IFERROR(MATCH(AG145,Tables!$C$43:$C$76,1),1),ROWS(Tables!$C$43:$C$76)-1))+1)-INDEX(Tables!$C$43:$C$76,MAX(1,MIN(IFERROR(MATCH(AG145,Tables!$C$43:$C$76,1),1),ROWS(Tables!$C$43:$C$76)-1))))))</f>
        <v>0.98666666666666658</v>
      </c>
      <c r="AM145" s="181">
        <f>(INDEX(Tables!$B$80:$B$87,MAX(1,MIN(IFERROR(MATCH(AH145,Tables!$A$80:$A$87,1),1),ROWS(Tables!$A$80:$A$87)-1)))+(AH145-INDEX(Tables!$A$80:$A$87,MAX(1,MIN(IFERROR(MATCH(AH145,Tables!$A$80:$A$87,1),1),ROWS(Tables!$A$80:$A$87)-1))))*(INDEX(Tables!$B$80:$B$87,MAX(1,MIN(IFERROR(MATCH(AH145,Tables!$A$80:$A$87,1),1),ROWS(Tables!$A$80:$A$87)-1))+1)-INDEX(Tables!$B$80:$B$87,MAX(1,MIN(IFERROR(MATCH(AH145,Tables!$A$80:$A$87,1),1),ROWS(Tables!$A$80:$A$87)-1))))/(INDEX(Tables!$A$80:$A$87,MAX(1,MIN(IFERROR(MATCH(AH145,Tables!$A$80:$A$87,1),1),ROWS(Tables!$A$80:$A$87)-1))+1)-INDEX(Tables!$A$80:$A$87,MAX(1,MIN(IFERROR(MATCH(AH145,Tables!$A$80:$A$87,1),1),ROWS(Tables!$A$80:$A$87)-1)))))</f>
        <v>1.04345</v>
      </c>
      <c r="AN145" s="181">
        <f t="shared" si="135"/>
        <v>4652.4792093333326</v>
      </c>
      <c r="AO145" s="181">
        <f>(INDEX(Tables!$B$91:$B$94,MAX(1,MIN(IFERROR(MATCH(P145,Tables!$A$91:$A$94,1),1),ROWS(Tables!$A$91:$A$94)-1)))+(P145-INDEX(Tables!$A$91:$A$94,MAX(1,MIN(IFERROR(MATCH(P145,Tables!$A$91:$A$94,1),1),ROWS(Tables!$A$91:$A$94)-1))))*(INDEX(Tables!$B$91:$B$94,MAX(1,MIN(IFERROR(MATCH(P145,Tables!$A$91:$A$94,1),1),ROWS(Tables!$A$91:$A$94)-1))+1)-INDEX(Tables!$B$91:$B$94,MAX(1,MIN(IFERROR(MATCH(P145,Tables!$A$91:$A$94,1),1),ROWS(Tables!$A$91:$A$94)-1))))/(INDEX(Tables!$A$91:$A$94,MAX(1,MIN(IFERROR(MATCH(P145,Tables!$A$91:$A$94,1),1),ROWS(Tables!$A$91:$A$94)-1))+1)-INDEX(Tables!$A$91:$A$94,MAX(1,MIN(IFERROR(MATCH(P145,Tables!$A$91:$A$94,1),1),ROWS(Tables!$A$91:$A$94)-1)))))</f>
        <v>1.4152439024390244</v>
      </c>
      <c r="AP145" s="181">
        <f>IF(AD145=5000,(INDEX(Tables!$B$99:$B$118,MAX(1,MIN(IFERROR(MATCH(AF145,Tables!$A$99:$A$118,1),1),ROWS(Tables!$A$99:$A$118)-1)))+(AF145-INDEX(Tables!$A$99:$A$118,MAX(1,MIN(IFERROR(MATCH(AF145,Tables!$A$99:$A$118,1),1),ROWS(Tables!$A$99:$A$118)-1))))*(INDEX(Tables!$B$99:$B$118,MAX(1,MIN(IFERROR(MATCH(AF145,Tables!$A$99:$A$118,1),1),ROWS(Tables!$A$99:$A$118)-1))+1)-INDEX(Tables!$B$99:$B$118,MAX(1,MIN(IFERROR(MATCH(AF145,Tables!$A$99:$A$118,1),1),ROWS(Tables!$A$99:$A$118)-1))))/(INDEX(Tables!$A$99:$A$118,MAX(1,MIN(IFERROR(MATCH(AF145,Tables!$A$99:$A$118,1),1),ROWS(Tables!$A$99:$A$118)-1))+1)-INDEX(Tables!$A$99:$A$118,MAX(1,MIN(IFERROR(MATCH(AF145,Tables!$A$99:$A$118,1),1),ROWS(Tables!$A$99:$A$118)-1))))),IF(AD145=10000,(INDEX(Tables!$D$99:$D$118,MAX(1,MIN(IFERROR(MATCH(AF145,Tables!$C$99:$C$118,1),1),ROWS(Tables!$C$99:$C$118)-1)))+(AF145-INDEX(Tables!$C$99:$C$118,MAX(1,MIN(IFERROR(MATCH(AF145,Tables!$C$99:$C$118,1),1),ROWS(Tables!$C$99:$C$118)-1))))*(INDEX(Tables!$D$99:$D$118,MAX(1,MIN(IFERROR(MATCH(AF145,Tables!$C$99:$C$118,1),1),ROWS(Tables!$C$99:$C$118)-1))+1)-INDEX(Tables!$D$99:$D$118,MAX(1,MIN(IFERROR(MATCH(AF145,Tables!$C$99:$C$118,1),1),ROWS(Tables!$C$99:$C$118)-1))))/(INDEX(Tables!$C$99:$C$118,MAX(1,MIN(IFERROR(MATCH(AF145,Tables!$C$99:$C$118,1),1),ROWS(Tables!$C$99:$C$118)-1))+1)-INDEX(Tables!$C$99:$C$118,MAX(1,MIN(IFERROR(MATCH(AF145,Tables!$C$99:$C$118,1),1),ROWS(Tables!$C$99:$C$118)-1))))),(INDEX(Tables!$F$99:$F$118,MAX(1,MIN(IFERROR(MATCH(AF145,Tables!$E$99:$E$118,1),1),ROWS(Tables!$E$99:$E$118)-1)))+(AF145-INDEX(Tables!$E$99:$E$118,MAX(1,MIN(IFERROR(MATCH(AF145,Tables!$E$99:$E$118,1),1),ROWS(Tables!$E$99:$E$118)-1))))*(INDEX(Tables!$F$99:$F$118,MAX(1,MIN(IFERROR(MATCH(AF145,Tables!$E$99:$E$118,1),1),ROWS(Tables!$E$99:$E$118)-1))+1)-INDEX(Tables!$F$99:$F$118,MAX(1,MIN(IFERROR(MATCH(AF145,Tables!$E$99:$E$118,1),1),ROWS(Tables!$E$99:$E$118)-1))))/(INDEX(Tables!$E$99:$E$118,MAX(1,MIN(IFERROR(MATCH(AF145,Tables!$E$99:$E$118,1),1),ROWS(Tables!$E$99:$E$118)-1))+1)-INDEX(Tables!$E$99:$E$118,MAX(1,MIN(IFERROR(MATCH(AF145,Tables!$E$99:$E$118,1),1),ROWS(Tables!$E$99:$E$118)-1)))))))</f>
        <v>13.823720000000002</v>
      </c>
      <c r="AQ145" s="181">
        <f>IF(P145&lt;6,(INDEX(Tables!$B$123:$B$138,MAX(1,MIN(IFERROR(MATCH(U145,Tables!$A$123:$A$138,1),1),ROWS(Tables!$A$123:$A$138)-1)))+(U145-INDEX(Tables!$A$123:$A$138,MAX(1,MIN(IFERROR(MATCH(U145,Tables!$A$123:$A$138,1),1),ROWS(Tables!$A$123:$A$138)-1))))*(INDEX(Tables!$B$123:$B$138,MAX(1,MIN(IFERROR(MATCH(U145,Tables!$A$123:$A$138,1),1),ROWS(Tables!$A$123:$A$138)-1))+1)-INDEX(Tables!$B$123:$B$138,MAX(1,MIN(IFERROR(MATCH(U145,Tables!$A$123:$A$138,1),1),ROWS(Tables!$A$123:$A$138)-1))))/(INDEX(Tables!$A$123:$A$138,MAX(1,MIN(IFERROR(MATCH(U145,Tables!$A$123:$A$138,1),1),ROWS(Tables!$A$123:$A$138)-1))+1)-INDEX(Tables!$A$123:$A$138,MAX(1,MIN(IFERROR(MATCH(U145,Tables!$A$123:$A$138,1),1),ROWS(Tables!$A$123:$A$138)-1))))),IF(P145&lt;8,(INDEX(Tables!$D$123:$D$138,MAX(1,MIN(IFERROR(MATCH(U145,Tables!$C$123:$C$138,1),1),ROWS(Tables!$C$123:$C$138)-1)))+(U145-INDEX(Tables!$C$123:$C$138,MAX(1,MIN(IFERROR(MATCH(U145,Tables!$C$123:$C$138,1),1),ROWS(Tables!$C$123:$C$138)-1))))*(INDEX(Tables!$D$123:$D$138,MAX(1,MIN(IFERROR(MATCH(U145,Tables!$C$123:$C$138,1),1),ROWS(Tables!$C$123:$C$138)-1))+1)-INDEX(Tables!$D$123:$D$138,MAX(1,MIN(IFERROR(MATCH(U145,Tables!$C$123:$C$138,1),1),ROWS(Tables!$C$123:$C$138)-1))))/(INDEX(Tables!$C$123:$C$138,MAX(1,MIN(IFERROR(MATCH(U145,Tables!$C$123:$C$138,1),1),ROWS(Tables!$C$123:$C$138)-1))+1)-INDEX(Tables!$C$123:$C$138,MAX(1,MIN(IFERROR(MATCH(U145,Tables!$C$123:$C$138,1),1),ROWS(Tables!$C$123:$C$138)-1))))),IF(P145&lt;10,(INDEX(Tables!$F$123:$F$138,MAX(1,MIN(IFERROR(MATCH(U145,Tables!$E$123:$E$138,1),1),ROWS(Tables!$E$123:$E$138)-1)))+(U145-INDEX(Tables!$E$123:$E$138,MAX(1,MIN(IFERROR(MATCH(U145,Tables!$E$123:$E$138,1),1),ROWS(Tables!$E$123:$E$138)-1))))*(INDEX(Tables!$F$123:$F$138,MAX(1,MIN(IFERROR(MATCH(U145,Tables!$E$123:$E$138,1),1),ROWS(Tables!$E$123:$E$138)-1))+1)-INDEX(Tables!$F$123:$F$138,MAX(1,MIN(IFERROR(MATCH(U145,Tables!$E$123:$E$138,1),1),ROWS(Tables!$E$123:$E$138)-1))))/(INDEX(Tables!$E$123:$E$138,MAX(1,MIN(IFERROR(MATCH(U145,Tables!$E$123:$E$138,1),1),ROWS(Tables!$E$123:$E$138)-1))+1)-INDEX(Tables!$E$123:$E$138,MAX(1,MIN(IFERROR(MATCH(U145,Tables!$E$123:$E$138,1),1),ROWS(Tables!$E$123:$E$138)-1))))),(INDEX(Tables!$H$123:$H$138,MAX(1,MIN(IFERROR(MATCH(U145,Tables!$G$123:$G$138,1),1),ROWS(Tables!$G$123:$G$138)-1)))+(U145-INDEX(Tables!$G$123:$G$138,MAX(1,MIN(IFERROR(MATCH(U145,Tables!$G$123:$G$138,1),1),ROWS(Tables!$G$123:$G$138)-1))))*(INDEX(Tables!$H$123:$H$138,MAX(1,MIN(IFERROR(MATCH(U145,Tables!$G$123:$G$138,1),1),ROWS(Tables!$G$123:$G$138)-1))+1)-INDEX(Tables!$H$123:$H$138,MAX(1,MIN(IFERROR(MATCH(U145,Tables!$G$123:$G$138,1),1),ROWS(Tables!$G$123:$G$138)-1))))/(INDEX(Tables!$G$123:$G$138,MAX(1,MIN(IFERROR(MATCH(U145,Tables!$G$123:$G$138,1),1),ROWS(Tables!$G$123:$G$138)-1))+1)-INDEX(Tables!$G$123:$G$138,MAX(1,MIN(IFERROR(MATCH(U145,Tables!$G$123:$G$138,1),1),ROWS(Tables!$G$123:$G$138)-1))))))))</f>
        <v>0.79200000000000004</v>
      </c>
      <c r="AR145" s="181">
        <f>IF(OR(P145&gt;=4,U145&gt;12),VLOOKUP(R145&amp;" "&amp;S145,Tables!$D$143:$F$148,2,FALSE),VLOOKUP(R145&amp;" "&amp;S145,Tables!$A$143:$C$148,2,FALSE))</f>
        <v>1.1000000000000001</v>
      </c>
      <c r="AS145" s="181">
        <f>IF(OR(P145&gt;=4,U145&gt;12),VLOOKUP(R145&amp;" "&amp;S145,Tables!$D$143:$F$148,3,FALSE),VLOOKUP(R145&amp;" "&amp;S145,Tables!$A$143:$C$148,3,FALSE))</f>
        <v>1</v>
      </c>
      <c r="AT145" s="181">
        <f t="shared" si="136"/>
        <v>1183.6180940609759</v>
      </c>
      <c r="AU145" s="181">
        <f>IF(AD145=5000,(INDEX(Tables!$B$244:$B$263,MAX(1,MIN(IFERROR(MATCH(AF145,Tables!$A$244:$A$263,1),1),ROWS(Tables!$A$244:$A$263)-1)))+(AF145-INDEX(Tables!$A$244:$A$263,MAX(1,MIN(IFERROR(MATCH(AF145,Tables!$A$244:$A$263,1),1),ROWS(Tables!$A$244:$A$263)-1))))*(INDEX(Tables!$B$244:$B$263,MAX(1,MIN(IFERROR(MATCH(AF145,Tables!$A$244:$A$263,1),1),ROWS(Tables!$A$244:$A$263)-1))+1)-INDEX(Tables!$B$244:$B$263,MAX(1,MIN(IFERROR(MATCH(AF145,Tables!$A$244:$A$263,1),1),ROWS(Tables!$A$244:$A$263)-1))))/(INDEX(Tables!$A$244:$A$263,MAX(1,MIN(IFERROR(MATCH(AF145,Tables!$A$244:$A$263,1),1),ROWS(Tables!$A$244:$A$263)-1))+1)-INDEX(Tables!$A$244:$A$263,MAX(1,MIN(IFERROR(MATCH(AF145,Tables!$A$244:$A$263,1),1),ROWS(Tables!$A$244:$A$263)-1))))),IF(AD145=10000,(INDEX(Tables!$D$244:$D$263,MAX(1,MIN(IFERROR(MATCH(AF145,Tables!$C$244:$C$263,1),1),ROWS(Tables!$C$244:$C$263)-1)))+(AF145-INDEX(Tables!$C$244:$C$263,MAX(1,MIN(IFERROR(MATCH(AF145,Tables!$C$244:$C$263,1),1),ROWS(Tables!$C$244:$C$263)-1))))*(INDEX(Tables!$D$244:$D$263,MAX(1,MIN(IFERROR(MATCH(AF145,Tables!$C$244:$C$263,1),1),ROWS(Tables!$C$244:$C$263)-1))+1)-INDEX(Tables!$D$244:$D$263,MAX(1,MIN(IFERROR(MATCH(AF145,Tables!$C$244:$C$263,1),1),ROWS(Tables!$C$244:$C$263)-1))))/(INDEX(Tables!$C$244:$C$263,MAX(1,MIN(IFERROR(MATCH(AF145,Tables!$C$244:$C$263,1),1),ROWS(Tables!$C$244:$C$263)-1))+1)-INDEX(Tables!$C$244:$C$263,MAX(1,MIN(IFERROR(MATCH(AF145,Tables!$C$244:$C$263,1),1),ROWS(Tables!$C$244:$C$263)-1))))),(INDEX(Tables!$F$244:$F$263,MAX(1,MIN(IFERROR(MATCH(AF145,Tables!$E$244:$E$263,1),1),ROWS(Tables!$E$244:$E$263)-1)))+(AF145-INDEX(Tables!$E$244:$E$263,MAX(1,MIN(IFERROR(MATCH(AF145,Tables!$E$244:$E$263,1),1),ROWS(Tables!$E$244:$E$263)-1))))*(INDEX(Tables!$F$244:$F$263,MAX(1,MIN(IFERROR(MATCH(AF145,Tables!$E$244:$E$263,1),1),ROWS(Tables!$E$244:$E$263)-1))+1)-INDEX(Tables!$F$244:$F$263,MAX(1,MIN(IFERROR(MATCH(AF145,Tables!$E$244:$E$263,1),1),ROWS(Tables!$E$244:$E$263)-1))))/(INDEX(Tables!$E$244:$E$263,MAX(1,MIN(IFERROR(MATCH(AF145,Tables!$E$244:$E$263,1),1),ROWS(Tables!$E$244:$E$263)-1))+1)-INDEX(Tables!$E$244:$E$263,MAX(1,MIN(IFERROR(MATCH(AF145,Tables!$E$244:$E$263,1),1),ROWS(Tables!$E$244:$E$263)-1)))))))</f>
        <v>9.831722222222222</v>
      </c>
      <c r="AV145" s="181">
        <f>IF(P145&lt;6,(INDEX(Tables!$B$260:$B$274,MAX(1,MIN(IFERROR(MATCH(U145,Tables!$A$260:$A$274,1),1),ROWS(Tables!$A$260:$A$274)-1)))+(U145-INDEX(Tables!$A$260:$A$274,MAX(1,MIN(IFERROR(MATCH(U145,Tables!$A$260:$A$274,1),1),ROWS(Tables!$A$260:$A$274)-1))))*(INDEX(Tables!$B$260:$B$274,MAX(1,MIN(IFERROR(MATCH(U145,Tables!$A$260:$A$274,1),1),ROWS(Tables!$A$260:$A$274)-1))+1)-INDEX(Tables!$B$260:$B$274,MAX(1,MIN(IFERROR(MATCH(U145,Tables!$A$260:$A$274,1),1),ROWS(Tables!$A$260:$A$274)-1))))/(INDEX(Tables!$A$260:$A$274,MAX(1,MIN(IFERROR(MATCH(U145,Tables!$A$260:$A$274,1),1),ROWS(Tables!$A$260:$A$274)-1))+1)-INDEX(Tables!$A$260:$A$274,MAX(1,MIN(IFERROR(MATCH(U145,Tables!$A$260:$A$274,1),1),ROWS(Tables!$A$260:$A$274)-1))))),IF(P145&lt;8,(INDEX(Tables!$D$260:$D$274,MAX(1,MIN(IFERROR(MATCH(U145,Tables!$C$260:$C$274,1),1),ROWS(Tables!$C$260:$C$274)-1)))+(U145-INDEX(Tables!$C$260:$C$274,MAX(1,MIN(IFERROR(MATCH(U145,Tables!$C$260:$C$274,1),1),ROWS(Tables!$C$260:$C$274)-1))))*(INDEX(Tables!$D$260:$D$274,MAX(1,MIN(IFERROR(MATCH(U145,Tables!$C$260:$C$274,1),1),ROWS(Tables!$C$260:$C$274)-1))+1)-INDEX(Tables!$D$260:$D$274,MAX(1,MIN(IFERROR(MATCH(U145,Tables!$C$260:$C$274,1),1),ROWS(Tables!$C$260:$C$274)-1))))/(INDEX(Tables!$C$260:$C$274,MAX(1,MIN(IFERROR(MATCH(U145,Tables!$C$260:$C$274,1),1),ROWS(Tables!$C$260:$C$274)-1))+1)-INDEX(Tables!$C$260:$C$274,MAX(1,MIN(IFERROR(MATCH(U145,Tables!$C$260:$C$274,1),1),ROWS(Tables!$C$260:$C$274)-1))))),IF(P145&lt;10,(INDEX(Tables!$F$260:$F$274,MAX(1,MIN(IFERROR(MATCH(U145,Tables!$E$260:$E$274,1),1),ROWS(Tables!$E$260:$E$274)-1)))+(U145-INDEX(Tables!$E$260:$E$274,MAX(1,MIN(IFERROR(MATCH(U145,Tables!$E$260:$E$274,1),1),ROWS(Tables!$E$260:$E$274)-1))))*(INDEX(Tables!$F$260:$F$274,MAX(1,MIN(IFERROR(MATCH(U145,Tables!$E$260:$E$274,1),1),ROWS(Tables!$E$260:$E$274)-1))+1)-INDEX(Tables!$F$260:$F$274,MAX(1,MIN(IFERROR(MATCH(U145,Tables!$E$260:$E$274,1),1),ROWS(Tables!$E$260:$E$274)-1))))/(INDEX(Tables!$E$260:$E$274,MAX(1,MIN(IFERROR(MATCH(U145,Tables!$E$260:$E$274,1),1),ROWS(Tables!$E$260:$E$274)-1))+1)-INDEX(Tables!$E$260:$E$274,MAX(1,MIN(IFERROR(MATCH(U145,Tables!$E$260:$E$274,1),1),ROWS(Tables!$E$260:$E$274)-1))))),(INDEX(Tables!$H$260:$H$274,MAX(1,MIN(IFERROR(MATCH(U145,Tables!$G$260:$G$274,1),1),ROWS(Tables!$G$260:$G$274)-1)))+(U145-INDEX(Tables!$G$260:$G$274,MAX(1,MIN(IFERROR(MATCH(U145,Tables!$G$260:$G$274,1),1),ROWS(Tables!$G$260:$G$274)-1))))*(INDEX(Tables!$H$260:$H$274,MAX(1,MIN(IFERROR(MATCH(U145,Tables!$G$260:$G$274,1),1),ROWS(Tables!$G$260:$G$274)-1))+1)-INDEX(Tables!$H$260:$H$274,MAX(1,MIN(IFERROR(MATCH(U145,Tables!$G$260:$G$274,1),1),ROWS(Tables!$G$260:$G$274)-1))))/(INDEX(Tables!$G$260:$G$274,MAX(1,MIN(IFERROR(MATCH(U145,Tables!$G$260:$G$274,1),1),ROWS(Tables!$G$260:$G$274)-1))+1)-INDEX(Tables!$G$260:$G$274,MAX(1,MIN(IFERROR(MATCH(U145,Tables!$G$260:$G$274,1),1),ROWS(Tables!$G$260:$G$274)-1))))))))</f>
        <v>0.84099999999999997</v>
      </c>
      <c r="AW145" s="181">
        <f t="shared" si="137"/>
        <v>893.89617948307182</v>
      </c>
      <c r="AX145" s="181">
        <f t="shared" si="138"/>
        <v>252319.14893617021</v>
      </c>
      <c r="AY145" s="181">
        <f t="shared" si="139"/>
        <v>258155.24623956453</v>
      </c>
      <c r="AZ145" s="181">
        <f t="shared" si="140"/>
        <v>77985.38462313413</v>
      </c>
      <c r="BA145" s="181">
        <f t="shared" si="141"/>
        <v>-6000</v>
      </c>
      <c r="BB145" s="181">
        <f t="shared" si="142"/>
        <v>233765.60694535926</v>
      </c>
      <c r="BC145" s="181">
        <f t="shared" si="143"/>
        <v>46800</v>
      </c>
      <c r="BD145" s="181">
        <f>VLOOKUP(V145&amp;" "&amp;J145,Tables!$A$152:$E$239,4,FALSE)</f>
        <v>12000</v>
      </c>
      <c r="BE145" s="181">
        <f>VLOOKUP(V145&amp;" "&amp;J145,Tables!$A$152:$E$239,5,FALSE)</f>
        <v>23000</v>
      </c>
      <c r="BF145" s="181">
        <f t="shared" si="144"/>
        <v>8640</v>
      </c>
      <c r="BG145" s="181">
        <f t="shared" si="145"/>
        <v>16560</v>
      </c>
      <c r="BH145" s="181">
        <f t="shared" si="146"/>
        <v>255319.14893617021</v>
      </c>
      <c r="BI145" s="181">
        <f t="shared" si="147"/>
        <v>46800</v>
      </c>
      <c r="BJ145" s="181">
        <f t="shared" si="148"/>
        <v>233765.60694535926</v>
      </c>
      <c r="BK145" s="181">
        <f t="shared" si="149"/>
        <v>46800</v>
      </c>
      <c r="BL145" s="181">
        <f t="shared" si="150"/>
        <v>893.89617948307182</v>
      </c>
      <c r="BM145" s="181">
        <f t="shared" si="151"/>
        <v>8640</v>
      </c>
      <c r="BN145" s="181">
        <f t="shared" si="152"/>
        <v>1183.6180940609759</v>
      </c>
      <c r="BO145" s="181">
        <f t="shared" si="153"/>
        <v>16560</v>
      </c>
      <c r="BP145" t="str">
        <f t="shared" si="154"/>
        <v>Fail</v>
      </c>
      <c r="BQ145" t="str">
        <f t="shared" si="155"/>
        <v>Fail</v>
      </c>
      <c r="BR145" t="str">
        <f t="shared" si="156"/>
        <v>Pass</v>
      </c>
      <c r="BS145" t="str">
        <f t="shared" si="157"/>
        <v>Pass</v>
      </c>
      <c r="BT145" t="str">
        <f t="shared" si="158"/>
        <v>Fail</v>
      </c>
      <c r="BU145" t="str">
        <f t="shared" si="159"/>
        <v>Barlow Stress</v>
      </c>
    </row>
    <row r="146" spans="1:73">
      <c r="A146" t="s">
        <v>738</v>
      </c>
      <c r="B146" s="181">
        <v>144</v>
      </c>
      <c r="C146" t="s">
        <v>594</v>
      </c>
      <c r="D146" s="181">
        <v>24</v>
      </c>
      <c r="E146" s="181">
        <v>0.25</v>
      </c>
      <c r="F146" t="s">
        <v>117</v>
      </c>
      <c r="G146" t="s">
        <v>119</v>
      </c>
      <c r="H146" t="s">
        <v>122</v>
      </c>
      <c r="I146" s="181">
        <v>1</v>
      </c>
      <c r="J146" t="s">
        <v>126</v>
      </c>
      <c r="K146" t="s">
        <v>129</v>
      </c>
      <c r="L146" s="181">
        <v>70</v>
      </c>
      <c r="M146" s="181">
        <v>-14.73</v>
      </c>
      <c r="N146" t="s">
        <v>391</v>
      </c>
      <c r="O146" s="181">
        <v>120</v>
      </c>
      <c r="P146" s="181">
        <v>10</v>
      </c>
      <c r="Q146" s="181">
        <v>26</v>
      </c>
      <c r="R146" t="s">
        <v>417</v>
      </c>
      <c r="S146" t="s">
        <v>156</v>
      </c>
      <c r="T146" s="181">
        <v>70</v>
      </c>
      <c r="U146" s="181">
        <f>HLOOKUP(D146,'Highway Loading'!$C$155:$AD$156,2,FALSE)</f>
        <v>24</v>
      </c>
      <c r="V146" s="181">
        <f>IF(ISBLANK(G146),"",INDEX('Highway Loading'!$C$216:$AG$216,1,MATCH(G146,'Highway Loading'!$C$215:$AG$215,0)))</f>
        <v>65000</v>
      </c>
      <c r="W146" s="181">
        <f>INDEX('Highway Loading'!$I$245:$L$253,MATCH(H146,'Highway Loading'!$H$245:$H$253,0),MATCH(I146,'Highway Loading'!$I$244:$L$244,0))</f>
        <v>0.72</v>
      </c>
      <c r="X146" s="181">
        <f t="shared" si="128"/>
        <v>1</v>
      </c>
      <c r="Y146" s="181">
        <f>VLOOKUP(K146,'Highway Loading'!$B$283:$E$292,2,FALSE)</f>
        <v>29000000</v>
      </c>
      <c r="Z146" s="181">
        <f>VLOOKUP(K146,'Highway Loading'!$B$283:$E$292,3,FALSE)</f>
        <v>0.3</v>
      </c>
      <c r="AA146" s="181">
        <f>VLOOKUP(K146,'Highway Loading'!$B$283:$E$292,4,FALSE)</f>
        <v>6.4999999999999996E-6</v>
      </c>
      <c r="AB146" s="181">
        <f t="shared" si="129"/>
        <v>1</v>
      </c>
      <c r="AC146" s="181">
        <f>VLOOKUP(N146,'Highway Loading'!$B$256:$D$261,2,FALSE)</f>
        <v>1000</v>
      </c>
      <c r="AD146" s="181">
        <f>VLOOKUP(N146,'Highway Loading'!$B$256:$D$261,3,FALSE)</f>
        <v>10000</v>
      </c>
      <c r="AE146" s="181">
        <f>VLOOKUP(S146,'Highway Loading'!$B$340:$C$341,2,FALSE)</f>
        <v>10000</v>
      </c>
      <c r="AF146" s="181">
        <f t="shared" si="130"/>
        <v>1.0416666666666666E-2</v>
      </c>
      <c r="AG146" s="181">
        <f t="shared" si="131"/>
        <v>4.615384615384615</v>
      </c>
      <c r="AH146" s="181">
        <f t="shared" si="132"/>
        <v>1.0833333333333333</v>
      </c>
      <c r="AI146" s="181">
        <f t="shared" si="133"/>
        <v>-707.04</v>
      </c>
      <c r="AJ146" s="181">
        <f t="shared" si="134"/>
        <v>46800</v>
      </c>
      <c r="AK146" s="181">
        <f>IF(AC146=200,(INDEX(Tables!$B$17:$B$38,MAX(1,MIN(IFERROR(MATCH(AF146,Tables!$A$17:$A$38,1),1),ROWS(Tables!$A$17:$A$38)-1)))+(AF146-INDEX(Tables!$A$17:$A$38,MAX(1,MIN(IFERROR(MATCH(AF146,Tables!$A$17:$A$38,1),1),ROWS(Tables!$A$17:$A$38)-1))))*(INDEX(Tables!$B$17:$B$38,MAX(1,MIN(IFERROR(MATCH(AF146,Tables!$A$17:$A$38,1),1),ROWS(Tables!$A$17:$A$38)-1))+1)-INDEX(Tables!$B$17:$B$38,MAX(1,MIN(IFERROR(MATCH(AF146,Tables!$A$17:$A$38,1),1),ROWS(Tables!$A$17:$A$38)-1))))/(INDEX(Tables!$A$17:$A$38,MAX(1,MIN(IFERROR(MATCH(AF146,Tables!$A$17:$A$38,1),1),ROWS(Tables!$A$17:$A$38)-1))+1)-INDEX(Tables!$A$17:$A$38,MAX(1,MIN(IFERROR(MATCH(AF146,Tables!$A$17:$A$38,1),1),ROWS(Tables!$A$17:$A$38)-1))))),IF(AC146=500,(INDEX(Tables!$D$17:$D$38,MAX(1,MIN(IFERROR(MATCH(AF146,Tables!$C$17:$C$38,1),1),ROWS(Tables!$C$17:$C$38)-1)))+(AF146-INDEX(Tables!$C$17:$C$38,MAX(1,MIN(IFERROR(MATCH(AF146,Tables!$C$17:$C$38,1),1),ROWS(Tables!$C$17:$C$38)-1))))*(INDEX(Tables!$D$17:$D$38,MAX(1,MIN(IFERROR(MATCH(AF146,Tables!$C$17:$C$38,1),1),ROWS(Tables!$C$17:$C$38)-1))+1)-INDEX(Tables!$D$17:$D$38,MAX(1,MIN(IFERROR(MATCH(AF146,Tables!$C$17:$C$38,1),1),ROWS(Tables!$C$17:$C$38)-1))))/(INDEX(Tables!$C$17:$C$38,MAX(1,MIN(IFERROR(MATCH(AF146,Tables!$C$17:$C$38,1),1),ROWS(Tables!$C$17:$C$38)-1))+1)-INDEX(Tables!$C$17:$C$38,MAX(1,MIN(IFERROR(MATCH(AF146,Tables!$C$17:$C$38,1),1),ROWS(Tables!$C$17:$C$38)-1))))),IF(AC146=1000,(INDEX(Tables!$F$17:$F$38,MAX(1,MIN(IFERROR(MATCH(AF146,Tables!$E$17:$E$38,1),1),ROWS(Tables!$E$17:$E$38)-1)))+(AF146-INDEX(Tables!$E$17:$E$38,MAX(1,MIN(IFERROR(MATCH(AF146,Tables!$E$17:$E$38,1),1),ROWS(Tables!$E$17:$E$38)-1))))*(INDEX(Tables!$F$17:$F$38,MAX(1,MIN(IFERROR(MATCH(AF146,Tables!$E$17:$E$38,1),1),ROWS(Tables!$E$17:$E$38)-1))+1)-INDEX(Tables!$F$17:$F$38,MAX(1,MIN(IFERROR(MATCH(AF146,Tables!$E$17:$E$38,1),1),ROWS(Tables!$E$17:$E$38)-1))))/(INDEX(Tables!$E$17:$E$38,MAX(1,MIN(IFERROR(MATCH(AF146,Tables!$E$17:$E$38,1),1),ROWS(Tables!$E$17:$E$38)-1))+1)-INDEX(Tables!$E$17:$E$38,MAX(1,MIN(IFERROR(MATCH(AF146,Tables!$E$17:$E$38,1),1),ROWS(Tables!$E$17:$E$38)-1))))),(INDEX(Tables!$H$17:$H$38,MAX(1,MIN(IFERROR(MATCH(AF146,Tables!$G$17:$G$38,1),1),ROWS(Tables!$G$17:$G$38)-1)))+(AF146-INDEX(Tables!$G$17:$G$38,MAX(1,MIN(IFERROR(MATCH(AF146,Tables!$G$17:$G$38,1),1),ROWS(Tables!$G$17:$G$38)-1))))*(INDEX(Tables!$H$17:$H$38,MAX(1,MIN(IFERROR(MATCH(AF146,Tables!$G$17:$G$38,1),1),ROWS(Tables!$G$17:$G$38)-1))+1)-INDEX(Tables!$H$17:$H$38,MAX(1,MIN(IFERROR(MATCH(AF146,Tables!$G$17:$G$38,1),1),ROWS(Tables!$G$17:$G$38)-1))))/(INDEX(Tables!$G$17:$G$38,MAX(1,MIN(IFERROR(MATCH(AF146,Tables!$G$17:$G$38,1),1),ROWS(Tables!$G$17:$G$38)-1))+1)-INDEX(Tables!$G$17:$G$38,MAX(1,MIN(IFERROR(MATCH(AF146,Tables!$G$17:$G$38,1),1),ROWS(Tables!$G$17:$G$38)-1))))))))</f>
        <v>4396.166666666667</v>
      </c>
      <c r="AL146" s="181">
        <f>IF(AC146&lt;1000,(INDEX(Tables!$B$43:$B$76,MAX(1,MIN(IFERROR(MATCH(AG146,Tables!$A$43:$A$76,1),1),ROWS(Tables!$A$43:$A$76)-1)))+(AG146-INDEX(Tables!$A$43:$A$76,MAX(1,MIN(IFERROR(MATCH(AG146,Tables!$A$43:$A$76,1),1),ROWS(Tables!$A$43:$A$76)-1))))*(INDEX(Tables!$B$43:$B$76,MAX(1,MIN(IFERROR(MATCH(AG146,Tables!$A$43:$A$76,1),1),ROWS(Tables!$A$43:$A$76)-1))+1)-INDEX(Tables!$B$43:$B$76,MAX(1,MIN(IFERROR(MATCH(AG146,Tables!$A$43:$A$76,1),1),ROWS(Tables!$A$43:$A$76)-1))))/(INDEX(Tables!$A$43:$A$76,MAX(1,MIN(IFERROR(MATCH(AG146,Tables!$A$43:$A$76,1),1),ROWS(Tables!$A$43:$A$76)-1))+1)-INDEX(Tables!$A$43:$A$76,MAX(1,MIN(IFERROR(MATCH(AG146,Tables!$A$43:$A$76,1),1),ROWS(Tables!$A$43:$A$76)-1))))),(INDEX(Tables!$D$43:$D$76,MAX(1,MIN(IFERROR(MATCH(AG146,Tables!$C$43:$C$76,1),1),ROWS(Tables!$C$43:$C$76)-1)))+(AG146-INDEX(Tables!$C$43:$C$76,MAX(1,MIN(IFERROR(MATCH(AG146,Tables!$C$43:$C$76,1),1),ROWS(Tables!$C$43:$C$76)-1))))*(INDEX(Tables!$D$43:$D$76,MAX(1,MIN(IFERROR(MATCH(AG146,Tables!$C$43:$C$76,1),1),ROWS(Tables!$C$43:$C$76)-1))+1)-INDEX(Tables!$D$43:$D$76,MAX(1,MIN(IFERROR(MATCH(AG146,Tables!$C$43:$C$76,1),1),ROWS(Tables!$C$43:$C$76)-1))))/(INDEX(Tables!$C$43:$C$76,MAX(1,MIN(IFERROR(MATCH(AG146,Tables!$C$43:$C$76,1),1),ROWS(Tables!$C$43:$C$76)-1))+1)-INDEX(Tables!$C$43:$C$76,MAX(1,MIN(IFERROR(MATCH(AG146,Tables!$C$43:$C$76,1),1),ROWS(Tables!$C$43:$C$76)-1))))))</f>
        <v>0.9366923076923076</v>
      </c>
      <c r="AM146" s="181">
        <f>(INDEX(Tables!$B$80:$B$87,MAX(1,MIN(IFERROR(MATCH(AH146,Tables!$A$80:$A$87,1),1),ROWS(Tables!$A$80:$A$87)-1)))+(AH146-INDEX(Tables!$A$80:$A$87,MAX(1,MIN(IFERROR(MATCH(AH146,Tables!$A$80:$A$87,1),1),ROWS(Tables!$A$80:$A$87)-1))))*(INDEX(Tables!$B$80:$B$87,MAX(1,MIN(IFERROR(MATCH(AH146,Tables!$A$80:$A$87,1),1),ROWS(Tables!$A$80:$A$87)-1))+1)-INDEX(Tables!$B$80:$B$87,MAX(1,MIN(IFERROR(MATCH(AH146,Tables!$A$80:$A$87,1),1),ROWS(Tables!$A$80:$A$87)-1))))/(INDEX(Tables!$A$80:$A$87,MAX(1,MIN(IFERROR(MATCH(AH146,Tables!$A$80:$A$87,1),1),ROWS(Tables!$A$80:$A$87)-1))+1)-INDEX(Tables!$A$80:$A$87,MAX(1,MIN(IFERROR(MATCH(AH146,Tables!$A$80:$A$87,1),1),ROWS(Tables!$A$80:$A$87)-1)))))</f>
        <v>0.96739999999999982</v>
      </c>
      <c r="AN146" s="181">
        <f t="shared" si="135"/>
        <v>6639.3556844999985</v>
      </c>
      <c r="AO146" s="181">
        <f>(INDEX(Tables!$B$91:$B$94,MAX(1,MIN(IFERROR(MATCH(P146,Tables!$A$91:$A$94,1),1),ROWS(Tables!$A$91:$A$94)-1)))+(P146-INDEX(Tables!$A$91:$A$94,MAX(1,MIN(IFERROR(MATCH(P146,Tables!$A$91:$A$94,1),1),ROWS(Tables!$A$91:$A$94)-1))))*(INDEX(Tables!$B$91:$B$94,MAX(1,MIN(IFERROR(MATCH(P146,Tables!$A$91:$A$94,1),1),ROWS(Tables!$A$91:$A$94)-1))+1)-INDEX(Tables!$B$91:$B$94,MAX(1,MIN(IFERROR(MATCH(P146,Tables!$A$91:$A$94,1),1),ROWS(Tables!$A$91:$A$94)-1))))/(INDEX(Tables!$A$91:$A$94,MAX(1,MIN(IFERROR(MATCH(P146,Tables!$A$91:$A$94,1),1),ROWS(Tables!$A$91:$A$94)-1))+1)-INDEX(Tables!$A$91:$A$94,MAX(1,MIN(IFERROR(MATCH(P146,Tables!$A$91:$A$94,1),1),ROWS(Tables!$A$91:$A$94)-1)))))</f>
        <v>1.3542682926829268</v>
      </c>
      <c r="AP146" s="181">
        <f>IF(AD146=5000,(INDEX(Tables!$B$99:$B$118,MAX(1,MIN(IFERROR(MATCH(AF146,Tables!$A$99:$A$118,1),1),ROWS(Tables!$A$99:$A$118)-1)))+(AF146-INDEX(Tables!$A$99:$A$118,MAX(1,MIN(IFERROR(MATCH(AF146,Tables!$A$99:$A$118,1),1),ROWS(Tables!$A$99:$A$118)-1))))*(INDEX(Tables!$B$99:$B$118,MAX(1,MIN(IFERROR(MATCH(AF146,Tables!$A$99:$A$118,1),1),ROWS(Tables!$A$99:$A$118)-1))+1)-INDEX(Tables!$B$99:$B$118,MAX(1,MIN(IFERROR(MATCH(AF146,Tables!$A$99:$A$118,1),1),ROWS(Tables!$A$99:$A$118)-1))))/(INDEX(Tables!$A$99:$A$118,MAX(1,MIN(IFERROR(MATCH(AF146,Tables!$A$99:$A$118,1),1),ROWS(Tables!$A$99:$A$118)-1))+1)-INDEX(Tables!$A$99:$A$118,MAX(1,MIN(IFERROR(MATCH(AF146,Tables!$A$99:$A$118,1),1),ROWS(Tables!$A$99:$A$118)-1))))),IF(AD146=10000,(INDEX(Tables!$D$99:$D$118,MAX(1,MIN(IFERROR(MATCH(AF146,Tables!$C$99:$C$118,1),1),ROWS(Tables!$C$99:$C$118)-1)))+(AF146-INDEX(Tables!$C$99:$C$118,MAX(1,MIN(IFERROR(MATCH(AF146,Tables!$C$99:$C$118,1),1),ROWS(Tables!$C$99:$C$118)-1))))*(INDEX(Tables!$D$99:$D$118,MAX(1,MIN(IFERROR(MATCH(AF146,Tables!$C$99:$C$118,1),1),ROWS(Tables!$C$99:$C$118)-1))+1)-INDEX(Tables!$D$99:$D$118,MAX(1,MIN(IFERROR(MATCH(AF146,Tables!$C$99:$C$118,1),1),ROWS(Tables!$C$99:$C$118)-1))))/(INDEX(Tables!$C$99:$C$118,MAX(1,MIN(IFERROR(MATCH(AF146,Tables!$C$99:$C$118,1),1),ROWS(Tables!$C$99:$C$118)-1))+1)-INDEX(Tables!$C$99:$C$118,MAX(1,MIN(IFERROR(MATCH(AF146,Tables!$C$99:$C$118,1),1),ROWS(Tables!$C$99:$C$118)-1))))),(INDEX(Tables!$F$99:$F$118,MAX(1,MIN(IFERROR(MATCH(AF146,Tables!$E$99:$E$118,1),1),ROWS(Tables!$E$99:$E$118)-1)))+(AF146-INDEX(Tables!$E$99:$E$118,MAX(1,MIN(IFERROR(MATCH(AF146,Tables!$E$99:$E$118,1),1),ROWS(Tables!$E$99:$E$118)-1))))*(INDEX(Tables!$F$99:$F$118,MAX(1,MIN(IFERROR(MATCH(AF146,Tables!$E$99:$E$118,1),1),ROWS(Tables!$E$99:$E$118)-1))+1)-INDEX(Tables!$F$99:$F$118,MAX(1,MIN(IFERROR(MATCH(AF146,Tables!$E$99:$E$118,1),1),ROWS(Tables!$E$99:$E$118)-1))))/(INDEX(Tables!$E$99:$E$118,MAX(1,MIN(IFERROR(MATCH(AF146,Tables!$E$99:$E$118,1),1),ROWS(Tables!$E$99:$E$118)-1))+1)-INDEX(Tables!$E$99:$E$118,MAX(1,MIN(IFERROR(MATCH(AF146,Tables!$E$99:$E$118,1),1),ROWS(Tables!$E$99:$E$118)-1)))))))</f>
        <v>12.907736434108527</v>
      </c>
      <c r="AQ146" s="181">
        <f>IF(P146&lt;6,(INDEX(Tables!$B$123:$B$138,MAX(1,MIN(IFERROR(MATCH(U146,Tables!$A$123:$A$138,1),1),ROWS(Tables!$A$123:$A$138)-1)))+(U146-INDEX(Tables!$A$123:$A$138,MAX(1,MIN(IFERROR(MATCH(U146,Tables!$A$123:$A$138,1),1),ROWS(Tables!$A$123:$A$138)-1))))*(INDEX(Tables!$B$123:$B$138,MAX(1,MIN(IFERROR(MATCH(U146,Tables!$A$123:$A$138,1),1),ROWS(Tables!$A$123:$A$138)-1))+1)-INDEX(Tables!$B$123:$B$138,MAX(1,MIN(IFERROR(MATCH(U146,Tables!$A$123:$A$138,1),1),ROWS(Tables!$A$123:$A$138)-1))))/(INDEX(Tables!$A$123:$A$138,MAX(1,MIN(IFERROR(MATCH(U146,Tables!$A$123:$A$138,1),1),ROWS(Tables!$A$123:$A$138)-1))+1)-INDEX(Tables!$A$123:$A$138,MAX(1,MIN(IFERROR(MATCH(U146,Tables!$A$123:$A$138,1),1),ROWS(Tables!$A$123:$A$138)-1))))),IF(P146&lt;8,(INDEX(Tables!$D$123:$D$138,MAX(1,MIN(IFERROR(MATCH(U146,Tables!$C$123:$C$138,1),1),ROWS(Tables!$C$123:$C$138)-1)))+(U146-INDEX(Tables!$C$123:$C$138,MAX(1,MIN(IFERROR(MATCH(U146,Tables!$C$123:$C$138,1),1),ROWS(Tables!$C$123:$C$138)-1))))*(INDEX(Tables!$D$123:$D$138,MAX(1,MIN(IFERROR(MATCH(U146,Tables!$C$123:$C$138,1),1),ROWS(Tables!$C$123:$C$138)-1))+1)-INDEX(Tables!$D$123:$D$138,MAX(1,MIN(IFERROR(MATCH(U146,Tables!$C$123:$C$138,1),1),ROWS(Tables!$C$123:$C$138)-1))))/(INDEX(Tables!$C$123:$C$138,MAX(1,MIN(IFERROR(MATCH(U146,Tables!$C$123:$C$138,1),1),ROWS(Tables!$C$123:$C$138)-1))+1)-INDEX(Tables!$C$123:$C$138,MAX(1,MIN(IFERROR(MATCH(U146,Tables!$C$123:$C$138,1),1),ROWS(Tables!$C$123:$C$138)-1))))),IF(P146&lt;10,(INDEX(Tables!$F$123:$F$138,MAX(1,MIN(IFERROR(MATCH(U146,Tables!$E$123:$E$138,1),1),ROWS(Tables!$E$123:$E$138)-1)))+(U146-INDEX(Tables!$E$123:$E$138,MAX(1,MIN(IFERROR(MATCH(U146,Tables!$E$123:$E$138,1),1),ROWS(Tables!$E$123:$E$138)-1))))*(INDEX(Tables!$F$123:$F$138,MAX(1,MIN(IFERROR(MATCH(U146,Tables!$E$123:$E$138,1),1),ROWS(Tables!$E$123:$E$138)-1))+1)-INDEX(Tables!$F$123:$F$138,MAX(1,MIN(IFERROR(MATCH(U146,Tables!$E$123:$E$138,1),1),ROWS(Tables!$E$123:$E$138)-1))))/(INDEX(Tables!$E$123:$E$138,MAX(1,MIN(IFERROR(MATCH(U146,Tables!$E$123:$E$138,1),1),ROWS(Tables!$E$123:$E$138)-1))+1)-INDEX(Tables!$E$123:$E$138,MAX(1,MIN(IFERROR(MATCH(U146,Tables!$E$123:$E$138,1),1),ROWS(Tables!$E$123:$E$138)-1))))),(INDEX(Tables!$H$123:$H$138,MAX(1,MIN(IFERROR(MATCH(U146,Tables!$G$123:$G$138,1),1),ROWS(Tables!$G$123:$G$138)-1)))+(U146-INDEX(Tables!$G$123:$G$138,MAX(1,MIN(IFERROR(MATCH(U146,Tables!$G$123:$G$138,1),1),ROWS(Tables!$G$123:$G$138)-1))))*(INDEX(Tables!$H$123:$H$138,MAX(1,MIN(IFERROR(MATCH(U146,Tables!$G$123:$G$138,1),1),ROWS(Tables!$G$123:$G$138)-1))+1)-INDEX(Tables!$H$123:$H$138,MAX(1,MIN(IFERROR(MATCH(U146,Tables!$G$123:$G$138,1),1),ROWS(Tables!$G$123:$G$138)-1))))/(INDEX(Tables!$G$123:$G$138,MAX(1,MIN(IFERROR(MATCH(U146,Tables!$G$123:$G$138,1),1),ROWS(Tables!$G$123:$G$138)-1))+1)-INDEX(Tables!$G$123:$G$138,MAX(1,MIN(IFERROR(MATCH(U146,Tables!$G$123:$G$138,1),1),ROWS(Tables!$G$123:$G$138)-1))))))))</f>
        <v>0.57750000000000001</v>
      </c>
      <c r="AR146" s="181">
        <f>IF(OR(P146&gt;=4,U146&gt;12),VLOOKUP(R146&amp;" "&amp;S146,Tables!$D$143:$F$148,2,FALSE),VLOOKUP(R146&amp;" "&amp;S146,Tables!$A$143:$C$148,2,FALSE))</f>
        <v>1.1000000000000001</v>
      </c>
      <c r="AS146" s="181">
        <f>IF(OR(P146&gt;=4,U146&gt;12),VLOOKUP(R146&amp;" "&amp;S146,Tables!$D$143:$F$148,3,FALSE),VLOOKUP(R146&amp;" "&amp;S146,Tables!$A$143:$C$148,3,FALSE))</f>
        <v>1</v>
      </c>
      <c r="AT146" s="181">
        <f t="shared" si="136"/>
        <v>771.14665838641133</v>
      </c>
      <c r="AU146" s="181">
        <f>IF(AD146=5000,(INDEX(Tables!$B$244:$B$263,MAX(1,MIN(IFERROR(MATCH(AF146,Tables!$A$244:$A$263,1),1),ROWS(Tables!$A$244:$A$263)-1)))+(AF146-INDEX(Tables!$A$244:$A$263,MAX(1,MIN(IFERROR(MATCH(AF146,Tables!$A$244:$A$263,1),1),ROWS(Tables!$A$244:$A$263)-1))))*(INDEX(Tables!$B$244:$B$263,MAX(1,MIN(IFERROR(MATCH(AF146,Tables!$A$244:$A$263,1),1),ROWS(Tables!$A$244:$A$263)-1))+1)-INDEX(Tables!$B$244:$B$263,MAX(1,MIN(IFERROR(MATCH(AF146,Tables!$A$244:$A$263,1),1),ROWS(Tables!$A$244:$A$263)-1))))/(INDEX(Tables!$A$244:$A$263,MAX(1,MIN(IFERROR(MATCH(AF146,Tables!$A$244:$A$263,1),1),ROWS(Tables!$A$244:$A$263)-1))+1)-INDEX(Tables!$A$244:$A$263,MAX(1,MIN(IFERROR(MATCH(AF146,Tables!$A$244:$A$263,1),1),ROWS(Tables!$A$244:$A$263)-1))))),IF(AD146=10000,(INDEX(Tables!$D$244:$D$263,MAX(1,MIN(IFERROR(MATCH(AF146,Tables!$C$244:$C$263,1),1),ROWS(Tables!$C$244:$C$263)-1)))+(AF146-INDEX(Tables!$C$244:$C$263,MAX(1,MIN(IFERROR(MATCH(AF146,Tables!$C$244:$C$263,1),1),ROWS(Tables!$C$244:$C$263)-1))))*(INDEX(Tables!$D$244:$D$263,MAX(1,MIN(IFERROR(MATCH(AF146,Tables!$C$244:$C$263,1),1),ROWS(Tables!$C$244:$C$263)-1))+1)-INDEX(Tables!$D$244:$D$263,MAX(1,MIN(IFERROR(MATCH(AF146,Tables!$C$244:$C$263,1),1),ROWS(Tables!$C$244:$C$263)-1))))/(INDEX(Tables!$C$244:$C$263,MAX(1,MIN(IFERROR(MATCH(AF146,Tables!$C$244:$C$263,1),1),ROWS(Tables!$C$244:$C$263)-1))+1)-INDEX(Tables!$C$244:$C$263,MAX(1,MIN(IFERROR(MATCH(AF146,Tables!$C$244:$C$263,1),1),ROWS(Tables!$C$244:$C$263)-1))))),(INDEX(Tables!$F$244:$F$263,MAX(1,MIN(IFERROR(MATCH(AF146,Tables!$E$244:$E$263,1),1),ROWS(Tables!$E$244:$E$263)-1)))+(AF146-INDEX(Tables!$E$244:$E$263,MAX(1,MIN(IFERROR(MATCH(AF146,Tables!$E$244:$E$263,1),1),ROWS(Tables!$E$244:$E$263)-1))))*(INDEX(Tables!$F$244:$F$263,MAX(1,MIN(IFERROR(MATCH(AF146,Tables!$E$244:$E$263,1),1),ROWS(Tables!$E$244:$E$263)-1))+1)-INDEX(Tables!$F$244:$F$263,MAX(1,MIN(IFERROR(MATCH(AF146,Tables!$E$244:$E$263,1),1),ROWS(Tables!$E$244:$E$263)-1))))/(INDEX(Tables!$E$244:$E$263,MAX(1,MIN(IFERROR(MATCH(AF146,Tables!$E$244:$E$263,1),1),ROWS(Tables!$E$244:$E$263)-1))+1)-INDEX(Tables!$E$244:$E$263,MAX(1,MIN(IFERROR(MATCH(AF146,Tables!$E$244:$E$263,1),1),ROWS(Tables!$E$244:$E$263)-1)))))))</f>
        <v>9.7669999999999995</v>
      </c>
      <c r="AV146" s="181">
        <f>IF(P146&lt;6,(INDEX(Tables!$B$260:$B$274,MAX(1,MIN(IFERROR(MATCH(U146,Tables!$A$260:$A$274,1),1),ROWS(Tables!$A$260:$A$274)-1)))+(U146-INDEX(Tables!$A$260:$A$274,MAX(1,MIN(IFERROR(MATCH(U146,Tables!$A$260:$A$274,1),1),ROWS(Tables!$A$260:$A$274)-1))))*(INDEX(Tables!$B$260:$B$274,MAX(1,MIN(IFERROR(MATCH(U146,Tables!$A$260:$A$274,1),1),ROWS(Tables!$A$260:$A$274)-1))+1)-INDEX(Tables!$B$260:$B$274,MAX(1,MIN(IFERROR(MATCH(U146,Tables!$A$260:$A$274,1),1),ROWS(Tables!$A$260:$A$274)-1))))/(INDEX(Tables!$A$260:$A$274,MAX(1,MIN(IFERROR(MATCH(U146,Tables!$A$260:$A$274,1),1),ROWS(Tables!$A$260:$A$274)-1))+1)-INDEX(Tables!$A$260:$A$274,MAX(1,MIN(IFERROR(MATCH(U146,Tables!$A$260:$A$274,1),1),ROWS(Tables!$A$260:$A$274)-1))))),IF(P146&lt;8,(INDEX(Tables!$D$260:$D$274,MAX(1,MIN(IFERROR(MATCH(U146,Tables!$C$260:$C$274,1),1),ROWS(Tables!$C$260:$C$274)-1)))+(U146-INDEX(Tables!$C$260:$C$274,MAX(1,MIN(IFERROR(MATCH(U146,Tables!$C$260:$C$274,1),1),ROWS(Tables!$C$260:$C$274)-1))))*(INDEX(Tables!$D$260:$D$274,MAX(1,MIN(IFERROR(MATCH(U146,Tables!$C$260:$C$274,1),1),ROWS(Tables!$C$260:$C$274)-1))+1)-INDEX(Tables!$D$260:$D$274,MAX(1,MIN(IFERROR(MATCH(U146,Tables!$C$260:$C$274,1),1),ROWS(Tables!$C$260:$C$274)-1))))/(INDEX(Tables!$C$260:$C$274,MAX(1,MIN(IFERROR(MATCH(U146,Tables!$C$260:$C$274,1),1),ROWS(Tables!$C$260:$C$274)-1))+1)-INDEX(Tables!$C$260:$C$274,MAX(1,MIN(IFERROR(MATCH(U146,Tables!$C$260:$C$274,1),1),ROWS(Tables!$C$260:$C$274)-1))))),IF(P146&lt;10,(INDEX(Tables!$F$260:$F$274,MAX(1,MIN(IFERROR(MATCH(U146,Tables!$E$260:$E$274,1),1),ROWS(Tables!$E$260:$E$274)-1)))+(U146-INDEX(Tables!$E$260:$E$274,MAX(1,MIN(IFERROR(MATCH(U146,Tables!$E$260:$E$274,1),1),ROWS(Tables!$E$260:$E$274)-1))))*(INDEX(Tables!$F$260:$F$274,MAX(1,MIN(IFERROR(MATCH(U146,Tables!$E$260:$E$274,1),1),ROWS(Tables!$E$260:$E$274)-1))+1)-INDEX(Tables!$F$260:$F$274,MAX(1,MIN(IFERROR(MATCH(U146,Tables!$E$260:$E$274,1),1),ROWS(Tables!$E$260:$E$274)-1))))/(INDEX(Tables!$E$260:$E$274,MAX(1,MIN(IFERROR(MATCH(U146,Tables!$E$260:$E$274,1),1),ROWS(Tables!$E$260:$E$274)-1))+1)-INDEX(Tables!$E$260:$E$274,MAX(1,MIN(IFERROR(MATCH(U146,Tables!$E$260:$E$274,1),1),ROWS(Tables!$E$260:$E$274)-1))))),(INDEX(Tables!$H$260:$H$274,MAX(1,MIN(IFERROR(MATCH(U146,Tables!$G$260:$G$274,1),1),ROWS(Tables!$G$260:$G$274)-1)))+(U146-INDEX(Tables!$G$260:$G$274,MAX(1,MIN(IFERROR(MATCH(U146,Tables!$G$260:$G$274,1),1),ROWS(Tables!$G$260:$G$274)-1))))*(INDEX(Tables!$H$260:$H$274,MAX(1,MIN(IFERROR(MATCH(U146,Tables!$G$260:$G$274,1),1),ROWS(Tables!$G$260:$G$274)-1))+1)-INDEX(Tables!$H$260:$H$274,MAX(1,MIN(IFERROR(MATCH(U146,Tables!$G$260:$G$274,1),1),ROWS(Tables!$G$260:$G$274)-1))))/(INDEX(Tables!$G$260:$G$274,MAX(1,MIN(IFERROR(MATCH(U146,Tables!$G$260:$G$274,1),1),ROWS(Tables!$G$260:$G$274)-1))+1)-INDEX(Tables!$G$260:$G$274,MAX(1,MIN(IFERROR(MATCH(U146,Tables!$G$260:$G$274,1),1),ROWS(Tables!$G$260:$G$274)-1))))))))</f>
        <v>0.64533333333333331</v>
      </c>
      <c r="AW146" s="181">
        <f t="shared" si="137"/>
        <v>652.04893443992773</v>
      </c>
      <c r="AX146" s="181">
        <f t="shared" si="138"/>
        <v>-699.67500000000007</v>
      </c>
      <c r="AY146" s="181">
        <f t="shared" si="139"/>
        <v>6710.8273428864095</v>
      </c>
      <c r="AZ146" s="181">
        <f t="shared" si="140"/>
        <v>2433.9531397899273</v>
      </c>
      <c r="BA146" s="181">
        <f t="shared" si="141"/>
        <v>14.73</v>
      </c>
      <c r="BB146" s="181">
        <f t="shared" si="142"/>
        <v>5872.9044422082015</v>
      </c>
      <c r="BC146" s="181">
        <f t="shared" si="143"/>
        <v>46800</v>
      </c>
      <c r="BD146" s="181">
        <f>VLOOKUP(V146&amp;" "&amp;J146,Tables!$A$152:$E$239,4,FALSE)</f>
        <v>12000</v>
      </c>
      <c r="BE146" s="181">
        <f>VLOOKUP(V146&amp;" "&amp;J146,Tables!$A$152:$E$239,5,FALSE)</f>
        <v>23000</v>
      </c>
      <c r="BF146" s="181">
        <f t="shared" si="144"/>
        <v>8640</v>
      </c>
      <c r="BG146" s="181">
        <f t="shared" si="145"/>
        <v>16560</v>
      </c>
      <c r="BH146" s="181">
        <f t="shared" si="146"/>
        <v>-707.04</v>
      </c>
      <c r="BI146" s="181">
        <f t="shared" si="147"/>
        <v>46800</v>
      </c>
      <c r="BJ146" s="181">
        <f t="shared" si="148"/>
        <v>5872.9044422082015</v>
      </c>
      <c r="BK146" s="181">
        <f t="shared" si="149"/>
        <v>46800</v>
      </c>
      <c r="BL146" s="181">
        <f t="shared" si="150"/>
        <v>652.04893443992773</v>
      </c>
      <c r="BM146" s="181">
        <f t="shared" si="151"/>
        <v>8640</v>
      </c>
      <c r="BN146" s="181">
        <f t="shared" si="152"/>
        <v>771.14665838641133</v>
      </c>
      <c r="BO146" s="181">
        <f t="shared" si="153"/>
        <v>16560</v>
      </c>
      <c r="BP146" t="str">
        <f t="shared" si="154"/>
        <v>Pass</v>
      </c>
      <c r="BQ146" t="str">
        <f t="shared" si="155"/>
        <v>Pass</v>
      </c>
      <c r="BR146" t="str">
        <f t="shared" si="156"/>
        <v>Pass</v>
      </c>
      <c r="BS146" t="str">
        <f t="shared" si="157"/>
        <v>Pass</v>
      </c>
      <c r="BT146" t="str">
        <f t="shared" si="158"/>
        <v>Pass</v>
      </c>
      <c r="BU146" t="str">
        <f t="shared" si="159"/>
        <v>Effective Stress</v>
      </c>
    </row>
    <row r="147" spans="1:73">
      <c r="A147" t="s">
        <v>739</v>
      </c>
      <c r="B147" s="181">
        <v>145</v>
      </c>
      <c r="C147" t="s">
        <v>594</v>
      </c>
      <c r="D147" s="181">
        <v>36</v>
      </c>
      <c r="E147" s="181">
        <v>0.312</v>
      </c>
      <c r="F147" t="s">
        <v>117</v>
      </c>
      <c r="G147" t="s">
        <v>119</v>
      </c>
      <c r="H147" t="s">
        <v>122</v>
      </c>
      <c r="I147" s="181">
        <v>1</v>
      </c>
      <c r="J147" t="s">
        <v>126</v>
      </c>
      <c r="K147" t="s">
        <v>129</v>
      </c>
      <c r="L147" s="181">
        <v>70</v>
      </c>
      <c r="M147" s="181">
        <v>-14.73</v>
      </c>
      <c r="N147" t="s">
        <v>392</v>
      </c>
      <c r="O147" s="181">
        <v>120</v>
      </c>
      <c r="P147" s="181">
        <v>14</v>
      </c>
      <c r="Q147" s="181">
        <v>38</v>
      </c>
      <c r="R147" t="s">
        <v>417</v>
      </c>
      <c r="S147" t="s">
        <v>156</v>
      </c>
      <c r="T147" s="181">
        <v>70</v>
      </c>
      <c r="U147" s="181">
        <f>HLOOKUP(D147,'Highway Loading'!$C$155:$AD$156,2,FALSE)</f>
        <v>36</v>
      </c>
      <c r="V147" s="181">
        <f>IF(ISBLANK(G147),"",INDEX('Highway Loading'!$C$216:$AG$216,1,MATCH(G147,'Highway Loading'!$C$215:$AG$215,0)))</f>
        <v>65000</v>
      </c>
      <c r="W147" s="181">
        <f>INDEX('Highway Loading'!$I$245:$L$253,MATCH(H147,'Highway Loading'!$H$245:$H$253,0),MATCH(I147,'Highway Loading'!$I$244:$L$244,0))</f>
        <v>0.72</v>
      </c>
      <c r="X147" s="181">
        <f t="shared" si="128"/>
        <v>1</v>
      </c>
      <c r="Y147" s="181">
        <f>VLOOKUP(K147,'Highway Loading'!$B$283:$E$292,2,FALSE)</f>
        <v>29000000</v>
      </c>
      <c r="Z147" s="181">
        <f>VLOOKUP(K147,'Highway Loading'!$B$283:$E$292,3,FALSE)</f>
        <v>0.3</v>
      </c>
      <c r="AA147" s="181">
        <f>VLOOKUP(K147,'Highway Loading'!$B$283:$E$292,4,FALSE)</f>
        <v>6.4999999999999996E-6</v>
      </c>
      <c r="AB147" s="181">
        <f t="shared" si="129"/>
        <v>1</v>
      </c>
      <c r="AC147" s="181">
        <f>VLOOKUP(N147,'Highway Loading'!$B$256:$D$261,2,FALSE)</f>
        <v>2000</v>
      </c>
      <c r="AD147" s="181">
        <f>VLOOKUP(N147,'Highway Loading'!$B$256:$D$261,3,FALSE)</f>
        <v>20000</v>
      </c>
      <c r="AE147" s="181">
        <f>VLOOKUP(S147,'Highway Loading'!$B$340:$C$341,2,FALSE)</f>
        <v>10000</v>
      </c>
      <c r="AF147" s="181">
        <f t="shared" si="130"/>
        <v>8.6666666666666663E-3</v>
      </c>
      <c r="AG147" s="181">
        <f t="shared" si="131"/>
        <v>4.4210526315789478</v>
      </c>
      <c r="AH147" s="181">
        <f t="shared" si="132"/>
        <v>1.0555555555555556</v>
      </c>
      <c r="AI147" s="181">
        <f t="shared" si="133"/>
        <v>-849.80769230769226</v>
      </c>
      <c r="AJ147" s="181">
        <f t="shared" si="134"/>
        <v>46800</v>
      </c>
      <c r="AK147" s="181">
        <f>IF(AC147=200,(INDEX(Tables!$B$17:$B$38,MAX(1,MIN(IFERROR(MATCH(AF147,Tables!$A$17:$A$38,1),1),ROWS(Tables!$A$17:$A$38)-1)))+(AF147-INDEX(Tables!$A$17:$A$38,MAX(1,MIN(IFERROR(MATCH(AF147,Tables!$A$17:$A$38,1),1),ROWS(Tables!$A$17:$A$38)-1))))*(INDEX(Tables!$B$17:$B$38,MAX(1,MIN(IFERROR(MATCH(AF147,Tables!$A$17:$A$38,1),1),ROWS(Tables!$A$17:$A$38)-1))+1)-INDEX(Tables!$B$17:$B$38,MAX(1,MIN(IFERROR(MATCH(AF147,Tables!$A$17:$A$38,1),1),ROWS(Tables!$A$17:$A$38)-1))))/(INDEX(Tables!$A$17:$A$38,MAX(1,MIN(IFERROR(MATCH(AF147,Tables!$A$17:$A$38,1),1),ROWS(Tables!$A$17:$A$38)-1))+1)-INDEX(Tables!$A$17:$A$38,MAX(1,MIN(IFERROR(MATCH(AF147,Tables!$A$17:$A$38,1),1),ROWS(Tables!$A$17:$A$38)-1))))),IF(AC147=500,(INDEX(Tables!$D$17:$D$38,MAX(1,MIN(IFERROR(MATCH(AF147,Tables!$C$17:$C$38,1),1),ROWS(Tables!$C$17:$C$38)-1)))+(AF147-INDEX(Tables!$C$17:$C$38,MAX(1,MIN(IFERROR(MATCH(AF147,Tables!$C$17:$C$38,1),1),ROWS(Tables!$C$17:$C$38)-1))))*(INDEX(Tables!$D$17:$D$38,MAX(1,MIN(IFERROR(MATCH(AF147,Tables!$C$17:$C$38,1),1),ROWS(Tables!$C$17:$C$38)-1))+1)-INDEX(Tables!$D$17:$D$38,MAX(1,MIN(IFERROR(MATCH(AF147,Tables!$C$17:$C$38,1),1),ROWS(Tables!$C$17:$C$38)-1))))/(INDEX(Tables!$C$17:$C$38,MAX(1,MIN(IFERROR(MATCH(AF147,Tables!$C$17:$C$38,1),1),ROWS(Tables!$C$17:$C$38)-1))+1)-INDEX(Tables!$C$17:$C$38,MAX(1,MIN(IFERROR(MATCH(AF147,Tables!$C$17:$C$38,1),1),ROWS(Tables!$C$17:$C$38)-1))))),IF(AC147=1000,(INDEX(Tables!$F$17:$F$38,MAX(1,MIN(IFERROR(MATCH(AF147,Tables!$E$17:$E$38,1),1),ROWS(Tables!$E$17:$E$38)-1)))+(AF147-INDEX(Tables!$E$17:$E$38,MAX(1,MIN(IFERROR(MATCH(AF147,Tables!$E$17:$E$38,1),1),ROWS(Tables!$E$17:$E$38)-1))))*(INDEX(Tables!$F$17:$F$38,MAX(1,MIN(IFERROR(MATCH(AF147,Tables!$E$17:$E$38,1),1),ROWS(Tables!$E$17:$E$38)-1))+1)-INDEX(Tables!$F$17:$F$38,MAX(1,MIN(IFERROR(MATCH(AF147,Tables!$E$17:$E$38,1),1),ROWS(Tables!$E$17:$E$38)-1))))/(INDEX(Tables!$E$17:$E$38,MAX(1,MIN(IFERROR(MATCH(AF147,Tables!$E$17:$E$38,1),1),ROWS(Tables!$E$17:$E$38)-1))+1)-INDEX(Tables!$E$17:$E$38,MAX(1,MIN(IFERROR(MATCH(AF147,Tables!$E$17:$E$38,1),1),ROWS(Tables!$E$17:$E$38)-1))))),(INDEX(Tables!$H$17:$H$38,MAX(1,MIN(IFERROR(MATCH(AF147,Tables!$G$17:$G$38,1),1),ROWS(Tables!$G$17:$G$38)-1)))+(AF147-INDEX(Tables!$G$17:$G$38,MAX(1,MIN(IFERROR(MATCH(AF147,Tables!$G$17:$G$38,1),1),ROWS(Tables!$G$17:$G$38)-1))))*(INDEX(Tables!$H$17:$H$38,MAX(1,MIN(IFERROR(MATCH(AF147,Tables!$G$17:$G$38,1),1),ROWS(Tables!$G$17:$G$38)-1))+1)-INDEX(Tables!$H$17:$H$38,MAX(1,MIN(IFERROR(MATCH(AF147,Tables!$G$17:$G$38,1),1),ROWS(Tables!$G$17:$G$38)-1))))/(INDEX(Tables!$G$17:$G$38,MAX(1,MIN(IFERROR(MATCH(AF147,Tables!$G$17:$G$38,1),1),ROWS(Tables!$G$17:$G$38)-1))+1)-INDEX(Tables!$G$17:$G$38,MAX(1,MIN(IFERROR(MATCH(AF147,Tables!$G$17:$G$38,1),1),ROWS(Tables!$G$17:$G$38)-1))))))))</f>
        <v>3662.0952380952385</v>
      </c>
      <c r="AL147" s="181">
        <f>IF(AC147&lt;1000,(INDEX(Tables!$B$43:$B$76,MAX(1,MIN(IFERROR(MATCH(AG147,Tables!$A$43:$A$76,1),1),ROWS(Tables!$A$43:$A$76)-1)))+(AG147-INDEX(Tables!$A$43:$A$76,MAX(1,MIN(IFERROR(MATCH(AG147,Tables!$A$43:$A$76,1),1),ROWS(Tables!$A$43:$A$76)-1))))*(INDEX(Tables!$B$43:$B$76,MAX(1,MIN(IFERROR(MATCH(AG147,Tables!$A$43:$A$76,1),1),ROWS(Tables!$A$43:$A$76)-1))+1)-INDEX(Tables!$B$43:$B$76,MAX(1,MIN(IFERROR(MATCH(AG147,Tables!$A$43:$A$76,1),1),ROWS(Tables!$A$43:$A$76)-1))))/(INDEX(Tables!$A$43:$A$76,MAX(1,MIN(IFERROR(MATCH(AG147,Tables!$A$43:$A$76,1),1),ROWS(Tables!$A$43:$A$76)-1))+1)-INDEX(Tables!$A$43:$A$76,MAX(1,MIN(IFERROR(MATCH(AG147,Tables!$A$43:$A$76,1),1),ROWS(Tables!$A$43:$A$76)-1))))),(INDEX(Tables!$D$43:$D$76,MAX(1,MIN(IFERROR(MATCH(AG147,Tables!$C$43:$C$76,1),1),ROWS(Tables!$C$43:$C$76)-1)))+(AG147-INDEX(Tables!$C$43:$C$76,MAX(1,MIN(IFERROR(MATCH(AG147,Tables!$C$43:$C$76,1),1),ROWS(Tables!$C$43:$C$76)-1))))*(INDEX(Tables!$D$43:$D$76,MAX(1,MIN(IFERROR(MATCH(AG147,Tables!$C$43:$C$76,1),1),ROWS(Tables!$C$43:$C$76)-1))+1)-INDEX(Tables!$D$43:$D$76,MAX(1,MIN(IFERROR(MATCH(AG147,Tables!$C$43:$C$76,1),1),ROWS(Tables!$C$43:$C$76)-1))))/(INDEX(Tables!$C$43:$C$76,MAX(1,MIN(IFERROR(MATCH(AG147,Tables!$C$43:$C$76,1),1),ROWS(Tables!$C$43:$C$76)-1))+1)-INDEX(Tables!$C$43:$C$76,MAX(1,MIN(IFERROR(MATCH(AG147,Tables!$C$43:$C$76,1),1),ROWS(Tables!$C$43:$C$76)-1))))))</f>
        <v>0.92289473684210532</v>
      </c>
      <c r="AM147" s="181">
        <f>(INDEX(Tables!$B$80:$B$87,MAX(1,MIN(IFERROR(MATCH(AH147,Tables!$A$80:$A$87,1),1),ROWS(Tables!$A$80:$A$87)-1)))+(AH147-INDEX(Tables!$A$80:$A$87,MAX(1,MIN(IFERROR(MATCH(AH147,Tables!$A$80:$A$87,1),1),ROWS(Tables!$A$80:$A$87)-1))))*(INDEX(Tables!$B$80:$B$87,MAX(1,MIN(IFERROR(MATCH(AH147,Tables!$A$80:$A$87,1),1),ROWS(Tables!$A$80:$A$87)-1))+1)-INDEX(Tables!$B$80:$B$87,MAX(1,MIN(IFERROR(MATCH(AH147,Tables!$A$80:$A$87,1),1),ROWS(Tables!$A$80:$A$87)-1))))/(INDEX(Tables!$A$80:$A$87,MAX(1,MIN(IFERROR(MATCH(AH147,Tables!$A$80:$A$87,1),1),ROWS(Tables!$A$80:$A$87)-1))+1)-INDEX(Tables!$A$80:$A$87,MAX(1,MIN(IFERROR(MATCH(AH147,Tables!$A$80:$A$87,1),1),ROWS(Tables!$A$80:$A$87)-1)))))</f>
        <v>0.91873333333333329</v>
      </c>
      <c r="AN147" s="181">
        <f t="shared" si="135"/>
        <v>7762.6728950877205</v>
      </c>
      <c r="AO147" s="181">
        <f>(INDEX(Tables!$B$91:$B$94,MAX(1,MIN(IFERROR(MATCH(P147,Tables!$A$91:$A$94,1),1),ROWS(Tables!$A$91:$A$94)-1)))+(P147-INDEX(Tables!$A$91:$A$94,MAX(1,MIN(IFERROR(MATCH(P147,Tables!$A$91:$A$94,1),1),ROWS(Tables!$A$91:$A$94)-1))))*(INDEX(Tables!$B$91:$B$94,MAX(1,MIN(IFERROR(MATCH(P147,Tables!$A$91:$A$94,1),1),ROWS(Tables!$A$91:$A$94)-1))+1)-INDEX(Tables!$B$91:$B$94,MAX(1,MIN(IFERROR(MATCH(P147,Tables!$A$91:$A$94,1),1),ROWS(Tables!$A$91:$A$94)-1))))/(INDEX(Tables!$A$91:$A$94,MAX(1,MIN(IFERROR(MATCH(P147,Tables!$A$91:$A$94,1),1),ROWS(Tables!$A$91:$A$94)-1))+1)-INDEX(Tables!$A$91:$A$94,MAX(1,MIN(IFERROR(MATCH(P147,Tables!$A$91:$A$94,1),1),ROWS(Tables!$A$91:$A$94)-1)))))</f>
        <v>1.2323170731707318</v>
      </c>
      <c r="AP147" s="181">
        <f>IF(AD147=5000,(INDEX(Tables!$B$99:$B$118,MAX(1,MIN(IFERROR(MATCH(AF147,Tables!$A$99:$A$118,1),1),ROWS(Tables!$A$99:$A$118)-1)))+(AF147-INDEX(Tables!$A$99:$A$118,MAX(1,MIN(IFERROR(MATCH(AF147,Tables!$A$99:$A$118,1),1),ROWS(Tables!$A$99:$A$118)-1))))*(INDEX(Tables!$B$99:$B$118,MAX(1,MIN(IFERROR(MATCH(AF147,Tables!$A$99:$A$118,1),1),ROWS(Tables!$A$99:$A$118)-1))+1)-INDEX(Tables!$B$99:$B$118,MAX(1,MIN(IFERROR(MATCH(AF147,Tables!$A$99:$A$118,1),1),ROWS(Tables!$A$99:$A$118)-1))))/(INDEX(Tables!$A$99:$A$118,MAX(1,MIN(IFERROR(MATCH(AF147,Tables!$A$99:$A$118,1),1),ROWS(Tables!$A$99:$A$118)-1))+1)-INDEX(Tables!$A$99:$A$118,MAX(1,MIN(IFERROR(MATCH(AF147,Tables!$A$99:$A$118,1),1),ROWS(Tables!$A$99:$A$118)-1))))),IF(AD147=10000,(INDEX(Tables!$D$99:$D$118,MAX(1,MIN(IFERROR(MATCH(AF147,Tables!$C$99:$C$118,1),1),ROWS(Tables!$C$99:$C$118)-1)))+(AF147-INDEX(Tables!$C$99:$C$118,MAX(1,MIN(IFERROR(MATCH(AF147,Tables!$C$99:$C$118,1),1),ROWS(Tables!$C$99:$C$118)-1))))*(INDEX(Tables!$D$99:$D$118,MAX(1,MIN(IFERROR(MATCH(AF147,Tables!$C$99:$C$118,1),1),ROWS(Tables!$C$99:$C$118)-1))+1)-INDEX(Tables!$D$99:$D$118,MAX(1,MIN(IFERROR(MATCH(AF147,Tables!$C$99:$C$118,1),1),ROWS(Tables!$C$99:$C$118)-1))))/(INDEX(Tables!$C$99:$C$118,MAX(1,MIN(IFERROR(MATCH(AF147,Tables!$C$99:$C$118,1),1),ROWS(Tables!$C$99:$C$118)-1))+1)-INDEX(Tables!$C$99:$C$118,MAX(1,MIN(IFERROR(MATCH(AF147,Tables!$C$99:$C$118,1),1),ROWS(Tables!$C$99:$C$118)-1))))),(INDEX(Tables!$F$99:$F$118,MAX(1,MIN(IFERROR(MATCH(AF147,Tables!$E$99:$E$118,1),1),ROWS(Tables!$E$99:$E$118)-1)))+(AF147-INDEX(Tables!$E$99:$E$118,MAX(1,MIN(IFERROR(MATCH(AF147,Tables!$E$99:$E$118,1),1),ROWS(Tables!$E$99:$E$118)-1))))*(INDEX(Tables!$F$99:$F$118,MAX(1,MIN(IFERROR(MATCH(AF147,Tables!$E$99:$E$118,1),1),ROWS(Tables!$E$99:$E$118)-1))+1)-INDEX(Tables!$F$99:$F$118,MAX(1,MIN(IFERROR(MATCH(AF147,Tables!$E$99:$E$118,1),1),ROWS(Tables!$E$99:$E$118)-1))))/(INDEX(Tables!$E$99:$E$118,MAX(1,MIN(IFERROR(MATCH(AF147,Tables!$E$99:$E$118,1),1),ROWS(Tables!$E$99:$E$118)-1))+1)-INDEX(Tables!$E$99:$E$118,MAX(1,MIN(IFERROR(MATCH(AF147,Tables!$E$99:$E$118,1),1),ROWS(Tables!$E$99:$E$118)-1)))))))</f>
        <v>5.5855038759689926</v>
      </c>
      <c r="AQ147" s="181">
        <f>IF(P147&lt;6,(INDEX(Tables!$B$123:$B$138,MAX(1,MIN(IFERROR(MATCH(U147,Tables!$A$123:$A$138,1),1),ROWS(Tables!$A$123:$A$138)-1)))+(U147-INDEX(Tables!$A$123:$A$138,MAX(1,MIN(IFERROR(MATCH(U147,Tables!$A$123:$A$138,1),1),ROWS(Tables!$A$123:$A$138)-1))))*(INDEX(Tables!$B$123:$B$138,MAX(1,MIN(IFERROR(MATCH(U147,Tables!$A$123:$A$138,1),1),ROWS(Tables!$A$123:$A$138)-1))+1)-INDEX(Tables!$B$123:$B$138,MAX(1,MIN(IFERROR(MATCH(U147,Tables!$A$123:$A$138,1),1),ROWS(Tables!$A$123:$A$138)-1))))/(INDEX(Tables!$A$123:$A$138,MAX(1,MIN(IFERROR(MATCH(U147,Tables!$A$123:$A$138,1),1),ROWS(Tables!$A$123:$A$138)-1))+1)-INDEX(Tables!$A$123:$A$138,MAX(1,MIN(IFERROR(MATCH(U147,Tables!$A$123:$A$138,1),1),ROWS(Tables!$A$123:$A$138)-1))))),IF(P147&lt;8,(INDEX(Tables!$D$123:$D$138,MAX(1,MIN(IFERROR(MATCH(U147,Tables!$C$123:$C$138,1),1),ROWS(Tables!$C$123:$C$138)-1)))+(U147-INDEX(Tables!$C$123:$C$138,MAX(1,MIN(IFERROR(MATCH(U147,Tables!$C$123:$C$138,1),1),ROWS(Tables!$C$123:$C$138)-1))))*(INDEX(Tables!$D$123:$D$138,MAX(1,MIN(IFERROR(MATCH(U147,Tables!$C$123:$C$138,1),1),ROWS(Tables!$C$123:$C$138)-1))+1)-INDEX(Tables!$D$123:$D$138,MAX(1,MIN(IFERROR(MATCH(U147,Tables!$C$123:$C$138,1),1),ROWS(Tables!$C$123:$C$138)-1))))/(INDEX(Tables!$C$123:$C$138,MAX(1,MIN(IFERROR(MATCH(U147,Tables!$C$123:$C$138,1),1),ROWS(Tables!$C$123:$C$138)-1))+1)-INDEX(Tables!$C$123:$C$138,MAX(1,MIN(IFERROR(MATCH(U147,Tables!$C$123:$C$138,1),1),ROWS(Tables!$C$123:$C$138)-1))))),IF(P147&lt;10,(INDEX(Tables!$F$123:$F$138,MAX(1,MIN(IFERROR(MATCH(U147,Tables!$E$123:$E$138,1),1),ROWS(Tables!$E$123:$E$138)-1)))+(U147-INDEX(Tables!$E$123:$E$138,MAX(1,MIN(IFERROR(MATCH(U147,Tables!$E$123:$E$138,1),1),ROWS(Tables!$E$123:$E$138)-1))))*(INDEX(Tables!$F$123:$F$138,MAX(1,MIN(IFERROR(MATCH(U147,Tables!$E$123:$E$138,1),1),ROWS(Tables!$E$123:$E$138)-1))+1)-INDEX(Tables!$F$123:$F$138,MAX(1,MIN(IFERROR(MATCH(U147,Tables!$E$123:$E$138,1),1),ROWS(Tables!$E$123:$E$138)-1))))/(INDEX(Tables!$E$123:$E$138,MAX(1,MIN(IFERROR(MATCH(U147,Tables!$E$123:$E$138,1),1),ROWS(Tables!$E$123:$E$138)-1))+1)-INDEX(Tables!$E$123:$E$138,MAX(1,MIN(IFERROR(MATCH(U147,Tables!$E$123:$E$138,1),1),ROWS(Tables!$E$123:$E$138)-1))))),(INDEX(Tables!$H$123:$H$138,MAX(1,MIN(IFERROR(MATCH(U147,Tables!$G$123:$G$138,1),1),ROWS(Tables!$G$123:$G$138)-1)))+(U147-INDEX(Tables!$G$123:$G$138,MAX(1,MIN(IFERROR(MATCH(U147,Tables!$G$123:$G$138,1),1),ROWS(Tables!$G$123:$G$138)-1))))*(INDEX(Tables!$H$123:$H$138,MAX(1,MIN(IFERROR(MATCH(U147,Tables!$G$123:$G$138,1),1),ROWS(Tables!$G$123:$G$138)-1))+1)-INDEX(Tables!$H$123:$H$138,MAX(1,MIN(IFERROR(MATCH(U147,Tables!$G$123:$G$138,1),1),ROWS(Tables!$G$123:$G$138)-1))))/(INDEX(Tables!$G$123:$G$138,MAX(1,MIN(IFERROR(MATCH(U147,Tables!$G$123:$G$138,1),1),ROWS(Tables!$G$123:$G$138)-1))+1)-INDEX(Tables!$G$123:$G$138,MAX(1,MIN(IFERROR(MATCH(U147,Tables!$G$123:$G$138,1),1),ROWS(Tables!$G$123:$G$138)-1))))))))</f>
        <v>0.50060000000000004</v>
      </c>
      <c r="AR147" s="181">
        <f>IF(OR(P147&gt;=4,U147&gt;12),VLOOKUP(R147&amp;" "&amp;S147,Tables!$D$143:$F$148,2,FALSE),VLOOKUP(R147&amp;" "&amp;S147,Tables!$A$143:$C$148,2,FALSE))</f>
        <v>1.1000000000000001</v>
      </c>
      <c r="AS147" s="181">
        <f>IF(OR(P147&gt;=4,U147&gt;12),VLOOKUP(R147&amp;" "&amp;S147,Tables!$D$143:$F$148,3,FALSE),VLOOKUP(R147&amp;" "&amp;S147,Tables!$A$143:$C$148,3,FALSE))</f>
        <v>1</v>
      </c>
      <c r="AT147" s="181">
        <f t="shared" si="136"/>
        <v>263.21210677224491</v>
      </c>
      <c r="AU147" s="181">
        <f>IF(AD147=5000,(INDEX(Tables!$B$244:$B$263,MAX(1,MIN(IFERROR(MATCH(AF147,Tables!$A$244:$A$263,1),1),ROWS(Tables!$A$244:$A$263)-1)))+(AF147-INDEX(Tables!$A$244:$A$263,MAX(1,MIN(IFERROR(MATCH(AF147,Tables!$A$244:$A$263,1),1),ROWS(Tables!$A$244:$A$263)-1))))*(INDEX(Tables!$B$244:$B$263,MAX(1,MIN(IFERROR(MATCH(AF147,Tables!$A$244:$A$263,1),1),ROWS(Tables!$A$244:$A$263)-1))+1)-INDEX(Tables!$B$244:$B$263,MAX(1,MIN(IFERROR(MATCH(AF147,Tables!$A$244:$A$263,1),1),ROWS(Tables!$A$244:$A$263)-1))))/(INDEX(Tables!$A$244:$A$263,MAX(1,MIN(IFERROR(MATCH(AF147,Tables!$A$244:$A$263,1),1),ROWS(Tables!$A$244:$A$263)-1))+1)-INDEX(Tables!$A$244:$A$263,MAX(1,MIN(IFERROR(MATCH(AF147,Tables!$A$244:$A$263,1),1),ROWS(Tables!$A$244:$A$263)-1))))),IF(AD147=10000,(INDEX(Tables!$D$244:$D$263,MAX(1,MIN(IFERROR(MATCH(AF147,Tables!$C$244:$C$263,1),1),ROWS(Tables!$C$244:$C$263)-1)))+(AF147-INDEX(Tables!$C$244:$C$263,MAX(1,MIN(IFERROR(MATCH(AF147,Tables!$C$244:$C$263,1),1),ROWS(Tables!$C$244:$C$263)-1))))*(INDEX(Tables!$D$244:$D$263,MAX(1,MIN(IFERROR(MATCH(AF147,Tables!$C$244:$C$263,1),1),ROWS(Tables!$C$244:$C$263)-1))+1)-INDEX(Tables!$D$244:$D$263,MAX(1,MIN(IFERROR(MATCH(AF147,Tables!$C$244:$C$263,1),1),ROWS(Tables!$C$244:$C$263)-1))))/(INDEX(Tables!$C$244:$C$263,MAX(1,MIN(IFERROR(MATCH(AF147,Tables!$C$244:$C$263,1),1),ROWS(Tables!$C$244:$C$263)-1))+1)-INDEX(Tables!$C$244:$C$263,MAX(1,MIN(IFERROR(MATCH(AF147,Tables!$C$244:$C$263,1),1),ROWS(Tables!$C$244:$C$263)-1))))),(INDEX(Tables!$F$244:$F$263,MAX(1,MIN(IFERROR(MATCH(AF147,Tables!$E$244:$E$263,1),1),ROWS(Tables!$E$244:$E$263)-1)))+(AF147-INDEX(Tables!$E$244:$E$263,MAX(1,MIN(IFERROR(MATCH(AF147,Tables!$E$244:$E$263,1),1),ROWS(Tables!$E$244:$E$263)-1))))*(INDEX(Tables!$F$244:$F$263,MAX(1,MIN(IFERROR(MATCH(AF147,Tables!$E$244:$E$263,1),1),ROWS(Tables!$E$244:$E$263)-1))+1)-INDEX(Tables!$F$244:$F$263,MAX(1,MIN(IFERROR(MATCH(AF147,Tables!$E$244:$E$263,1),1),ROWS(Tables!$E$244:$E$263)-1))))/(INDEX(Tables!$E$244:$E$263,MAX(1,MIN(IFERROR(MATCH(AF147,Tables!$E$244:$E$263,1),1),ROWS(Tables!$E$244:$E$263)-1))+1)-INDEX(Tables!$E$244:$E$263,MAX(1,MIN(IFERROR(MATCH(AF147,Tables!$E$244:$E$263,1),1),ROWS(Tables!$E$244:$E$263)-1)))))))</f>
        <v>6.0990000000000002</v>
      </c>
      <c r="AV147" s="181">
        <f>IF(P147&lt;6,(INDEX(Tables!$B$260:$B$274,MAX(1,MIN(IFERROR(MATCH(U147,Tables!$A$260:$A$274,1),1),ROWS(Tables!$A$260:$A$274)-1)))+(U147-INDEX(Tables!$A$260:$A$274,MAX(1,MIN(IFERROR(MATCH(U147,Tables!$A$260:$A$274,1),1),ROWS(Tables!$A$260:$A$274)-1))))*(INDEX(Tables!$B$260:$B$274,MAX(1,MIN(IFERROR(MATCH(U147,Tables!$A$260:$A$274,1),1),ROWS(Tables!$A$260:$A$274)-1))+1)-INDEX(Tables!$B$260:$B$274,MAX(1,MIN(IFERROR(MATCH(U147,Tables!$A$260:$A$274,1),1),ROWS(Tables!$A$260:$A$274)-1))))/(INDEX(Tables!$A$260:$A$274,MAX(1,MIN(IFERROR(MATCH(U147,Tables!$A$260:$A$274,1),1),ROWS(Tables!$A$260:$A$274)-1))+1)-INDEX(Tables!$A$260:$A$274,MAX(1,MIN(IFERROR(MATCH(U147,Tables!$A$260:$A$274,1),1),ROWS(Tables!$A$260:$A$274)-1))))),IF(P147&lt;8,(INDEX(Tables!$D$260:$D$274,MAX(1,MIN(IFERROR(MATCH(U147,Tables!$C$260:$C$274,1),1),ROWS(Tables!$C$260:$C$274)-1)))+(U147-INDEX(Tables!$C$260:$C$274,MAX(1,MIN(IFERROR(MATCH(U147,Tables!$C$260:$C$274,1),1),ROWS(Tables!$C$260:$C$274)-1))))*(INDEX(Tables!$D$260:$D$274,MAX(1,MIN(IFERROR(MATCH(U147,Tables!$C$260:$C$274,1),1),ROWS(Tables!$C$260:$C$274)-1))+1)-INDEX(Tables!$D$260:$D$274,MAX(1,MIN(IFERROR(MATCH(U147,Tables!$C$260:$C$274,1),1),ROWS(Tables!$C$260:$C$274)-1))))/(INDEX(Tables!$C$260:$C$274,MAX(1,MIN(IFERROR(MATCH(U147,Tables!$C$260:$C$274,1),1),ROWS(Tables!$C$260:$C$274)-1))+1)-INDEX(Tables!$C$260:$C$274,MAX(1,MIN(IFERROR(MATCH(U147,Tables!$C$260:$C$274,1),1),ROWS(Tables!$C$260:$C$274)-1))))),IF(P147&lt;10,(INDEX(Tables!$F$260:$F$274,MAX(1,MIN(IFERROR(MATCH(U147,Tables!$E$260:$E$274,1),1),ROWS(Tables!$E$260:$E$274)-1)))+(U147-INDEX(Tables!$E$260:$E$274,MAX(1,MIN(IFERROR(MATCH(U147,Tables!$E$260:$E$274,1),1),ROWS(Tables!$E$260:$E$274)-1))))*(INDEX(Tables!$F$260:$F$274,MAX(1,MIN(IFERROR(MATCH(U147,Tables!$E$260:$E$274,1),1),ROWS(Tables!$E$260:$E$274)-1))+1)-INDEX(Tables!$F$260:$F$274,MAX(1,MIN(IFERROR(MATCH(U147,Tables!$E$260:$E$274,1),1),ROWS(Tables!$E$260:$E$274)-1))))/(INDEX(Tables!$E$260:$E$274,MAX(1,MIN(IFERROR(MATCH(U147,Tables!$E$260:$E$274,1),1),ROWS(Tables!$E$260:$E$274)-1))+1)-INDEX(Tables!$E$260:$E$274,MAX(1,MIN(IFERROR(MATCH(U147,Tables!$E$260:$E$274,1),1),ROWS(Tables!$E$260:$E$274)-1))))),(INDEX(Tables!$H$260:$H$274,MAX(1,MIN(IFERROR(MATCH(U147,Tables!$G$260:$G$274,1),1),ROWS(Tables!$G$260:$G$274)-1)))+(U147-INDEX(Tables!$G$260:$G$274,MAX(1,MIN(IFERROR(MATCH(U147,Tables!$G$260:$G$274,1),1),ROWS(Tables!$G$260:$G$274)-1))))*(INDEX(Tables!$H$260:$H$274,MAX(1,MIN(IFERROR(MATCH(U147,Tables!$G$260:$G$274,1),1),ROWS(Tables!$G$260:$G$274)-1))+1)-INDEX(Tables!$H$260:$H$274,MAX(1,MIN(IFERROR(MATCH(U147,Tables!$G$260:$G$274,1),1),ROWS(Tables!$G$260:$G$274)-1))))/(INDEX(Tables!$G$260:$G$274,MAX(1,MIN(IFERROR(MATCH(U147,Tables!$G$260:$G$274,1),1),ROWS(Tables!$G$260:$G$274)-1))+1)-INDEX(Tables!$G$260:$G$274,MAX(1,MIN(IFERROR(MATCH(U147,Tables!$G$260:$G$274,1),1),ROWS(Tables!$G$260:$G$274)-1))))))))</f>
        <v>0.51828571428571424</v>
      </c>
      <c r="AW147" s="181">
        <f t="shared" si="137"/>
        <v>297.56409742305459</v>
      </c>
      <c r="AX147" s="181">
        <f t="shared" si="138"/>
        <v>-842.44269230769237</v>
      </c>
      <c r="AY147" s="181">
        <f t="shared" si="139"/>
        <v>7183.4423095522725</v>
      </c>
      <c r="AZ147" s="181">
        <f t="shared" si="140"/>
        <v>2373.6331582570629</v>
      </c>
      <c r="BA147" s="181">
        <f t="shared" si="141"/>
        <v>14.73</v>
      </c>
      <c r="BB147" s="181">
        <f t="shared" si="142"/>
        <v>6328.0772893132626</v>
      </c>
      <c r="BC147" s="181">
        <f t="shared" si="143"/>
        <v>46800</v>
      </c>
      <c r="BD147" s="181">
        <f>VLOOKUP(V147&amp;" "&amp;J147,Tables!$A$152:$E$239,4,FALSE)</f>
        <v>12000</v>
      </c>
      <c r="BE147" s="181">
        <f>VLOOKUP(V147&amp;" "&amp;J147,Tables!$A$152:$E$239,5,FALSE)</f>
        <v>23000</v>
      </c>
      <c r="BF147" s="181">
        <f t="shared" si="144"/>
        <v>8640</v>
      </c>
      <c r="BG147" s="181">
        <f t="shared" si="145"/>
        <v>16560</v>
      </c>
      <c r="BH147" s="181">
        <f t="shared" si="146"/>
        <v>-849.80769230769226</v>
      </c>
      <c r="BI147" s="181">
        <f t="shared" si="147"/>
        <v>46800</v>
      </c>
      <c r="BJ147" s="181">
        <f t="shared" si="148"/>
        <v>6328.0772893132626</v>
      </c>
      <c r="BK147" s="181">
        <f t="shared" si="149"/>
        <v>46800</v>
      </c>
      <c r="BL147" s="181">
        <f t="shared" si="150"/>
        <v>297.56409742305459</v>
      </c>
      <c r="BM147" s="181">
        <f t="shared" si="151"/>
        <v>8640</v>
      </c>
      <c r="BN147" s="181">
        <f t="shared" si="152"/>
        <v>263.21210677224491</v>
      </c>
      <c r="BO147" s="181">
        <f t="shared" si="153"/>
        <v>16560</v>
      </c>
      <c r="BP147" t="str">
        <f t="shared" si="154"/>
        <v>Pass</v>
      </c>
      <c r="BQ147" t="str">
        <f t="shared" si="155"/>
        <v>Pass</v>
      </c>
      <c r="BR147" t="str">
        <f t="shared" si="156"/>
        <v>Pass</v>
      </c>
      <c r="BS147" t="str">
        <f t="shared" si="157"/>
        <v>Pass</v>
      </c>
      <c r="BT147" t="str">
        <f t="shared" si="158"/>
        <v>Pass</v>
      </c>
      <c r="BU147" t="str">
        <f t="shared" si="159"/>
        <v>Effective Stress</v>
      </c>
    </row>
    <row r="148" spans="1:73">
      <c r="A148" t="s">
        <v>740</v>
      </c>
      <c r="B148" s="181">
        <v>146</v>
      </c>
      <c r="C148" t="s">
        <v>594</v>
      </c>
      <c r="D148" s="181">
        <v>48</v>
      </c>
      <c r="E148" s="181">
        <v>0.375</v>
      </c>
      <c r="F148" t="s">
        <v>117</v>
      </c>
      <c r="G148" t="s">
        <v>119</v>
      </c>
      <c r="H148" t="s">
        <v>122</v>
      </c>
      <c r="I148" s="181">
        <v>1</v>
      </c>
      <c r="J148" t="s">
        <v>126</v>
      </c>
      <c r="K148" t="s">
        <v>129</v>
      </c>
      <c r="L148" s="181">
        <v>70</v>
      </c>
      <c r="M148" s="181">
        <v>-14.73</v>
      </c>
      <c r="N148" t="s">
        <v>392</v>
      </c>
      <c r="O148" s="181">
        <v>120</v>
      </c>
      <c r="P148" s="181">
        <v>30</v>
      </c>
      <c r="Q148" s="181">
        <v>50</v>
      </c>
      <c r="R148" t="s">
        <v>417</v>
      </c>
      <c r="S148" t="s">
        <v>156</v>
      </c>
      <c r="T148" s="181">
        <v>70</v>
      </c>
      <c r="U148" s="181">
        <f>HLOOKUP(D148,'Highway Loading'!$C$155:$AD$156,2,FALSE)</f>
        <v>48</v>
      </c>
      <c r="V148" s="181">
        <f>IF(ISBLANK(G148),"",INDEX('Highway Loading'!$C$216:$AG$216,1,MATCH(G148,'Highway Loading'!$C$215:$AG$215,0)))</f>
        <v>65000</v>
      </c>
      <c r="W148" s="181">
        <f>INDEX('Highway Loading'!$I$245:$L$253,MATCH(H148,'Highway Loading'!$H$245:$H$253,0),MATCH(I148,'Highway Loading'!$I$244:$L$244,0))</f>
        <v>0.72</v>
      </c>
      <c r="X148" s="181">
        <f t="shared" si="128"/>
        <v>1</v>
      </c>
      <c r="Y148" s="181">
        <f>VLOOKUP(K148,'Highway Loading'!$B$283:$E$292,2,FALSE)</f>
        <v>29000000</v>
      </c>
      <c r="Z148" s="181">
        <f>VLOOKUP(K148,'Highway Loading'!$B$283:$E$292,3,FALSE)</f>
        <v>0.3</v>
      </c>
      <c r="AA148" s="181">
        <f>VLOOKUP(K148,'Highway Loading'!$B$283:$E$292,4,FALSE)</f>
        <v>6.4999999999999996E-6</v>
      </c>
      <c r="AB148" s="181">
        <f t="shared" si="129"/>
        <v>1</v>
      </c>
      <c r="AC148" s="181">
        <f>VLOOKUP(N148,'Highway Loading'!$B$256:$D$261,2,FALSE)</f>
        <v>2000</v>
      </c>
      <c r="AD148" s="181">
        <f>VLOOKUP(N148,'Highway Loading'!$B$256:$D$261,3,FALSE)</f>
        <v>20000</v>
      </c>
      <c r="AE148" s="181">
        <f>VLOOKUP(S148,'Highway Loading'!$B$340:$C$341,2,FALSE)</f>
        <v>10000</v>
      </c>
      <c r="AF148" s="181">
        <f t="shared" si="130"/>
        <v>7.8125E-3</v>
      </c>
      <c r="AG148" s="181">
        <f t="shared" si="131"/>
        <v>7.2</v>
      </c>
      <c r="AH148" s="181">
        <f t="shared" si="132"/>
        <v>1.0416666666666667</v>
      </c>
      <c r="AI148" s="181">
        <f t="shared" si="133"/>
        <v>-942.71999999999991</v>
      </c>
      <c r="AJ148" s="181">
        <f t="shared" si="134"/>
        <v>46800</v>
      </c>
      <c r="AK148" s="181">
        <f>IF(AC148=200,(INDEX(Tables!$B$17:$B$38,MAX(1,MIN(IFERROR(MATCH(AF148,Tables!$A$17:$A$38,1),1),ROWS(Tables!$A$17:$A$38)-1)))+(AF148-INDEX(Tables!$A$17:$A$38,MAX(1,MIN(IFERROR(MATCH(AF148,Tables!$A$17:$A$38,1),1),ROWS(Tables!$A$17:$A$38)-1))))*(INDEX(Tables!$B$17:$B$38,MAX(1,MIN(IFERROR(MATCH(AF148,Tables!$A$17:$A$38,1),1),ROWS(Tables!$A$17:$A$38)-1))+1)-INDEX(Tables!$B$17:$B$38,MAX(1,MIN(IFERROR(MATCH(AF148,Tables!$A$17:$A$38,1),1),ROWS(Tables!$A$17:$A$38)-1))))/(INDEX(Tables!$A$17:$A$38,MAX(1,MIN(IFERROR(MATCH(AF148,Tables!$A$17:$A$38,1),1),ROWS(Tables!$A$17:$A$38)-1))+1)-INDEX(Tables!$A$17:$A$38,MAX(1,MIN(IFERROR(MATCH(AF148,Tables!$A$17:$A$38,1),1),ROWS(Tables!$A$17:$A$38)-1))))),IF(AC148=500,(INDEX(Tables!$D$17:$D$38,MAX(1,MIN(IFERROR(MATCH(AF148,Tables!$C$17:$C$38,1),1),ROWS(Tables!$C$17:$C$38)-1)))+(AF148-INDEX(Tables!$C$17:$C$38,MAX(1,MIN(IFERROR(MATCH(AF148,Tables!$C$17:$C$38,1),1),ROWS(Tables!$C$17:$C$38)-1))))*(INDEX(Tables!$D$17:$D$38,MAX(1,MIN(IFERROR(MATCH(AF148,Tables!$C$17:$C$38,1),1),ROWS(Tables!$C$17:$C$38)-1))+1)-INDEX(Tables!$D$17:$D$38,MAX(1,MIN(IFERROR(MATCH(AF148,Tables!$C$17:$C$38,1),1),ROWS(Tables!$C$17:$C$38)-1))))/(INDEX(Tables!$C$17:$C$38,MAX(1,MIN(IFERROR(MATCH(AF148,Tables!$C$17:$C$38,1),1),ROWS(Tables!$C$17:$C$38)-1))+1)-INDEX(Tables!$C$17:$C$38,MAX(1,MIN(IFERROR(MATCH(AF148,Tables!$C$17:$C$38,1),1),ROWS(Tables!$C$17:$C$38)-1))))),IF(AC148=1000,(INDEX(Tables!$F$17:$F$38,MAX(1,MIN(IFERROR(MATCH(AF148,Tables!$E$17:$E$38,1),1),ROWS(Tables!$E$17:$E$38)-1)))+(AF148-INDEX(Tables!$E$17:$E$38,MAX(1,MIN(IFERROR(MATCH(AF148,Tables!$E$17:$E$38,1),1),ROWS(Tables!$E$17:$E$38)-1))))*(INDEX(Tables!$F$17:$F$38,MAX(1,MIN(IFERROR(MATCH(AF148,Tables!$E$17:$E$38,1),1),ROWS(Tables!$E$17:$E$38)-1))+1)-INDEX(Tables!$F$17:$F$38,MAX(1,MIN(IFERROR(MATCH(AF148,Tables!$E$17:$E$38,1),1),ROWS(Tables!$E$17:$E$38)-1))))/(INDEX(Tables!$E$17:$E$38,MAX(1,MIN(IFERROR(MATCH(AF148,Tables!$E$17:$E$38,1),1),ROWS(Tables!$E$17:$E$38)-1))+1)-INDEX(Tables!$E$17:$E$38,MAX(1,MIN(IFERROR(MATCH(AF148,Tables!$E$17:$E$38,1),1),ROWS(Tables!$E$17:$E$38)-1))))),(INDEX(Tables!$H$17:$H$38,MAX(1,MIN(IFERROR(MATCH(AF148,Tables!$G$17:$G$38,1),1),ROWS(Tables!$G$17:$G$38)-1)))+(AF148-INDEX(Tables!$G$17:$G$38,MAX(1,MIN(IFERROR(MATCH(AF148,Tables!$G$17:$G$38,1),1),ROWS(Tables!$G$17:$G$38)-1))))*(INDEX(Tables!$H$17:$H$38,MAX(1,MIN(IFERROR(MATCH(AF148,Tables!$G$17:$G$38,1),1),ROWS(Tables!$G$17:$G$38)-1))+1)-INDEX(Tables!$H$17:$H$38,MAX(1,MIN(IFERROR(MATCH(AF148,Tables!$G$17:$G$38,1),1),ROWS(Tables!$G$17:$G$38)-1))))/(INDEX(Tables!$G$17:$G$38,MAX(1,MIN(IFERROR(MATCH(AF148,Tables!$G$17:$G$38,1),1),ROWS(Tables!$G$17:$G$38)-1))+1)-INDEX(Tables!$G$17:$G$38,MAX(1,MIN(IFERROR(MATCH(AF148,Tables!$G$17:$G$38,1),1),ROWS(Tables!$G$17:$G$38)-1))))))))</f>
        <v>3975.5</v>
      </c>
      <c r="AL148" s="181">
        <f>IF(AC148&lt;1000,(INDEX(Tables!$B$43:$B$76,MAX(1,MIN(IFERROR(MATCH(AG148,Tables!$A$43:$A$76,1),1),ROWS(Tables!$A$43:$A$76)-1)))+(AG148-INDEX(Tables!$A$43:$A$76,MAX(1,MIN(IFERROR(MATCH(AG148,Tables!$A$43:$A$76,1),1),ROWS(Tables!$A$43:$A$76)-1))))*(INDEX(Tables!$B$43:$B$76,MAX(1,MIN(IFERROR(MATCH(AG148,Tables!$A$43:$A$76,1),1),ROWS(Tables!$A$43:$A$76)-1))+1)-INDEX(Tables!$B$43:$B$76,MAX(1,MIN(IFERROR(MATCH(AG148,Tables!$A$43:$A$76,1),1),ROWS(Tables!$A$43:$A$76)-1))))/(INDEX(Tables!$A$43:$A$76,MAX(1,MIN(IFERROR(MATCH(AG148,Tables!$A$43:$A$76,1),1),ROWS(Tables!$A$43:$A$76)-1))+1)-INDEX(Tables!$A$43:$A$76,MAX(1,MIN(IFERROR(MATCH(AG148,Tables!$A$43:$A$76,1),1),ROWS(Tables!$A$43:$A$76)-1))))),(INDEX(Tables!$D$43:$D$76,MAX(1,MIN(IFERROR(MATCH(AG148,Tables!$C$43:$C$76,1),1),ROWS(Tables!$C$43:$C$76)-1)))+(AG148-INDEX(Tables!$C$43:$C$76,MAX(1,MIN(IFERROR(MATCH(AG148,Tables!$C$43:$C$76,1),1),ROWS(Tables!$C$43:$C$76)-1))))*(INDEX(Tables!$D$43:$D$76,MAX(1,MIN(IFERROR(MATCH(AG148,Tables!$C$43:$C$76,1),1),ROWS(Tables!$C$43:$C$76)-1))+1)-INDEX(Tables!$D$43:$D$76,MAX(1,MIN(IFERROR(MATCH(AG148,Tables!$C$43:$C$76,1),1),ROWS(Tables!$C$43:$C$76)-1))))/(INDEX(Tables!$C$43:$C$76,MAX(1,MIN(IFERROR(MATCH(AG148,Tables!$C$43:$C$76,1),1),ROWS(Tables!$C$43:$C$76)-1))+1)-INDEX(Tables!$C$43:$C$76,MAX(1,MIN(IFERROR(MATCH(AG148,Tables!$C$43:$C$76,1),1),ROWS(Tables!$C$43:$C$76)-1))))))</f>
        <v>1.0784</v>
      </c>
      <c r="AM148" s="181">
        <f>(INDEX(Tables!$B$80:$B$87,MAX(1,MIN(IFERROR(MATCH(AH148,Tables!$A$80:$A$87,1),1),ROWS(Tables!$A$80:$A$87)-1)))+(AH148-INDEX(Tables!$A$80:$A$87,MAX(1,MIN(IFERROR(MATCH(AH148,Tables!$A$80:$A$87,1),1),ROWS(Tables!$A$80:$A$87)-1))))*(INDEX(Tables!$B$80:$B$87,MAX(1,MIN(IFERROR(MATCH(AH148,Tables!$A$80:$A$87,1),1),ROWS(Tables!$A$80:$A$87)-1))+1)-INDEX(Tables!$B$80:$B$87,MAX(1,MIN(IFERROR(MATCH(AH148,Tables!$A$80:$A$87,1),1),ROWS(Tables!$A$80:$A$87)-1))))/(INDEX(Tables!$A$80:$A$87,MAX(1,MIN(IFERROR(MATCH(AH148,Tables!$A$80:$A$87,1),1),ROWS(Tables!$A$80:$A$87)-1))+1)-INDEX(Tables!$A$80:$A$87,MAX(1,MIN(IFERROR(MATCH(AH148,Tables!$A$80:$A$87,1),1),ROWS(Tables!$A$80:$A$87)-1)))))</f>
        <v>0.89595000000000002</v>
      </c>
      <c r="AN148" s="181">
        <f t="shared" si="135"/>
        <v>12803.660680800003</v>
      </c>
      <c r="AO148" s="181">
        <f>(INDEX(Tables!$B$91:$B$94,MAX(1,MIN(IFERROR(MATCH(P148,Tables!$A$91:$A$94,1),1),ROWS(Tables!$A$91:$A$94)-1)))+(P148-INDEX(Tables!$A$91:$A$94,MAX(1,MIN(IFERROR(MATCH(P148,Tables!$A$91:$A$94,1),1),ROWS(Tables!$A$91:$A$94)-1))))*(INDEX(Tables!$B$91:$B$94,MAX(1,MIN(IFERROR(MATCH(P148,Tables!$A$91:$A$94,1),1),ROWS(Tables!$A$91:$A$94)-1))+1)-INDEX(Tables!$B$91:$B$94,MAX(1,MIN(IFERROR(MATCH(P148,Tables!$A$91:$A$94,1),1),ROWS(Tables!$A$91:$A$94)-1))))/(INDEX(Tables!$A$91:$A$94,MAX(1,MIN(IFERROR(MATCH(P148,Tables!$A$91:$A$94,1),1),ROWS(Tables!$A$91:$A$94)-1))+1)-INDEX(Tables!$A$91:$A$94,MAX(1,MIN(IFERROR(MATCH(P148,Tables!$A$91:$A$94,1),1),ROWS(Tables!$A$91:$A$94)-1)))))</f>
        <v>1</v>
      </c>
      <c r="AP148" s="181">
        <f>IF(AD148=5000,(INDEX(Tables!$B$99:$B$118,MAX(1,MIN(IFERROR(MATCH(AF148,Tables!$A$99:$A$118,1),1),ROWS(Tables!$A$99:$A$118)-1)))+(AF148-INDEX(Tables!$A$99:$A$118,MAX(1,MIN(IFERROR(MATCH(AF148,Tables!$A$99:$A$118,1),1),ROWS(Tables!$A$99:$A$118)-1))))*(INDEX(Tables!$B$99:$B$118,MAX(1,MIN(IFERROR(MATCH(AF148,Tables!$A$99:$A$118,1),1),ROWS(Tables!$A$99:$A$118)-1))+1)-INDEX(Tables!$B$99:$B$118,MAX(1,MIN(IFERROR(MATCH(AF148,Tables!$A$99:$A$118,1),1),ROWS(Tables!$A$99:$A$118)-1))))/(INDEX(Tables!$A$99:$A$118,MAX(1,MIN(IFERROR(MATCH(AF148,Tables!$A$99:$A$118,1),1),ROWS(Tables!$A$99:$A$118)-1))+1)-INDEX(Tables!$A$99:$A$118,MAX(1,MIN(IFERROR(MATCH(AF148,Tables!$A$99:$A$118,1),1),ROWS(Tables!$A$99:$A$118)-1))))),IF(AD148=10000,(INDEX(Tables!$D$99:$D$118,MAX(1,MIN(IFERROR(MATCH(AF148,Tables!$C$99:$C$118,1),1),ROWS(Tables!$C$99:$C$118)-1)))+(AF148-INDEX(Tables!$C$99:$C$118,MAX(1,MIN(IFERROR(MATCH(AF148,Tables!$C$99:$C$118,1),1),ROWS(Tables!$C$99:$C$118)-1))))*(INDEX(Tables!$D$99:$D$118,MAX(1,MIN(IFERROR(MATCH(AF148,Tables!$C$99:$C$118,1),1),ROWS(Tables!$C$99:$C$118)-1))+1)-INDEX(Tables!$D$99:$D$118,MAX(1,MIN(IFERROR(MATCH(AF148,Tables!$C$99:$C$118,1),1),ROWS(Tables!$C$99:$C$118)-1))))/(INDEX(Tables!$C$99:$C$118,MAX(1,MIN(IFERROR(MATCH(AF148,Tables!$C$99:$C$118,1),1),ROWS(Tables!$C$99:$C$118)-1))+1)-INDEX(Tables!$C$99:$C$118,MAX(1,MIN(IFERROR(MATCH(AF148,Tables!$C$99:$C$118,1),1),ROWS(Tables!$C$99:$C$118)-1))))),(INDEX(Tables!$F$99:$F$118,MAX(1,MIN(IFERROR(MATCH(AF148,Tables!$E$99:$E$118,1),1),ROWS(Tables!$E$99:$E$118)-1)))+(AF148-INDEX(Tables!$E$99:$E$118,MAX(1,MIN(IFERROR(MATCH(AF148,Tables!$E$99:$E$118,1),1),ROWS(Tables!$E$99:$E$118)-1))))*(INDEX(Tables!$F$99:$F$118,MAX(1,MIN(IFERROR(MATCH(AF148,Tables!$E$99:$E$118,1),1),ROWS(Tables!$E$99:$E$118)-1))+1)-INDEX(Tables!$F$99:$F$118,MAX(1,MIN(IFERROR(MATCH(AF148,Tables!$E$99:$E$118,1),1),ROWS(Tables!$E$99:$E$118)-1))))/(INDEX(Tables!$E$99:$E$118,MAX(1,MIN(IFERROR(MATCH(AF148,Tables!$E$99:$E$118,1),1),ROWS(Tables!$E$99:$E$118)-1))+1)-INDEX(Tables!$E$99:$E$118,MAX(1,MIN(IFERROR(MATCH(AF148,Tables!$E$99:$E$118,1),1),ROWS(Tables!$E$99:$E$118)-1)))))))</f>
        <v>4.8684011627906987</v>
      </c>
      <c r="AQ148" s="181">
        <f>IF(P148&lt;6,(INDEX(Tables!$B$123:$B$138,MAX(1,MIN(IFERROR(MATCH(U148,Tables!$A$123:$A$138,1),1),ROWS(Tables!$A$123:$A$138)-1)))+(U148-INDEX(Tables!$A$123:$A$138,MAX(1,MIN(IFERROR(MATCH(U148,Tables!$A$123:$A$138,1),1),ROWS(Tables!$A$123:$A$138)-1))))*(INDEX(Tables!$B$123:$B$138,MAX(1,MIN(IFERROR(MATCH(U148,Tables!$A$123:$A$138,1),1),ROWS(Tables!$A$123:$A$138)-1))+1)-INDEX(Tables!$B$123:$B$138,MAX(1,MIN(IFERROR(MATCH(U148,Tables!$A$123:$A$138,1),1),ROWS(Tables!$A$123:$A$138)-1))))/(INDEX(Tables!$A$123:$A$138,MAX(1,MIN(IFERROR(MATCH(U148,Tables!$A$123:$A$138,1),1),ROWS(Tables!$A$123:$A$138)-1))+1)-INDEX(Tables!$A$123:$A$138,MAX(1,MIN(IFERROR(MATCH(U148,Tables!$A$123:$A$138,1),1),ROWS(Tables!$A$123:$A$138)-1))))),IF(P148&lt;8,(INDEX(Tables!$D$123:$D$138,MAX(1,MIN(IFERROR(MATCH(U148,Tables!$C$123:$C$138,1),1),ROWS(Tables!$C$123:$C$138)-1)))+(U148-INDEX(Tables!$C$123:$C$138,MAX(1,MIN(IFERROR(MATCH(U148,Tables!$C$123:$C$138,1),1),ROWS(Tables!$C$123:$C$138)-1))))*(INDEX(Tables!$D$123:$D$138,MAX(1,MIN(IFERROR(MATCH(U148,Tables!$C$123:$C$138,1),1),ROWS(Tables!$C$123:$C$138)-1))+1)-INDEX(Tables!$D$123:$D$138,MAX(1,MIN(IFERROR(MATCH(U148,Tables!$C$123:$C$138,1),1),ROWS(Tables!$C$123:$C$138)-1))))/(INDEX(Tables!$C$123:$C$138,MAX(1,MIN(IFERROR(MATCH(U148,Tables!$C$123:$C$138,1),1),ROWS(Tables!$C$123:$C$138)-1))+1)-INDEX(Tables!$C$123:$C$138,MAX(1,MIN(IFERROR(MATCH(U148,Tables!$C$123:$C$138,1),1),ROWS(Tables!$C$123:$C$138)-1))))),IF(P148&lt;10,(INDEX(Tables!$F$123:$F$138,MAX(1,MIN(IFERROR(MATCH(U148,Tables!$E$123:$E$138,1),1),ROWS(Tables!$E$123:$E$138)-1)))+(U148-INDEX(Tables!$E$123:$E$138,MAX(1,MIN(IFERROR(MATCH(U148,Tables!$E$123:$E$138,1),1),ROWS(Tables!$E$123:$E$138)-1))))*(INDEX(Tables!$F$123:$F$138,MAX(1,MIN(IFERROR(MATCH(U148,Tables!$E$123:$E$138,1),1),ROWS(Tables!$E$123:$E$138)-1))+1)-INDEX(Tables!$F$123:$F$138,MAX(1,MIN(IFERROR(MATCH(U148,Tables!$E$123:$E$138,1),1),ROWS(Tables!$E$123:$E$138)-1))))/(INDEX(Tables!$E$123:$E$138,MAX(1,MIN(IFERROR(MATCH(U148,Tables!$E$123:$E$138,1),1),ROWS(Tables!$E$123:$E$138)-1))+1)-INDEX(Tables!$E$123:$E$138,MAX(1,MIN(IFERROR(MATCH(U148,Tables!$E$123:$E$138,1),1),ROWS(Tables!$E$123:$E$138)-1))))),(INDEX(Tables!$H$123:$H$138,MAX(1,MIN(IFERROR(MATCH(U148,Tables!$G$123:$G$138,1),1),ROWS(Tables!$G$123:$G$138)-1)))+(U148-INDEX(Tables!$G$123:$G$138,MAX(1,MIN(IFERROR(MATCH(U148,Tables!$G$123:$G$138,1),1),ROWS(Tables!$G$123:$G$138)-1))))*(INDEX(Tables!$H$123:$H$138,MAX(1,MIN(IFERROR(MATCH(U148,Tables!$G$123:$G$138,1),1),ROWS(Tables!$G$123:$G$138)-1))+1)-INDEX(Tables!$H$123:$H$138,MAX(1,MIN(IFERROR(MATCH(U148,Tables!$G$123:$G$138,1),1),ROWS(Tables!$G$123:$G$138)-1))))/(INDEX(Tables!$G$123:$G$138,MAX(1,MIN(IFERROR(MATCH(U148,Tables!$G$123:$G$138,1),1),ROWS(Tables!$G$123:$G$138)-1))+1)-INDEX(Tables!$G$123:$G$138,MAX(1,MIN(IFERROR(MATCH(U148,Tables!$G$123:$G$138,1),1),ROWS(Tables!$G$123:$G$138)-1))))))))</f>
        <v>0.46899999999999997</v>
      </c>
      <c r="AR148" s="181">
        <f>IF(OR(P148&gt;=4,U148&gt;12),VLOOKUP(R148&amp;" "&amp;S148,Tables!$D$143:$F$148,2,FALSE),VLOOKUP(R148&amp;" "&amp;S148,Tables!$A$143:$C$148,2,FALSE))</f>
        <v>1.1000000000000001</v>
      </c>
      <c r="AS148" s="181">
        <f>IF(OR(P148&gt;=4,U148&gt;12),VLOOKUP(R148&amp;" "&amp;S148,Tables!$D$143:$F$148,3,FALSE),VLOOKUP(R148&amp;" "&amp;S148,Tables!$A$143:$C$148,3,FALSE))</f>
        <v>1</v>
      </c>
      <c r="AT148" s="181">
        <f t="shared" si="136"/>
        <v>174.41723332525842</v>
      </c>
      <c r="AU148" s="181">
        <f>IF(AD148=5000,(INDEX(Tables!$B$244:$B$263,MAX(1,MIN(IFERROR(MATCH(AF148,Tables!$A$244:$A$263,1),1),ROWS(Tables!$A$244:$A$263)-1)))+(AF148-INDEX(Tables!$A$244:$A$263,MAX(1,MIN(IFERROR(MATCH(AF148,Tables!$A$244:$A$263,1),1),ROWS(Tables!$A$244:$A$263)-1))))*(INDEX(Tables!$B$244:$B$263,MAX(1,MIN(IFERROR(MATCH(AF148,Tables!$A$244:$A$263,1),1),ROWS(Tables!$A$244:$A$263)-1))+1)-INDEX(Tables!$B$244:$B$263,MAX(1,MIN(IFERROR(MATCH(AF148,Tables!$A$244:$A$263,1),1),ROWS(Tables!$A$244:$A$263)-1))))/(INDEX(Tables!$A$244:$A$263,MAX(1,MIN(IFERROR(MATCH(AF148,Tables!$A$244:$A$263,1),1),ROWS(Tables!$A$244:$A$263)-1))+1)-INDEX(Tables!$A$244:$A$263,MAX(1,MIN(IFERROR(MATCH(AF148,Tables!$A$244:$A$263,1),1),ROWS(Tables!$A$244:$A$263)-1))))),IF(AD148=10000,(INDEX(Tables!$D$244:$D$263,MAX(1,MIN(IFERROR(MATCH(AF148,Tables!$C$244:$C$263,1),1),ROWS(Tables!$C$244:$C$263)-1)))+(AF148-INDEX(Tables!$C$244:$C$263,MAX(1,MIN(IFERROR(MATCH(AF148,Tables!$C$244:$C$263,1),1),ROWS(Tables!$C$244:$C$263)-1))))*(INDEX(Tables!$D$244:$D$263,MAX(1,MIN(IFERROR(MATCH(AF148,Tables!$C$244:$C$263,1),1),ROWS(Tables!$C$244:$C$263)-1))+1)-INDEX(Tables!$D$244:$D$263,MAX(1,MIN(IFERROR(MATCH(AF148,Tables!$C$244:$C$263,1),1),ROWS(Tables!$C$244:$C$263)-1))))/(INDEX(Tables!$C$244:$C$263,MAX(1,MIN(IFERROR(MATCH(AF148,Tables!$C$244:$C$263,1),1),ROWS(Tables!$C$244:$C$263)-1))+1)-INDEX(Tables!$C$244:$C$263,MAX(1,MIN(IFERROR(MATCH(AF148,Tables!$C$244:$C$263,1),1),ROWS(Tables!$C$244:$C$263)-1))))),(INDEX(Tables!$F$244:$F$263,MAX(1,MIN(IFERROR(MATCH(AF148,Tables!$E$244:$E$263,1),1),ROWS(Tables!$E$244:$E$263)-1)))+(AF148-INDEX(Tables!$E$244:$E$263,MAX(1,MIN(IFERROR(MATCH(AF148,Tables!$E$244:$E$263,1),1),ROWS(Tables!$E$244:$E$263)-1))))*(INDEX(Tables!$F$244:$F$263,MAX(1,MIN(IFERROR(MATCH(AF148,Tables!$E$244:$E$263,1),1),ROWS(Tables!$E$244:$E$263)-1))+1)-INDEX(Tables!$F$244:$F$263,MAX(1,MIN(IFERROR(MATCH(AF148,Tables!$E$244:$E$263,1),1),ROWS(Tables!$E$244:$E$263)-1))))/(INDEX(Tables!$E$244:$E$263,MAX(1,MIN(IFERROR(MATCH(AF148,Tables!$E$244:$E$263,1),1),ROWS(Tables!$E$244:$E$263)-1))+1)-INDEX(Tables!$E$244:$E$263,MAX(1,MIN(IFERROR(MATCH(AF148,Tables!$E$244:$E$263,1),1),ROWS(Tables!$E$244:$E$263)-1)))))))</f>
        <v>6.0990000000000002</v>
      </c>
      <c r="AV148" s="181">
        <f>IF(P148&lt;6,(INDEX(Tables!$B$260:$B$274,MAX(1,MIN(IFERROR(MATCH(U148,Tables!$A$260:$A$274,1),1),ROWS(Tables!$A$260:$A$274)-1)))+(U148-INDEX(Tables!$A$260:$A$274,MAX(1,MIN(IFERROR(MATCH(U148,Tables!$A$260:$A$274,1),1),ROWS(Tables!$A$260:$A$274)-1))))*(INDEX(Tables!$B$260:$B$274,MAX(1,MIN(IFERROR(MATCH(U148,Tables!$A$260:$A$274,1),1),ROWS(Tables!$A$260:$A$274)-1))+1)-INDEX(Tables!$B$260:$B$274,MAX(1,MIN(IFERROR(MATCH(U148,Tables!$A$260:$A$274,1),1),ROWS(Tables!$A$260:$A$274)-1))))/(INDEX(Tables!$A$260:$A$274,MAX(1,MIN(IFERROR(MATCH(U148,Tables!$A$260:$A$274,1),1),ROWS(Tables!$A$260:$A$274)-1))+1)-INDEX(Tables!$A$260:$A$274,MAX(1,MIN(IFERROR(MATCH(U148,Tables!$A$260:$A$274,1),1),ROWS(Tables!$A$260:$A$274)-1))))),IF(P148&lt;8,(INDEX(Tables!$D$260:$D$274,MAX(1,MIN(IFERROR(MATCH(U148,Tables!$C$260:$C$274,1),1),ROWS(Tables!$C$260:$C$274)-1)))+(U148-INDEX(Tables!$C$260:$C$274,MAX(1,MIN(IFERROR(MATCH(U148,Tables!$C$260:$C$274,1),1),ROWS(Tables!$C$260:$C$274)-1))))*(INDEX(Tables!$D$260:$D$274,MAX(1,MIN(IFERROR(MATCH(U148,Tables!$C$260:$C$274,1),1),ROWS(Tables!$C$260:$C$274)-1))+1)-INDEX(Tables!$D$260:$D$274,MAX(1,MIN(IFERROR(MATCH(U148,Tables!$C$260:$C$274,1),1),ROWS(Tables!$C$260:$C$274)-1))))/(INDEX(Tables!$C$260:$C$274,MAX(1,MIN(IFERROR(MATCH(U148,Tables!$C$260:$C$274,1),1),ROWS(Tables!$C$260:$C$274)-1))+1)-INDEX(Tables!$C$260:$C$274,MAX(1,MIN(IFERROR(MATCH(U148,Tables!$C$260:$C$274,1),1),ROWS(Tables!$C$260:$C$274)-1))))),IF(P148&lt;10,(INDEX(Tables!$F$260:$F$274,MAX(1,MIN(IFERROR(MATCH(U148,Tables!$E$260:$E$274,1),1),ROWS(Tables!$E$260:$E$274)-1)))+(U148-INDEX(Tables!$E$260:$E$274,MAX(1,MIN(IFERROR(MATCH(U148,Tables!$E$260:$E$274,1),1),ROWS(Tables!$E$260:$E$274)-1))))*(INDEX(Tables!$F$260:$F$274,MAX(1,MIN(IFERROR(MATCH(U148,Tables!$E$260:$E$274,1),1),ROWS(Tables!$E$260:$E$274)-1))+1)-INDEX(Tables!$F$260:$F$274,MAX(1,MIN(IFERROR(MATCH(U148,Tables!$E$260:$E$274,1),1),ROWS(Tables!$E$260:$E$274)-1))))/(INDEX(Tables!$E$260:$E$274,MAX(1,MIN(IFERROR(MATCH(U148,Tables!$E$260:$E$274,1),1),ROWS(Tables!$E$260:$E$274)-1))+1)-INDEX(Tables!$E$260:$E$274,MAX(1,MIN(IFERROR(MATCH(U148,Tables!$E$260:$E$274,1),1),ROWS(Tables!$E$260:$E$274)-1))))),(INDEX(Tables!$H$260:$H$274,MAX(1,MIN(IFERROR(MATCH(U148,Tables!$G$260:$G$274,1),1),ROWS(Tables!$G$260:$G$274)-1)))+(U148-INDEX(Tables!$G$260:$G$274,MAX(1,MIN(IFERROR(MATCH(U148,Tables!$G$260:$G$274,1),1),ROWS(Tables!$G$260:$G$274)-1))))*(INDEX(Tables!$H$260:$H$274,MAX(1,MIN(IFERROR(MATCH(U148,Tables!$G$260:$G$274,1),1),ROWS(Tables!$G$260:$G$274)-1))+1)-INDEX(Tables!$H$260:$H$274,MAX(1,MIN(IFERROR(MATCH(U148,Tables!$G$260:$G$274,1),1),ROWS(Tables!$G$260:$G$274)-1))))/(INDEX(Tables!$G$260:$G$274,MAX(1,MIN(IFERROR(MATCH(U148,Tables!$G$260:$G$274,1),1),ROWS(Tables!$G$260:$G$274)-1))+1)-INDEX(Tables!$G$260:$G$274,MAX(1,MIN(IFERROR(MATCH(U148,Tables!$G$260:$G$274,1),1),ROWS(Tables!$G$260:$G$274)-1))))))))</f>
        <v>0.45700000000000002</v>
      </c>
      <c r="AW148" s="181">
        <f t="shared" si="137"/>
        <v>212.91439583333337</v>
      </c>
      <c r="AX148" s="181">
        <f t="shared" si="138"/>
        <v>-935.35500000000002</v>
      </c>
      <c r="AY148" s="181">
        <f t="shared" si="139"/>
        <v>12042.722914125263</v>
      </c>
      <c r="AZ148" s="181">
        <f t="shared" si="140"/>
        <v>3773.4061000733345</v>
      </c>
      <c r="BA148" s="181">
        <f t="shared" si="141"/>
        <v>14.73</v>
      </c>
      <c r="BB148" s="181">
        <f t="shared" si="142"/>
        <v>10657.904581545848</v>
      </c>
      <c r="BC148" s="181">
        <f t="shared" si="143"/>
        <v>46800</v>
      </c>
      <c r="BD148" s="181">
        <f>VLOOKUP(V148&amp;" "&amp;J148,Tables!$A$152:$E$239,4,FALSE)</f>
        <v>12000</v>
      </c>
      <c r="BE148" s="181">
        <f>VLOOKUP(V148&amp;" "&amp;J148,Tables!$A$152:$E$239,5,FALSE)</f>
        <v>23000</v>
      </c>
      <c r="BF148" s="181">
        <f t="shared" si="144"/>
        <v>8640</v>
      </c>
      <c r="BG148" s="181">
        <f t="shared" si="145"/>
        <v>16560</v>
      </c>
      <c r="BH148" s="181">
        <f t="shared" si="146"/>
        <v>-942.71999999999991</v>
      </c>
      <c r="BI148" s="181">
        <f t="shared" si="147"/>
        <v>46800</v>
      </c>
      <c r="BJ148" s="181">
        <f t="shared" si="148"/>
        <v>10657.904581545848</v>
      </c>
      <c r="BK148" s="181">
        <f t="shared" si="149"/>
        <v>46800</v>
      </c>
      <c r="BL148" s="181">
        <f t="shared" si="150"/>
        <v>212.91439583333337</v>
      </c>
      <c r="BM148" s="181">
        <f t="shared" si="151"/>
        <v>8640</v>
      </c>
      <c r="BN148" s="181">
        <f t="shared" si="152"/>
        <v>174.41723332525842</v>
      </c>
      <c r="BO148" s="181">
        <f t="shared" si="153"/>
        <v>16560</v>
      </c>
      <c r="BP148" t="str">
        <f t="shared" si="154"/>
        <v>Pass</v>
      </c>
      <c r="BQ148" t="str">
        <f t="shared" si="155"/>
        <v>Pass</v>
      </c>
      <c r="BR148" t="str">
        <f t="shared" si="156"/>
        <v>Pass</v>
      </c>
      <c r="BS148" t="str">
        <f t="shared" si="157"/>
        <v>Pass</v>
      </c>
      <c r="BT148" t="str">
        <f t="shared" si="158"/>
        <v>Pass</v>
      </c>
      <c r="BU148" t="str">
        <f t="shared" si="159"/>
        <v>Effective Stress</v>
      </c>
    </row>
    <row r="149" spans="1:73">
      <c r="A149" t="s">
        <v>741</v>
      </c>
      <c r="B149" s="181">
        <v>147</v>
      </c>
      <c r="C149" t="s">
        <v>594</v>
      </c>
      <c r="D149" s="181">
        <v>6</v>
      </c>
      <c r="E149" s="181">
        <v>0.34399999999999997</v>
      </c>
      <c r="F149" t="s">
        <v>117</v>
      </c>
      <c r="G149" t="s">
        <v>119</v>
      </c>
      <c r="H149" t="s">
        <v>122</v>
      </c>
      <c r="I149" s="181">
        <v>1</v>
      </c>
      <c r="J149" t="s">
        <v>126</v>
      </c>
      <c r="K149" t="s">
        <v>129</v>
      </c>
      <c r="L149" s="181">
        <v>70</v>
      </c>
      <c r="M149" s="181">
        <v>0</v>
      </c>
      <c r="N149" t="s">
        <v>392</v>
      </c>
      <c r="O149" s="181">
        <v>120</v>
      </c>
      <c r="P149" s="181">
        <v>1</v>
      </c>
      <c r="Q149" s="181">
        <v>8.625</v>
      </c>
      <c r="R149" t="s">
        <v>154</v>
      </c>
      <c r="S149" t="s">
        <v>156</v>
      </c>
      <c r="T149" s="181">
        <v>70</v>
      </c>
      <c r="U149" s="181">
        <f>HLOOKUP(D149,'Highway Loading'!$C$155:$AD$156,2,FALSE)</f>
        <v>6.625</v>
      </c>
      <c r="V149" s="181">
        <f>IF(ISBLANK(G149),"",INDEX('Highway Loading'!$C$216:$AG$216,1,MATCH(G149,'Highway Loading'!$C$215:$AG$215,0)))</f>
        <v>65000</v>
      </c>
      <c r="W149" s="181">
        <f>INDEX('Highway Loading'!$I$245:$L$253,MATCH(H149,'Highway Loading'!$H$245:$H$253,0),MATCH(I149,'Highway Loading'!$I$244:$L$244,0))</f>
        <v>0.72</v>
      </c>
      <c r="X149" s="181">
        <f t="shared" si="128"/>
        <v>1</v>
      </c>
      <c r="Y149" s="181">
        <f>VLOOKUP(K149,'Highway Loading'!$B$283:$E$292,2,FALSE)</f>
        <v>29000000</v>
      </c>
      <c r="Z149" s="181">
        <f>VLOOKUP(K149,'Highway Loading'!$B$283:$E$292,3,FALSE)</f>
        <v>0.3</v>
      </c>
      <c r="AA149" s="181">
        <f>VLOOKUP(K149,'Highway Loading'!$B$283:$E$292,4,FALSE)</f>
        <v>6.4999999999999996E-6</v>
      </c>
      <c r="AB149" s="181">
        <f t="shared" si="129"/>
        <v>1</v>
      </c>
      <c r="AC149" s="181">
        <f>VLOOKUP(N149,'Highway Loading'!$B$256:$D$261,2,FALSE)</f>
        <v>2000</v>
      </c>
      <c r="AD149" s="181">
        <f>VLOOKUP(N149,'Highway Loading'!$B$256:$D$261,3,FALSE)</f>
        <v>20000</v>
      </c>
      <c r="AE149" s="181">
        <f>VLOOKUP(S149,'Highway Loading'!$B$340:$C$341,2,FALSE)</f>
        <v>10000</v>
      </c>
      <c r="AF149" s="181">
        <f t="shared" si="130"/>
        <v>5.1924528301886791E-2</v>
      </c>
      <c r="AG149" s="181">
        <f t="shared" si="131"/>
        <v>1.3913043478260869</v>
      </c>
      <c r="AH149" s="181">
        <f t="shared" si="132"/>
        <v>1.3018867924528301</v>
      </c>
      <c r="AI149" s="181">
        <f t="shared" si="133"/>
        <v>0</v>
      </c>
      <c r="AJ149" s="181">
        <f t="shared" si="134"/>
        <v>46800</v>
      </c>
      <c r="AK149" s="181">
        <f>IF(AC149=200,(INDEX(Tables!$B$17:$B$38,MAX(1,MIN(IFERROR(MATCH(AF149,Tables!$A$17:$A$38,1),1),ROWS(Tables!$A$17:$A$38)-1)))+(AF149-INDEX(Tables!$A$17:$A$38,MAX(1,MIN(IFERROR(MATCH(AF149,Tables!$A$17:$A$38,1),1),ROWS(Tables!$A$17:$A$38)-1))))*(INDEX(Tables!$B$17:$B$38,MAX(1,MIN(IFERROR(MATCH(AF149,Tables!$A$17:$A$38,1),1),ROWS(Tables!$A$17:$A$38)-1))+1)-INDEX(Tables!$B$17:$B$38,MAX(1,MIN(IFERROR(MATCH(AF149,Tables!$A$17:$A$38,1),1),ROWS(Tables!$A$17:$A$38)-1))))/(INDEX(Tables!$A$17:$A$38,MAX(1,MIN(IFERROR(MATCH(AF149,Tables!$A$17:$A$38,1),1),ROWS(Tables!$A$17:$A$38)-1))+1)-INDEX(Tables!$A$17:$A$38,MAX(1,MIN(IFERROR(MATCH(AF149,Tables!$A$17:$A$38,1),1),ROWS(Tables!$A$17:$A$38)-1))))),IF(AC149=500,(INDEX(Tables!$D$17:$D$38,MAX(1,MIN(IFERROR(MATCH(AF149,Tables!$C$17:$C$38,1),1),ROWS(Tables!$C$17:$C$38)-1)))+(AF149-INDEX(Tables!$C$17:$C$38,MAX(1,MIN(IFERROR(MATCH(AF149,Tables!$C$17:$C$38,1),1),ROWS(Tables!$C$17:$C$38)-1))))*(INDEX(Tables!$D$17:$D$38,MAX(1,MIN(IFERROR(MATCH(AF149,Tables!$C$17:$C$38,1),1),ROWS(Tables!$C$17:$C$38)-1))+1)-INDEX(Tables!$D$17:$D$38,MAX(1,MIN(IFERROR(MATCH(AF149,Tables!$C$17:$C$38,1),1),ROWS(Tables!$C$17:$C$38)-1))))/(INDEX(Tables!$C$17:$C$38,MAX(1,MIN(IFERROR(MATCH(AF149,Tables!$C$17:$C$38,1),1),ROWS(Tables!$C$17:$C$38)-1))+1)-INDEX(Tables!$C$17:$C$38,MAX(1,MIN(IFERROR(MATCH(AF149,Tables!$C$17:$C$38,1),1),ROWS(Tables!$C$17:$C$38)-1))))),IF(AC149=1000,(INDEX(Tables!$F$17:$F$38,MAX(1,MIN(IFERROR(MATCH(AF149,Tables!$E$17:$E$38,1),1),ROWS(Tables!$E$17:$E$38)-1)))+(AF149-INDEX(Tables!$E$17:$E$38,MAX(1,MIN(IFERROR(MATCH(AF149,Tables!$E$17:$E$38,1),1),ROWS(Tables!$E$17:$E$38)-1))))*(INDEX(Tables!$F$17:$F$38,MAX(1,MIN(IFERROR(MATCH(AF149,Tables!$E$17:$E$38,1),1),ROWS(Tables!$E$17:$E$38)-1))+1)-INDEX(Tables!$F$17:$F$38,MAX(1,MIN(IFERROR(MATCH(AF149,Tables!$E$17:$E$38,1),1),ROWS(Tables!$E$17:$E$38)-1))))/(INDEX(Tables!$E$17:$E$38,MAX(1,MIN(IFERROR(MATCH(AF149,Tables!$E$17:$E$38,1),1),ROWS(Tables!$E$17:$E$38)-1))+1)-INDEX(Tables!$E$17:$E$38,MAX(1,MIN(IFERROR(MATCH(AF149,Tables!$E$17:$E$38,1),1),ROWS(Tables!$E$17:$E$38)-1))))),(INDEX(Tables!$H$17:$H$38,MAX(1,MIN(IFERROR(MATCH(AF149,Tables!$G$17:$G$38,1),1),ROWS(Tables!$G$17:$G$38)-1)))+(AF149-INDEX(Tables!$G$17:$G$38,MAX(1,MIN(IFERROR(MATCH(AF149,Tables!$G$17:$G$38,1),1),ROWS(Tables!$G$17:$G$38)-1))))*(INDEX(Tables!$H$17:$H$38,MAX(1,MIN(IFERROR(MATCH(AF149,Tables!$G$17:$G$38,1),1),ROWS(Tables!$G$17:$G$38)-1))+1)-INDEX(Tables!$H$17:$H$38,MAX(1,MIN(IFERROR(MATCH(AF149,Tables!$G$17:$G$38,1),1),ROWS(Tables!$G$17:$G$38)-1))))/(INDEX(Tables!$G$17:$G$38,MAX(1,MIN(IFERROR(MATCH(AF149,Tables!$G$17:$G$38,1),1),ROWS(Tables!$G$17:$G$38)-1))+1)-INDEX(Tables!$G$17:$G$38,MAX(1,MIN(IFERROR(MATCH(AF149,Tables!$G$17:$G$38,1),1),ROWS(Tables!$G$17:$G$38)-1))))))))</f>
        <v>434.21132075471701</v>
      </c>
      <c r="AL149" s="181">
        <f>IF(AC149&lt;1000,(INDEX(Tables!$B$43:$B$76,MAX(1,MIN(IFERROR(MATCH(AG149,Tables!$A$43:$A$76,1),1),ROWS(Tables!$A$43:$A$76)-1)))+(AG149-INDEX(Tables!$A$43:$A$76,MAX(1,MIN(IFERROR(MATCH(AG149,Tables!$A$43:$A$76,1),1),ROWS(Tables!$A$43:$A$76)-1))))*(INDEX(Tables!$B$43:$B$76,MAX(1,MIN(IFERROR(MATCH(AG149,Tables!$A$43:$A$76,1),1),ROWS(Tables!$A$43:$A$76)-1))+1)-INDEX(Tables!$B$43:$B$76,MAX(1,MIN(IFERROR(MATCH(AG149,Tables!$A$43:$A$76,1),1),ROWS(Tables!$A$43:$A$76)-1))))/(INDEX(Tables!$A$43:$A$76,MAX(1,MIN(IFERROR(MATCH(AG149,Tables!$A$43:$A$76,1),1),ROWS(Tables!$A$43:$A$76)-1))+1)-INDEX(Tables!$A$43:$A$76,MAX(1,MIN(IFERROR(MATCH(AG149,Tables!$A$43:$A$76,1),1),ROWS(Tables!$A$43:$A$76)-1))))),(INDEX(Tables!$D$43:$D$76,MAX(1,MIN(IFERROR(MATCH(AG149,Tables!$C$43:$C$76,1),1),ROWS(Tables!$C$43:$C$76)-1)))+(AG149-INDEX(Tables!$C$43:$C$76,MAX(1,MIN(IFERROR(MATCH(AG149,Tables!$C$43:$C$76,1),1),ROWS(Tables!$C$43:$C$76)-1))))*(INDEX(Tables!$D$43:$D$76,MAX(1,MIN(IFERROR(MATCH(AG149,Tables!$C$43:$C$76,1),1),ROWS(Tables!$C$43:$C$76)-1))+1)-INDEX(Tables!$D$43:$D$76,MAX(1,MIN(IFERROR(MATCH(AG149,Tables!$C$43:$C$76,1),1),ROWS(Tables!$C$43:$C$76)-1))))/(INDEX(Tables!$C$43:$C$76,MAX(1,MIN(IFERROR(MATCH(AG149,Tables!$C$43:$C$76,1),1),ROWS(Tables!$C$43:$C$76)-1))+1)-INDEX(Tables!$C$43:$C$76,MAX(1,MIN(IFERROR(MATCH(AG149,Tables!$C$43:$C$76,1),1),ROWS(Tables!$C$43:$C$76)-1))))))</f>
        <v>0.44230434782608696</v>
      </c>
      <c r="AM149" s="181">
        <f>(INDEX(Tables!$B$80:$B$87,MAX(1,MIN(IFERROR(MATCH(AH149,Tables!$A$80:$A$87,1),1),ROWS(Tables!$A$80:$A$87)-1)))+(AH149-INDEX(Tables!$A$80:$A$87,MAX(1,MIN(IFERROR(MATCH(AH149,Tables!$A$80:$A$87,1),1),ROWS(Tables!$A$80:$A$87)-1))))*(INDEX(Tables!$B$80:$B$87,MAX(1,MIN(IFERROR(MATCH(AH149,Tables!$A$80:$A$87,1),1),ROWS(Tables!$A$80:$A$87)-1))+1)-INDEX(Tables!$B$80:$B$87,MAX(1,MIN(IFERROR(MATCH(AH149,Tables!$A$80:$A$87,1),1),ROWS(Tables!$A$80:$A$87)-1))))/(INDEX(Tables!$A$80:$A$87,MAX(1,MIN(IFERROR(MATCH(AH149,Tables!$A$80:$A$87,1),1),ROWS(Tables!$A$80:$A$87)-1))+1)-INDEX(Tables!$A$80:$A$87,MAX(1,MIN(IFERROR(MATCH(AH149,Tables!$A$80:$A$87,1),1),ROWS(Tables!$A$80:$A$87)-1)))))</f>
        <v>1.403996226415094</v>
      </c>
      <c r="AN149" s="181">
        <f t="shared" si="135"/>
        <v>124.05425978564566</v>
      </c>
      <c r="AO149" s="181">
        <f>(INDEX(Tables!$B$91:$B$94,MAX(1,MIN(IFERROR(MATCH(P149,Tables!$A$91:$A$94,1),1),ROWS(Tables!$A$91:$A$94)-1)))+(P149-INDEX(Tables!$A$91:$A$94,MAX(1,MIN(IFERROR(MATCH(P149,Tables!$A$91:$A$94,1),1),ROWS(Tables!$A$91:$A$94)-1))))*(INDEX(Tables!$B$91:$B$94,MAX(1,MIN(IFERROR(MATCH(P149,Tables!$A$91:$A$94,1),1),ROWS(Tables!$A$91:$A$94)-1))+1)-INDEX(Tables!$B$91:$B$94,MAX(1,MIN(IFERROR(MATCH(P149,Tables!$A$91:$A$94,1),1),ROWS(Tables!$A$91:$A$94)-1))))/(INDEX(Tables!$A$91:$A$94,MAX(1,MIN(IFERROR(MATCH(P149,Tables!$A$91:$A$94,1),1),ROWS(Tables!$A$91:$A$94)-1))+1)-INDEX(Tables!$A$91:$A$94,MAX(1,MIN(IFERROR(MATCH(P149,Tables!$A$91:$A$94,1),1),ROWS(Tables!$A$91:$A$94)-1)))))</f>
        <v>1.5</v>
      </c>
      <c r="AP149" s="181">
        <f>IF(AD149=5000,(INDEX(Tables!$B$99:$B$118,MAX(1,MIN(IFERROR(MATCH(AF149,Tables!$A$99:$A$118,1),1),ROWS(Tables!$A$99:$A$118)-1)))+(AF149-INDEX(Tables!$A$99:$A$118,MAX(1,MIN(IFERROR(MATCH(AF149,Tables!$A$99:$A$118,1),1),ROWS(Tables!$A$99:$A$118)-1))))*(INDEX(Tables!$B$99:$B$118,MAX(1,MIN(IFERROR(MATCH(AF149,Tables!$A$99:$A$118,1),1),ROWS(Tables!$A$99:$A$118)-1))+1)-INDEX(Tables!$B$99:$B$118,MAX(1,MIN(IFERROR(MATCH(AF149,Tables!$A$99:$A$118,1),1),ROWS(Tables!$A$99:$A$118)-1))))/(INDEX(Tables!$A$99:$A$118,MAX(1,MIN(IFERROR(MATCH(AF149,Tables!$A$99:$A$118,1),1),ROWS(Tables!$A$99:$A$118)-1))+1)-INDEX(Tables!$A$99:$A$118,MAX(1,MIN(IFERROR(MATCH(AF149,Tables!$A$99:$A$118,1),1),ROWS(Tables!$A$99:$A$118)-1))))),IF(AD149=10000,(INDEX(Tables!$D$99:$D$118,MAX(1,MIN(IFERROR(MATCH(AF149,Tables!$C$99:$C$118,1),1),ROWS(Tables!$C$99:$C$118)-1)))+(AF149-INDEX(Tables!$C$99:$C$118,MAX(1,MIN(IFERROR(MATCH(AF149,Tables!$C$99:$C$118,1),1),ROWS(Tables!$C$99:$C$118)-1))))*(INDEX(Tables!$D$99:$D$118,MAX(1,MIN(IFERROR(MATCH(AF149,Tables!$C$99:$C$118,1),1),ROWS(Tables!$C$99:$C$118)-1))+1)-INDEX(Tables!$D$99:$D$118,MAX(1,MIN(IFERROR(MATCH(AF149,Tables!$C$99:$C$118,1),1),ROWS(Tables!$C$99:$C$118)-1))))/(INDEX(Tables!$C$99:$C$118,MAX(1,MIN(IFERROR(MATCH(AF149,Tables!$C$99:$C$118,1),1),ROWS(Tables!$C$99:$C$118)-1))+1)-INDEX(Tables!$C$99:$C$118,MAX(1,MIN(IFERROR(MATCH(AF149,Tables!$C$99:$C$118,1),1),ROWS(Tables!$C$99:$C$118)-1))))),(INDEX(Tables!$F$99:$F$118,MAX(1,MIN(IFERROR(MATCH(AF149,Tables!$E$99:$E$118,1),1),ROWS(Tables!$E$99:$E$118)-1)))+(AF149-INDEX(Tables!$E$99:$E$118,MAX(1,MIN(IFERROR(MATCH(AF149,Tables!$E$99:$E$118,1),1),ROWS(Tables!$E$99:$E$118)-1))))*(INDEX(Tables!$F$99:$F$118,MAX(1,MIN(IFERROR(MATCH(AF149,Tables!$E$99:$E$118,1),1),ROWS(Tables!$E$99:$E$118)-1))+1)-INDEX(Tables!$F$99:$F$118,MAX(1,MIN(IFERROR(MATCH(AF149,Tables!$E$99:$E$118,1),1),ROWS(Tables!$E$99:$E$118)-1))))/(INDEX(Tables!$E$99:$E$118,MAX(1,MIN(IFERROR(MATCH(AF149,Tables!$E$99:$E$118,1),1),ROWS(Tables!$E$99:$E$118)-1))+1)-INDEX(Tables!$E$99:$E$118,MAX(1,MIN(IFERROR(MATCH(AF149,Tables!$E$99:$E$118,1),1),ROWS(Tables!$E$99:$E$118)-1)))))))</f>
        <v>4.4737601746452516</v>
      </c>
      <c r="AQ149" s="181">
        <f>IF(P149&lt;6,(INDEX(Tables!$B$123:$B$138,MAX(1,MIN(IFERROR(MATCH(U149,Tables!$A$123:$A$138,1),1),ROWS(Tables!$A$123:$A$138)-1)))+(U149-INDEX(Tables!$A$123:$A$138,MAX(1,MIN(IFERROR(MATCH(U149,Tables!$A$123:$A$138,1),1),ROWS(Tables!$A$123:$A$138)-1))))*(INDEX(Tables!$B$123:$B$138,MAX(1,MIN(IFERROR(MATCH(U149,Tables!$A$123:$A$138,1),1),ROWS(Tables!$A$123:$A$138)-1))+1)-INDEX(Tables!$B$123:$B$138,MAX(1,MIN(IFERROR(MATCH(U149,Tables!$A$123:$A$138,1),1),ROWS(Tables!$A$123:$A$138)-1))))/(INDEX(Tables!$A$123:$A$138,MAX(1,MIN(IFERROR(MATCH(U149,Tables!$A$123:$A$138,1),1),ROWS(Tables!$A$123:$A$138)-1))+1)-INDEX(Tables!$A$123:$A$138,MAX(1,MIN(IFERROR(MATCH(U149,Tables!$A$123:$A$138,1),1),ROWS(Tables!$A$123:$A$138)-1))))),IF(P149&lt;8,(INDEX(Tables!$D$123:$D$138,MAX(1,MIN(IFERROR(MATCH(U149,Tables!$C$123:$C$138,1),1),ROWS(Tables!$C$123:$C$138)-1)))+(U149-INDEX(Tables!$C$123:$C$138,MAX(1,MIN(IFERROR(MATCH(U149,Tables!$C$123:$C$138,1),1),ROWS(Tables!$C$123:$C$138)-1))))*(INDEX(Tables!$D$123:$D$138,MAX(1,MIN(IFERROR(MATCH(U149,Tables!$C$123:$C$138,1),1),ROWS(Tables!$C$123:$C$138)-1))+1)-INDEX(Tables!$D$123:$D$138,MAX(1,MIN(IFERROR(MATCH(U149,Tables!$C$123:$C$138,1),1),ROWS(Tables!$C$123:$C$138)-1))))/(INDEX(Tables!$C$123:$C$138,MAX(1,MIN(IFERROR(MATCH(U149,Tables!$C$123:$C$138,1),1),ROWS(Tables!$C$123:$C$138)-1))+1)-INDEX(Tables!$C$123:$C$138,MAX(1,MIN(IFERROR(MATCH(U149,Tables!$C$123:$C$138,1),1),ROWS(Tables!$C$123:$C$138)-1))))),IF(P149&lt;10,(INDEX(Tables!$F$123:$F$138,MAX(1,MIN(IFERROR(MATCH(U149,Tables!$E$123:$E$138,1),1),ROWS(Tables!$E$123:$E$138)-1)))+(U149-INDEX(Tables!$E$123:$E$138,MAX(1,MIN(IFERROR(MATCH(U149,Tables!$E$123:$E$138,1),1),ROWS(Tables!$E$123:$E$138)-1))))*(INDEX(Tables!$F$123:$F$138,MAX(1,MIN(IFERROR(MATCH(U149,Tables!$E$123:$E$138,1),1),ROWS(Tables!$E$123:$E$138)-1))+1)-INDEX(Tables!$F$123:$F$138,MAX(1,MIN(IFERROR(MATCH(U149,Tables!$E$123:$E$138,1),1),ROWS(Tables!$E$123:$E$138)-1))))/(INDEX(Tables!$E$123:$E$138,MAX(1,MIN(IFERROR(MATCH(U149,Tables!$E$123:$E$138,1),1),ROWS(Tables!$E$123:$E$138)-1))+1)-INDEX(Tables!$E$123:$E$138,MAX(1,MIN(IFERROR(MATCH(U149,Tables!$E$123:$E$138,1),1),ROWS(Tables!$E$123:$E$138)-1))))),(INDEX(Tables!$H$123:$H$138,MAX(1,MIN(IFERROR(MATCH(U149,Tables!$G$123:$G$138,1),1),ROWS(Tables!$G$123:$G$138)-1)))+(U149-INDEX(Tables!$G$123:$G$138,MAX(1,MIN(IFERROR(MATCH(U149,Tables!$G$123:$G$138,1),1),ROWS(Tables!$G$123:$G$138)-1))))*(INDEX(Tables!$H$123:$H$138,MAX(1,MIN(IFERROR(MATCH(U149,Tables!$G$123:$G$138,1),1),ROWS(Tables!$G$123:$G$138)-1))+1)-INDEX(Tables!$H$123:$H$138,MAX(1,MIN(IFERROR(MATCH(U149,Tables!$G$123:$G$138,1),1),ROWS(Tables!$G$123:$G$138)-1))))/(INDEX(Tables!$G$123:$G$138,MAX(1,MIN(IFERROR(MATCH(U149,Tables!$G$123:$G$138,1),1),ROWS(Tables!$G$123:$G$138)-1))+1)-INDEX(Tables!$G$123:$G$138,MAX(1,MIN(IFERROR(MATCH(U149,Tables!$G$123:$G$138,1),1),ROWS(Tables!$G$123:$G$138)-1))))))))</f>
        <v>1.4501250000000001</v>
      </c>
      <c r="AR149" s="181">
        <f>IF(OR(P149&gt;=4,U149&gt;12),VLOOKUP(R149&amp;" "&amp;S149,Tables!$D$143:$F$148,2,FALSE),VLOOKUP(R149&amp;" "&amp;S149,Tables!$A$143:$C$148,2,FALSE))</f>
        <v>1</v>
      </c>
      <c r="AS149" s="181">
        <f>IF(OR(P149&gt;=4,U149&gt;12),VLOOKUP(R149&amp;" "&amp;S149,Tables!$D$143:$F$148,3,FALSE),VLOOKUP(R149&amp;" "&amp;S149,Tables!$A$143:$C$148,3,FALSE))</f>
        <v>1</v>
      </c>
      <c r="AT149" s="181">
        <f t="shared" si="136"/>
        <v>675.782445130984</v>
      </c>
      <c r="AU149" s="181">
        <f>IF(AD149=5000,(INDEX(Tables!$B$244:$B$263,MAX(1,MIN(IFERROR(MATCH(AF149,Tables!$A$244:$A$263,1),1),ROWS(Tables!$A$244:$A$263)-1)))+(AF149-INDEX(Tables!$A$244:$A$263,MAX(1,MIN(IFERROR(MATCH(AF149,Tables!$A$244:$A$263,1),1),ROWS(Tables!$A$244:$A$263)-1))))*(INDEX(Tables!$B$244:$B$263,MAX(1,MIN(IFERROR(MATCH(AF149,Tables!$A$244:$A$263,1),1),ROWS(Tables!$A$244:$A$263)-1))+1)-INDEX(Tables!$B$244:$B$263,MAX(1,MIN(IFERROR(MATCH(AF149,Tables!$A$244:$A$263,1),1),ROWS(Tables!$A$244:$A$263)-1))))/(INDEX(Tables!$A$244:$A$263,MAX(1,MIN(IFERROR(MATCH(AF149,Tables!$A$244:$A$263,1),1),ROWS(Tables!$A$244:$A$263)-1))+1)-INDEX(Tables!$A$244:$A$263,MAX(1,MIN(IFERROR(MATCH(AF149,Tables!$A$244:$A$263,1),1),ROWS(Tables!$A$244:$A$263)-1))))),IF(AD149=10000,(INDEX(Tables!$D$244:$D$263,MAX(1,MIN(IFERROR(MATCH(AF149,Tables!$C$244:$C$263,1),1),ROWS(Tables!$C$244:$C$263)-1)))+(AF149-INDEX(Tables!$C$244:$C$263,MAX(1,MIN(IFERROR(MATCH(AF149,Tables!$C$244:$C$263,1),1),ROWS(Tables!$C$244:$C$263)-1))))*(INDEX(Tables!$D$244:$D$263,MAX(1,MIN(IFERROR(MATCH(AF149,Tables!$C$244:$C$263,1),1),ROWS(Tables!$C$244:$C$263)-1))+1)-INDEX(Tables!$D$244:$D$263,MAX(1,MIN(IFERROR(MATCH(AF149,Tables!$C$244:$C$263,1),1),ROWS(Tables!$C$244:$C$263)-1))))/(INDEX(Tables!$C$244:$C$263,MAX(1,MIN(IFERROR(MATCH(AF149,Tables!$C$244:$C$263,1),1),ROWS(Tables!$C$244:$C$263)-1))+1)-INDEX(Tables!$C$244:$C$263,MAX(1,MIN(IFERROR(MATCH(AF149,Tables!$C$244:$C$263,1),1),ROWS(Tables!$C$244:$C$263)-1))))),(INDEX(Tables!$F$244:$F$263,MAX(1,MIN(IFERROR(MATCH(AF149,Tables!$E$244:$E$263,1),1),ROWS(Tables!$E$244:$E$263)-1)))+(AF149-INDEX(Tables!$E$244:$E$263,MAX(1,MIN(IFERROR(MATCH(AF149,Tables!$E$244:$E$263,1),1),ROWS(Tables!$E$244:$E$263)-1))))*(INDEX(Tables!$F$244:$F$263,MAX(1,MIN(IFERROR(MATCH(AF149,Tables!$E$244:$E$263,1),1),ROWS(Tables!$E$244:$E$263)-1))+1)-INDEX(Tables!$F$244:$F$263,MAX(1,MIN(IFERROR(MATCH(AF149,Tables!$E$244:$E$263,1),1),ROWS(Tables!$E$244:$E$263)-1))))/(INDEX(Tables!$E$244:$E$263,MAX(1,MIN(IFERROR(MATCH(AF149,Tables!$E$244:$E$263,1),1),ROWS(Tables!$E$244:$E$263)-1))+1)-INDEX(Tables!$E$244:$E$263,MAX(1,MIN(IFERROR(MATCH(AF149,Tables!$E$244:$E$263,1),1),ROWS(Tables!$E$244:$E$263)-1)))))))</f>
        <v>3.8508792452830192</v>
      </c>
      <c r="AV149" s="181">
        <f>IF(P149&lt;6,(INDEX(Tables!$B$260:$B$274,MAX(1,MIN(IFERROR(MATCH(U149,Tables!$A$260:$A$274,1),1),ROWS(Tables!$A$260:$A$274)-1)))+(U149-INDEX(Tables!$A$260:$A$274,MAX(1,MIN(IFERROR(MATCH(U149,Tables!$A$260:$A$274,1),1),ROWS(Tables!$A$260:$A$274)-1))))*(INDEX(Tables!$B$260:$B$274,MAX(1,MIN(IFERROR(MATCH(U149,Tables!$A$260:$A$274,1),1),ROWS(Tables!$A$260:$A$274)-1))+1)-INDEX(Tables!$B$260:$B$274,MAX(1,MIN(IFERROR(MATCH(U149,Tables!$A$260:$A$274,1),1),ROWS(Tables!$A$260:$A$274)-1))))/(INDEX(Tables!$A$260:$A$274,MAX(1,MIN(IFERROR(MATCH(U149,Tables!$A$260:$A$274,1),1),ROWS(Tables!$A$260:$A$274)-1))+1)-INDEX(Tables!$A$260:$A$274,MAX(1,MIN(IFERROR(MATCH(U149,Tables!$A$260:$A$274,1),1),ROWS(Tables!$A$260:$A$274)-1))))),IF(P149&lt;8,(INDEX(Tables!$D$260:$D$274,MAX(1,MIN(IFERROR(MATCH(U149,Tables!$C$260:$C$274,1),1),ROWS(Tables!$C$260:$C$274)-1)))+(U149-INDEX(Tables!$C$260:$C$274,MAX(1,MIN(IFERROR(MATCH(U149,Tables!$C$260:$C$274,1),1),ROWS(Tables!$C$260:$C$274)-1))))*(INDEX(Tables!$D$260:$D$274,MAX(1,MIN(IFERROR(MATCH(U149,Tables!$C$260:$C$274,1),1),ROWS(Tables!$C$260:$C$274)-1))+1)-INDEX(Tables!$D$260:$D$274,MAX(1,MIN(IFERROR(MATCH(U149,Tables!$C$260:$C$274,1),1),ROWS(Tables!$C$260:$C$274)-1))))/(INDEX(Tables!$C$260:$C$274,MAX(1,MIN(IFERROR(MATCH(U149,Tables!$C$260:$C$274,1),1),ROWS(Tables!$C$260:$C$274)-1))+1)-INDEX(Tables!$C$260:$C$274,MAX(1,MIN(IFERROR(MATCH(U149,Tables!$C$260:$C$274,1),1),ROWS(Tables!$C$260:$C$274)-1))))),IF(P149&lt;10,(INDEX(Tables!$F$260:$F$274,MAX(1,MIN(IFERROR(MATCH(U149,Tables!$E$260:$E$274,1),1),ROWS(Tables!$E$260:$E$274)-1)))+(U149-INDEX(Tables!$E$260:$E$274,MAX(1,MIN(IFERROR(MATCH(U149,Tables!$E$260:$E$274,1),1),ROWS(Tables!$E$260:$E$274)-1))))*(INDEX(Tables!$F$260:$F$274,MAX(1,MIN(IFERROR(MATCH(U149,Tables!$E$260:$E$274,1),1),ROWS(Tables!$E$260:$E$274)-1))+1)-INDEX(Tables!$F$260:$F$274,MAX(1,MIN(IFERROR(MATCH(U149,Tables!$E$260:$E$274,1),1),ROWS(Tables!$E$260:$E$274)-1))))/(INDEX(Tables!$E$260:$E$274,MAX(1,MIN(IFERROR(MATCH(U149,Tables!$E$260:$E$274,1),1),ROWS(Tables!$E$260:$E$274)-1))+1)-INDEX(Tables!$E$260:$E$274,MAX(1,MIN(IFERROR(MATCH(U149,Tables!$E$260:$E$274,1),1),ROWS(Tables!$E$260:$E$274)-1))))),(INDEX(Tables!$H$260:$H$274,MAX(1,MIN(IFERROR(MATCH(U149,Tables!$G$260:$G$274,1),1),ROWS(Tables!$G$260:$G$274)-1)))+(U149-INDEX(Tables!$G$260:$G$274,MAX(1,MIN(IFERROR(MATCH(U149,Tables!$G$260:$G$274,1),1),ROWS(Tables!$G$260:$G$274)-1))))*(INDEX(Tables!$H$260:$H$274,MAX(1,MIN(IFERROR(MATCH(U149,Tables!$G$260:$G$274,1),1),ROWS(Tables!$G$260:$G$274)-1))+1)-INDEX(Tables!$H$260:$H$274,MAX(1,MIN(IFERROR(MATCH(U149,Tables!$G$260:$G$274,1),1),ROWS(Tables!$G$260:$G$274)-1))))/(INDEX(Tables!$G$260:$G$274,MAX(1,MIN(IFERROR(MATCH(U149,Tables!$G$260:$G$274,1),1),ROWS(Tables!$G$260:$G$274)-1))+1)-INDEX(Tables!$G$260:$G$274,MAX(1,MIN(IFERROR(MATCH(U149,Tables!$G$260:$G$274,1),1),ROWS(Tables!$G$260:$G$274)-1))))))))</f>
        <v>1.4965000000000002</v>
      </c>
      <c r="AW149" s="181">
        <f t="shared" si="137"/>
        <v>600.29591568396245</v>
      </c>
      <c r="AX149" s="181">
        <f t="shared" si="138"/>
        <v>0</v>
      </c>
      <c r="AY149" s="181">
        <f t="shared" si="139"/>
        <v>799.83670491662963</v>
      </c>
      <c r="AZ149" s="181">
        <f t="shared" si="140"/>
        <v>637.51219361965616</v>
      </c>
      <c r="BA149" s="181">
        <f t="shared" si="141"/>
        <v>0</v>
      </c>
      <c r="BB149" s="181">
        <f t="shared" si="142"/>
        <v>732.29427094353218</v>
      </c>
      <c r="BC149" s="181">
        <f t="shared" si="143"/>
        <v>46800</v>
      </c>
      <c r="BD149" s="181">
        <f>VLOOKUP(V149&amp;" "&amp;J149,Tables!$A$152:$E$239,4,FALSE)</f>
        <v>12000</v>
      </c>
      <c r="BE149" s="181">
        <f>VLOOKUP(V149&amp;" "&amp;J149,Tables!$A$152:$E$239,5,FALSE)</f>
        <v>23000</v>
      </c>
      <c r="BF149" s="181">
        <f t="shared" si="144"/>
        <v>8640</v>
      </c>
      <c r="BG149" s="181">
        <f t="shared" si="145"/>
        <v>16560</v>
      </c>
      <c r="BH149" s="181">
        <f t="shared" si="146"/>
        <v>0</v>
      </c>
      <c r="BI149" s="181">
        <f t="shared" si="147"/>
        <v>46800</v>
      </c>
      <c r="BJ149" s="181">
        <f t="shared" si="148"/>
        <v>732.29427094353218</v>
      </c>
      <c r="BK149" s="181">
        <f t="shared" si="149"/>
        <v>46800</v>
      </c>
      <c r="BL149" s="181">
        <f t="shared" si="150"/>
        <v>600.29591568396245</v>
      </c>
      <c r="BM149" s="181">
        <f t="shared" si="151"/>
        <v>8640</v>
      </c>
      <c r="BN149" s="181">
        <f t="shared" si="152"/>
        <v>675.782445130984</v>
      </c>
      <c r="BO149" s="181">
        <f t="shared" si="153"/>
        <v>16560</v>
      </c>
      <c r="BP149" t="str">
        <f t="shared" si="154"/>
        <v>Pass</v>
      </c>
      <c r="BQ149" t="str">
        <f t="shared" si="155"/>
        <v>Pass</v>
      </c>
      <c r="BR149" t="str">
        <f t="shared" si="156"/>
        <v>Pass</v>
      </c>
      <c r="BS149" t="str">
        <f t="shared" si="157"/>
        <v>Pass</v>
      </c>
      <c r="BT149" t="str">
        <f t="shared" si="158"/>
        <v>Pass</v>
      </c>
      <c r="BU149" t="str">
        <f t="shared" si="159"/>
        <v>Girth Weld Stress</v>
      </c>
    </row>
    <row r="150" spans="1:73">
      <c r="A150" t="s">
        <v>742</v>
      </c>
      <c r="B150" s="181">
        <v>148</v>
      </c>
      <c r="C150" t="s">
        <v>594</v>
      </c>
      <c r="D150" s="181">
        <v>8</v>
      </c>
      <c r="E150" s="181">
        <v>0.375</v>
      </c>
      <c r="F150" t="s">
        <v>117</v>
      </c>
      <c r="G150" t="s">
        <v>119</v>
      </c>
      <c r="H150" t="s">
        <v>122</v>
      </c>
      <c r="I150" s="181">
        <v>1</v>
      </c>
      <c r="J150" t="s">
        <v>126</v>
      </c>
      <c r="K150" t="s">
        <v>129</v>
      </c>
      <c r="L150" s="181">
        <v>70</v>
      </c>
      <c r="M150" s="181">
        <v>0</v>
      </c>
      <c r="N150" t="s">
        <v>392</v>
      </c>
      <c r="O150" s="181">
        <v>120</v>
      </c>
      <c r="P150" s="181">
        <v>3</v>
      </c>
      <c r="Q150" s="181">
        <v>10.625</v>
      </c>
      <c r="R150" t="s">
        <v>154</v>
      </c>
      <c r="S150" t="s">
        <v>156</v>
      </c>
      <c r="T150" s="181">
        <v>70</v>
      </c>
      <c r="U150" s="181">
        <f>HLOOKUP(D150,'Highway Loading'!$C$155:$AD$156,2,FALSE)</f>
        <v>8.625</v>
      </c>
      <c r="V150" s="181">
        <f>IF(ISBLANK(G150),"",INDEX('Highway Loading'!$C$216:$AG$216,1,MATCH(G150,'Highway Loading'!$C$215:$AG$215,0)))</f>
        <v>65000</v>
      </c>
      <c r="W150" s="181">
        <f>INDEX('Highway Loading'!$I$245:$L$253,MATCH(H150,'Highway Loading'!$H$245:$H$253,0),MATCH(I150,'Highway Loading'!$I$244:$L$244,0))</f>
        <v>0.72</v>
      </c>
      <c r="X150" s="181">
        <f t="shared" si="128"/>
        <v>1</v>
      </c>
      <c r="Y150" s="181">
        <f>VLOOKUP(K150,'Highway Loading'!$B$283:$E$292,2,FALSE)</f>
        <v>29000000</v>
      </c>
      <c r="Z150" s="181">
        <f>VLOOKUP(K150,'Highway Loading'!$B$283:$E$292,3,FALSE)</f>
        <v>0.3</v>
      </c>
      <c r="AA150" s="181">
        <f>VLOOKUP(K150,'Highway Loading'!$B$283:$E$292,4,FALSE)</f>
        <v>6.4999999999999996E-6</v>
      </c>
      <c r="AB150" s="181">
        <f t="shared" si="129"/>
        <v>1</v>
      </c>
      <c r="AC150" s="181">
        <f>VLOOKUP(N150,'Highway Loading'!$B$256:$D$261,2,FALSE)</f>
        <v>2000</v>
      </c>
      <c r="AD150" s="181">
        <f>VLOOKUP(N150,'Highway Loading'!$B$256:$D$261,3,FALSE)</f>
        <v>20000</v>
      </c>
      <c r="AE150" s="181">
        <f>VLOOKUP(S150,'Highway Loading'!$B$340:$C$341,2,FALSE)</f>
        <v>10000</v>
      </c>
      <c r="AF150" s="181">
        <f t="shared" si="130"/>
        <v>4.3478260869565216E-2</v>
      </c>
      <c r="AG150" s="181">
        <f t="shared" si="131"/>
        <v>3.388235294117647</v>
      </c>
      <c r="AH150" s="181">
        <f t="shared" si="132"/>
        <v>1.2318840579710144</v>
      </c>
      <c r="AI150" s="181">
        <f t="shared" si="133"/>
        <v>0</v>
      </c>
      <c r="AJ150" s="181">
        <f t="shared" si="134"/>
        <v>46800</v>
      </c>
      <c r="AK150" s="181">
        <f>IF(AC150=200,(INDEX(Tables!$B$17:$B$38,MAX(1,MIN(IFERROR(MATCH(AF150,Tables!$A$17:$A$38,1),1),ROWS(Tables!$A$17:$A$38)-1)))+(AF150-INDEX(Tables!$A$17:$A$38,MAX(1,MIN(IFERROR(MATCH(AF150,Tables!$A$17:$A$38,1),1),ROWS(Tables!$A$17:$A$38)-1))))*(INDEX(Tables!$B$17:$B$38,MAX(1,MIN(IFERROR(MATCH(AF150,Tables!$A$17:$A$38,1),1),ROWS(Tables!$A$17:$A$38)-1))+1)-INDEX(Tables!$B$17:$B$38,MAX(1,MIN(IFERROR(MATCH(AF150,Tables!$A$17:$A$38,1),1),ROWS(Tables!$A$17:$A$38)-1))))/(INDEX(Tables!$A$17:$A$38,MAX(1,MIN(IFERROR(MATCH(AF150,Tables!$A$17:$A$38,1),1),ROWS(Tables!$A$17:$A$38)-1))+1)-INDEX(Tables!$A$17:$A$38,MAX(1,MIN(IFERROR(MATCH(AF150,Tables!$A$17:$A$38,1),1),ROWS(Tables!$A$17:$A$38)-1))))),IF(AC150=500,(INDEX(Tables!$D$17:$D$38,MAX(1,MIN(IFERROR(MATCH(AF150,Tables!$C$17:$C$38,1),1),ROWS(Tables!$C$17:$C$38)-1)))+(AF150-INDEX(Tables!$C$17:$C$38,MAX(1,MIN(IFERROR(MATCH(AF150,Tables!$C$17:$C$38,1),1),ROWS(Tables!$C$17:$C$38)-1))))*(INDEX(Tables!$D$17:$D$38,MAX(1,MIN(IFERROR(MATCH(AF150,Tables!$C$17:$C$38,1),1),ROWS(Tables!$C$17:$C$38)-1))+1)-INDEX(Tables!$D$17:$D$38,MAX(1,MIN(IFERROR(MATCH(AF150,Tables!$C$17:$C$38,1),1),ROWS(Tables!$C$17:$C$38)-1))))/(INDEX(Tables!$C$17:$C$38,MAX(1,MIN(IFERROR(MATCH(AF150,Tables!$C$17:$C$38,1),1),ROWS(Tables!$C$17:$C$38)-1))+1)-INDEX(Tables!$C$17:$C$38,MAX(1,MIN(IFERROR(MATCH(AF150,Tables!$C$17:$C$38,1),1),ROWS(Tables!$C$17:$C$38)-1))))),IF(AC150=1000,(INDEX(Tables!$F$17:$F$38,MAX(1,MIN(IFERROR(MATCH(AF150,Tables!$E$17:$E$38,1),1),ROWS(Tables!$E$17:$E$38)-1)))+(AF150-INDEX(Tables!$E$17:$E$38,MAX(1,MIN(IFERROR(MATCH(AF150,Tables!$E$17:$E$38,1),1),ROWS(Tables!$E$17:$E$38)-1))))*(INDEX(Tables!$F$17:$F$38,MAX(1,MIN(IFERROR(MATCH(AF150,Tables!$E$17:$E$38,1),1),ROWS(Tables!$E$17:$E$38)-1))+1)-INDEX(Tables!$F$17:$F$38,MAX(1,MIN(IFERROR(MATCH(AF150,Tables!$E$17:$E$38,1),1),ROWS(Tables!$E$17:$E$38)-1))))/(INDEX(Tables!$E$17:$E$38,MAX(1,MIN(IFERROR(MATCH(AF150,Tables!$E$17:$E$38,1),1),ROWS(Tables!$E$17:$E$38)-1))+1)-INDEX(Tables!$E$17:$E$38,MAX(1,MIN(IFERROR(MATCH(AF150,Tables!$E$17:$E$38,1),1),ROWS(Tables!$E$17:$E$38)-1))))),(INDEX(Tables!$H$17:$H$38,MAX(1,MIN(IFERROR(MATCH(AF150,Tables!$G$17:$G$38,1),1),ROWS(Tables!$G$17:$G$38)-1)))+(AF150-INDEX(Tables!$G$17:$G$38,MAX(1,MIN(IFERROR(MATCH(AF150,Tables!$G$17:$G$38,1),1),ROWS(Tables!$G$17:$G$38)-1))))*(INDEX(Tables!$H$17:$H$38,MAX(1,MIN(IFERROR(MATCH(AF150,Tables!$G$17:$G$38,1),1),ROWS(Tables!$G$17:$G$38)-1))+1)-INDEX(Tables!$H$17:$H$38,MAX(1,MIN(IFERROR(MATCH(AF150,Tables!$G$17:$G$38,1),1),ROWS(Tables!$G$17:$G$38)-1))))/(INDEX(Tables!$G$17:$G$38,MAX(1,MIN(IFERROR(MATCH(AF150,Tables!$G$17:$G$38,1),1),ROWS(Tables!$G$17:$G$38)-1))+1)-INDEX(Tables!$G$17:$G$38,MAX(1,MIN(IFERROR(MATCH(AF150,Tables!$G$17:$G$38,1),1),ROWS(Tables!$G$17:$G$38)-1))))))))</f>
        <v>560.60869565217388</v>
      </c>
      <c r="AL150" s="181">
        <f>IF(AC150&lt;1000,(INDEX(Tables!$B$43:$B$76,MAX(1,MIN(IFERROR(MATCH(AG150,Tables!$A$43:$A$76,1),1),ROWS(Tables!$A$43:$A$76)-1)))+(AG150-INDEX(Tables!$A$43:$A$76,MAX(1,MIN(IFERROR(MATCH(AG150,Tables!$A$43:$A$76,1),1),ROWS(Tables!$A$43:$A$76)-1))))*(INDEX(Tables!$B$43:$B$76,MAX(1,MIN(IFERROR(MATCH(AG150,Tables!$A$43:$A$76,1),1),ROWS(Tables!$A$43:$A$76)-1))+1)-INDEX(Tables!$B$43:$B$76,MAX(1,MIN(IFERROR(MATCH(AG150,Tables!$A$43:$A$76,1),1),ROWS(Tables!$A$43:$A$76)-1))))/(INDEX(Tables!$A$43:$A$76,MAX(1,MIN(IFERROR(MATCH(AG150,Tables!$A$43:$A$76,1),1),ROWS(Tables!$A$43:$A$76)-1))+1)-INDEX(Tables!$A$43:$A$76,MAX(1,MIN(IFERROR(MATCH(AG150,Tables!$A$43:$A$76,1),1),ROWS(Tables!$A$43:$A$76)-1))))),(INDEX(Tables!$D$43:$D$76,MAX(1,MIN(IFERROR(MATCH(AG150,Tables!$C$43:$C$76,1),1),ROWS(Tables!$C$43:$C$76)-1)))+(AG150-INDEX(Tables!$C$43:$C$76,MAX(1,MIN(IFERROR(MATCH(AG150,Tables!$C$43:$C$76,1),1),ROWS(Tables!$C$43:$C$76)-1))))*(INDEX(Tables!$D$43:$D$76,MAX(1,MIN(IFERROR(MATCH(AG150,Tables!$C$43:$C$76,1),1),ROWS(Tables!$C$43:$C$76)-1))+1)-INDEX(Tables!$D$43:$D$76,MAX(1,MIN(IFERROR(MATCH(AG150,Tables!$C$43:$C$76,1),1),ROWS(Tables!$C$43:$C$76)-1))))/(INDEX(Tables!$C$43:$C$76,MAX(1,MIN(IFERROR(MATCH(AG150,Tables!$C$43:$C$76,1),1),ROWS(Tables!$C$43:$C$76)-1))+1)-INDEX(Tables!$C$43:$C$76,MAX(1,MIN(IFERROR(MATCH(AG150,Tables!$C$43:$C$76,1),1),ROWS(Tables!$C$43:$C$76)-1))))))</f>
        <v>0.82142352941176466</v>
      </c>
      <c r="AM150" s="181">
        <f>(INDEX(Tables!$B$80:$B$87,MAX(1,MIN(IFERROR(MATCH(AH150,Tables!$A$80:$A$87,1),1),ROWS(Tables!$A$80:$A$87)-1)))+(AH150-INDEX(Tables!$A$80:$A$87,MAX(1,MIN(IFERROR(MATCH(AH150,Tables!$A$80:$A$87,1),1),ROWS(Tables!$A$80:$A$87)-1))))*(INDEX(Tables!$B$80:$B$87,MAX(1,MIN(IFERROR(MATCH(AH150,Tables!$A$80:$A$87,1),1),ROWS(Tables!$A$80:$A$87)-1))+1)-INDEX(Tables!$B$80:$B$87,MAX(1,MIN(IFERROR(MATCH(AH150,Tables!$A$80:$A$87,1),1),ROWS(Tables!$A$80:$A$87)-1))))/(INDEX(Tables!$A$80:$A$87,MAX(1,MIN(IFERROR(MATCH(AH150,Tables!$A$80:$A$87,1),1),ROWS(Tables!$A$80:$A$87)-1))+1)-INDEX(Tables!$A$80:$A$87,MAX(1,MIN(IFERROR(MATCH(AH150,Tables!$A$80:$A$87,1),1),ROWS(Tables!$A$80:$A$87)-1)))))</f>
        <v>1.2567086956521738</v>
      </c>
      <c r="AN150" s="181">
        <f t="shared" si="135"/>
        <v>346.6236575299472</v>
      </c>
      <c r="AO150" s="181">
        <f>(INDEX(Tables!$B$91:$B$94,MAX(1,MIN(IFERROR(MATCH(P150,Tables!$A$91:$A$94,1),1),ROWS(Tables!$A$91:$A$94)-1)))+(P150-INDEX(Tables!$A$91:$A$94,MAX(1,MIN(IFERROR(MATCH(P150,Tables!$A$91:$A$94,1),1),ROWS(Tables!$A$91:$A$94)-1))))*(INDEX(Tables!$B$91:$B$94,MAX(1,MIN(IFERROR(MATCH(P150,Tables!$A$91:$A$94,1),1),ROWS(Tables!$A$91:$A$94)-1))+1)-INDEX(Tables!$B$91:$B$94,MAX(1,MIN(IFERROR(MATCH(P150,Tables!$A$91:$A$94,1),1),ROWS(Tables!$A$91:$A$94)-1))))/(INDEX(Tables!$A$91:$A$94,MAX(1,MIN(IFERROR(MATCH(P150,Tables!$A$91:$A$94,1),1),ROWS(Tables!$A$91:$A$94)-1))+1)-INDEX(Tables!$A$91:$A$94,MAX(1,MIN(IFERROR(MATCH(P150,Tables!$A$91:$A$94,1),1),ROWS(Tables!$A$91:$A$94)-1)))))</f>
        <v>1.5</v>
      </c>
      <c r="AP150" s="181">
        <f>IF(AD150=5000,(INDEX(Tables!$B$99:$B$118,MAX(1,MIN(IFERROR(MATCH(AF150,Tables!$A$99:$A$118,1),1),ROWS(Tables!$A$99:$A$118)-1)))+(AF150-INDEX(Tables!$A$99:$A$118,MAX(1,MIN(IFERROR(MATCH(AF150,Tables!$A$99:$A$118,1),1),ROWS(Tables!$A$99:$A$118)-1))))*(INDEX(Tables!$B$99:$B$118,MAX(1,MIN(IFERROR(MATCH(AF150,Tables!$A$99:$A$118,1),1),ROWS(Tables!$A$99:$A$118)-1))+1)-INDEX(Tables!$B$99:$B$118,MAX(1,MIN(IFERROR(MATCH(AF150,Tables!$A$99:$A$118,1),1),ROWS(Tables!$A$99:$A$118)-1))))/(INDEX(Tables!$A$99:$A$118,MAX(1,MIN(IFERROR(MATCH(AF150,Tables!$A$99:$A$118,1),1),ROWS(Tables!$A$99:$A$118)-1))+1)-INDEX(Tables!$A$99:$A$118,MAX(1,MIN(IFERROR(MATCH(AF150,Tables!$A$99:$A$118,1),1),ROWS(Tables!$A$99:$A$118)-1))))),IF(AD150=10000,(INDEX(Tables!$D$99:$D$118,MAX(1,MIN(IFERROR(MATCH(AF150,Tables!$C$99:$C$118,1),1),ROWS(Tables!$C$99:$C$118)-1)))+(AF150-INDEX(Tables!$C$99:$C$118,MAX(1,MIN(IFERROR(MATCH(AF150,Tables!$C$99:$C$118,1),1),ROWS(Tables!$C$99:$C$118)-1))))*(INDEX(Tables!$D$99:$D$118,MAX(1,MIN(IFERROR(MATCH(AF150,Tables!$C$99:$C$118,1),1),ROWS(Tables!$C$99:$C$118)-1))+1)-INDEX(Tables!$D$99:$D$118,MAX(1,MIN(IFERROR(MATCH(AF150,Tables!$C$99:$C$118,1),1),ROWS(Tables!$C$99:$C$118)-1))))/(INDEX(Tables!$C$99:$C$118,MAX(1,MIN(IFERROR(MATCH(AF150,Tables!$C$99:$C$118,1),1),ROWS(Tables!$C$99:$C$118)-1))+1)-INDEX(Tables!$C$99:$C$118,MAX(1,MIN(IFERROR(MATCH(AF150,Tables!$C$99:$C$118,1),1),ROWS(Tables!$C$99:$C$118)-1))))),(INDEX(Tables!$F$99:$F$118,MAX(1,MIN(IFERROR(MATCH(AF150,Tables!$E$99:$E$118,1),1),ROWS(Tables!$E$99:$E$118)-1)))+(AF150-INDEX(Tables!$E$99:$E$118,MAX(1,MIN(IFERROR(MATCH(AF150,Tables!$E$99:$E$118,1),1),ROWS(Tables!$E$99:$E$118)-1))))*(INDEX(Tables!$F$99:$F$118,MAX(1,MIN(IFERROR(MATCH(AF150,Tables!$E$99:$E$118,1),1),ROWS(Tables!$E$99:$E$118)-1))+1)-INDEX(Tables!$F$99:$F$118,MAX(1,MIN(IFERROR(MATCH(AF150,Tables!$E$99:$E$118,1),1),ROWS(Tables!$E$99:$E$118)-1))))/(INDEX(Tables!$E$99:$E$118,MAX(1,MIN(IFERROR(MATCH(AF150,Tables!$E$99:$E$118,1),1),ROWS(Tables!$E$99:$E$118)-1))+1)-INDEX(Tables!$E$99:$E$118,MAX(1,MIN(IFERROR(MATCH(AF150,Tables!$E$99:$E$118,1),1),ROWS(Tables!$E$99:$E$118)-1)))))))</f>
        <v>5.7832370795734205</v>
      </c>
      <c r="AQ150" s="181">
        <f>IF(P150&lt;6,(INDEX(Tables!$B$123:$B$138,MAX(1,MIN(IFERROR(MATCH(U150,Tables!$A$123:$A$138,1),1),ROWS(Tables!$A$123:$A$138)-1)))+(U150-INDEX(Tables!$A$123:$A$138,MAX(1,MIN(IFERROR(MATCH(U150,Tables!$A$123:$A$138,1),1),ROWS(Tables!$A$123:$A$138)-1))))*(INDEX(Tables!$B$123:$B$138,MAX(1,MIN(IFERROR(MATCH(U150,Tables!$A$123:$A$138,1),1),ROWS(Tables!$A$123:$A$138)-1))+1)-INDEX(Tables!$B$123:$B$138,MAX(1,MIN(IFERROR(MATCH(U150,Tables!$A$123:$A$138,1),1),ROWS(Tables!$A$123:$A$138)-1))))/(INDEX(Tables!$A$123:$A$138,MAX(1,MIN(IFERROR(MATCH(U150,Tables!$A$123:$A$138,1),1),ROWS(Tables!$A$123:$A$138)-1))+1)-INDEX(Tables!$A$123:$A$138,MAX(1,MIN(IFERROR(MATCH(U150,Tables!$A$123:$A$138,1),1),ROWS(Tables!$A$123:$A$138)-1))))),IF(P150&lt;8,(INDEX(Tables!$D$123:$D$138,MAX(1,MIN(IFERROR(MATCH(U150,Tables!$C$123:$C$138,1),1),ROWS(Tables!$C$123:$C$138)-1)))+(U150-INDEX(Tables!$C$123:$C$138,MAX(1,MIN(IFERROR(MATCH(U150,Tables!$C$123:$C$138,1),1),ROWS(Tables!$C$123:$C$138)-1))))*(INDEX(Tables!$D$123:$D$138,MAX(1,MIN(IFERROR(MATCH(U150,Tables!$C$123:$C$138,1),1),ROWS(Tables!$C$123:$C$138)-1))+1)-INDEX(Tables!$D$123:$D$138,MAX(1,MIN(IFERROR(MATCH(U150,Tables!$C$123:$C$138,1),1),ROWS(Tables!$C$123:$C$138)-1))))/(INDEX(Tables!$C$123:$C$138,MAX(1,MIN(IFERROR(MATCH(U150,Tables!$C$123:$C$138,1),1),ROWS(Tables!$C$123:$C$138)-1))+1)-INDEX(Tables!$C$123:$C$138,MAX(1,MIN(IFERROR(MATCH(U150,Tables!$C$123:$C$138,1),1),ROWS(Tables!$C$123:$C$138)-1))))),IF(P150&lt;10,(INDEX(Tables!$F$123:$F$138,MAX(1,MIN(IFERROR(MATCH(U150,Tables!$E$123:$E$138,1),1),ROWS(Tables!$E$123:$E$138)-1)))+(U150-INDEX(Tables!$E$123:$E$138,MAX(1,MIN(IFERROR(MATCH(U150,Tables!$E$123:$E$138,1),1),ROWS(Tables!$E$123:$E$138)-1))))*(INDEX(Tables!$F$123:$F$138,MAX(1,MIN(IFERROR(MATCH(U150,Tables!$E$123:$E$138,1),1),ROWS(Tables!$E$123:$E$138)-1))+1)-INDEX(Tables!$F$123:$F$138,MAX(1,MIN(IFERROR(MATCH(U150,Tables!$E$123:$E$138,1),1),ROWS(Tables!$E$123:$E$138)-1))))/(INDEX(Tables!$E$123:$E$138,MAX(1,MIN(IFERROR(MATCH(U150,Tables!$E$123:$E$138,1),1),ROWS(Tables!$E$123:$E$138)-1))+1)-INDEX(Tables!$E$123:$E$138,MAX(1,MIN(IFERROR(MATCH(U150,Tables!$E$123:$E$138,1),1),ROWS(Tables!$E$123:$E$138)-1))))),(INDEX(Tables!$H$123:$H$138,MAX(1,MIN(IFERROR(MATCH(U150,Tables!$G$123:$G$138,1),1),ROWS(Tables!$G$123:$G$138)-1)))+(U150-INDEX(Tables!$G$123:$G$138,MAX(1,MIN(IFERROR(MATCH(U150,Tables!$G$123:$G$138,1),1),ROWS(Tables!$G$123:$G$138)-1))))*(INDEX(Tables!$H$123:$H$138,MAX(1,MIN(IFERROR(MATCH(U150,Tables!$G$123:$G$138,1),1),ROWS(Tables!$G$123:$G$138)-1))+1)-INDEX(Tables!$H$123:$H$138,MAX(1,MIN(IFERROR(MATCH(U150,Tables!$G$123:$G$138,1),1),ROWS(Tables!$G$123:$G$138)-1))))/(INDEX(Tables!$G$123:$G$138,MAX(1,MIN(IFERROR(MATCH(U150,Tables!$G$123:$G$138,1),1),ROWS(Tables!$G$123:$G$138)-1))+1)-INDEX(Tables!$G$123:$G$138,MAX(1,MIN(IFERROR(MATCH(U150,Tables!$G$123:$G$138,1),1),ROWS(Tables!$G$123:$G$138)-1))))))))</f>
        <v>1.389875</v>
      </c>
      <c r="AR150" s="181">
        <f>IF(OR(P150&gt;=4,U150&gt;12),VLOOKUP(R150&amp;" "&amp;S150,Tables!$D$143:$F$148,2,FALSE),VLOOKUP(R150&amp;" "&amp;S150,Tables!$A$143:$C$148,2,FALSE))</f>
        <v>1</v>
      </c>
      <c r="AS150" s="181">
        <f>IF(OR(P150&gt;=4,U150&gt;12),VLOOKUP(R150&amp;" "&amp;S150,Tables!$D$143:$F$148,3,FALSE),VLOOKUP(R150&amp;" "&amp;S150,Tables!$A$143:$C$148,3,FALSE))</f>
        <v>1</v>
      </c>
      <c r="AT150" s="181">
        <f t="shared" si="136"/>
        <v>837.28923291376123</v>
      </c>
      <c r="AU150" s="181">
        <f>IF(AD150=5000,(INDEX(Tables!$B$244:$B$263,MAX(1,MIN(IFERROR(MATCH(AF150,Tables!$A$244:$A$263,1),1),ROWS(Tables!$A$244:$A$263)-1)))+(AF150-INDEX(Tables!$A$244:$A$263,MAX(1,MIN(IFERROR(MATCH(AF150,Tables!$A$244:$A$263,1),1),ROWS(Tables!$A$244:$A$263)-1))))*(INDEX(Tables!$B$244:$B$263,MAX(1,MIN(IFERROR(MATCH(AF150,Tables!$A$244:$A$263,1),1),ROWS(Tables!$A$244:$A$263)-1))+1)-INDEX(Tables!$B$244:$B$263,MAX(1,MIN(IFERROR(MATCH(AF150,Tables!$A$244:$A$263,1),1),ROWS(Tables!$A$244:$A$263)-1))))/(INDEX(Tables!$A$244:$A$263,MAX(1,MIN(IFERROR(MATCH(AF150,Tables!$A$244:$A$263,1),1),ROWS(Tables!$A$244:$A$263)-1))+1)-INDEX(Tables!$A$244:$A$263,MAX(1,MIN(IFERROR(MATCH(AF150,Tables!$A$244:$A$263,1),1),ROWS(Tables!$A$244:$A$263)-1))))),IF(AD150=10000,(INDEX(Tables!$D$244:$D$263,MAX(1,MIN(IFERROR(MATCH(AF150,Tables!$C$244:$C$263,1),1),ROWS(Tables!$C$244:$C$263)-1)))+(AF150-INDEX(Tables!$C$244:$C$263,MAX(1,MIN(IFERROR(MATCH(AF150,Tables!$C$244:$C$263,1),1),ROWS(Tables!$C$244:$C$263)-1))))*(INDEX(Tables!$D$244:$D$263,MAX(1,MIN(IFERROR(MATCH(AF150,Tables!$C$244:$C$263,1),1),ROWS(Tables!$C$244:$C$263)-1))+1)-INDEX(Tables!$D$244:$D$263,MAX(1,MIN(IFERROR(MATCH(AF150,Tables!$C$244:$C$263,1),1),ROWS(Tables!$C$244:$C$263)-1))))/(INDEX(Tables!$C$244:$C$263,MAX(1,MIN(IFERROR(MATCH(AF150,Tables!$C$244:$C$263,1),1),ROWS(Tables!$C$244:$C$263)-1))+1)-INDEX(Tables!$C$244:$C$263,MAX(1,MIN(IFERROR(MATCH(AF150,Tables!$C$244:$C$263,1),1),ROWS(Tables!$C$244:$C$263)-1))))),(INDEX(Tables!$F$244:$F$263,MAX(1,MIN(IFERROR(MATCH(AF150,Tables!$E$244:$E$263,1),1),ROWS(Tables!$E$244:$E$263)-1)))+(AF150-INDEX(Tables!$E$244:$E$263,MAX(1,MIN(IFERROR(MATCH(AF150,Tables!$E$244:$E$263,1),1),ROWS(Tables!$E$244:$E$263)-1))))*(INDEX(Tables!$F$244:$F$263,MAX(1,MIN(IFERROR(MATCH(AF150,Tables!$E$244:$E$263,1),1),ROWS(Tables!$E$244:$E$263)-1))+1)-INDEX(Tables!$F$244:$F$263,MAX(1,MIN(IFERROR(MATCH(AF150,Tables!$E$244:$E$263,1),1),ROWS(Tables!$E$244:$E$263)-1))))/(INDEX(Tables!$E$244:$E$263,MAX(1,MIN(IFERROR(MATCH(AF150,Tables!$E$244:$E$263,1),1),ROWS(Tables!$E$244:$E$263)-1))+1)-INDEX(Tables!$E$244:$E$263,MAX(1,MIN(IFERROR(MATCH(AF150,Tables!$E$244:$E$263,1),1),ROWS(Tables!$E$244:$E$263)-1)))))))</f>
        <v>4.4876086956521739</v>
      </c>
      <c r="AV150" s="181">
        <f>IF(P150&lt;6,(INDEX(Tables!$B$260:$B$274,MAX(1,MIN(IFERROR(MATCH(U150,Tables!$A$260:$A$274,1),1),ROWS(Tables!$A$260:$A$274)-1)))+(U150-INDEX(Tables!$A$260:$A$274,MAX(1,MIN(IFERROR(MATCH(U150,Tables!$A$260:$A$274,1),1),ROWS(Tables!$A$260:$A$274)-1))))*(INDEX(Tables!$B$260:$B$274,MAX(1,MIN(IFERROR(MATCH(U150,Tables!$A$260:$A$274,1),1),ROWS(Tables!$A$260:$A$274)-1))+1)-INDEX(Tables!$B$260:$B$274,MAX(1,MIN(IFERROR(MATCH(U150,Tables!$A$260:$A$274,1),1),ROWS(Tables!$A$260:$A$274)-1))))/(INDEX(Tables!$A$260:$A$274,MAX(1,MIN(IFERROR(MATCH(U150,Tables!$A$260:$A$274,1),1),ROWS(Tables!$A$260:$A$274)-1))+1)-INDEX(Tables!$A$260:$A$274,MAX(1,MIN(IFERROR(MATCH(U150,Tables!$A$260:$A$274,1),1),ROWS(Tables!$A$260:$A$274)-1))))),IF(P150&lt;8,(INDEX(Tables!$D$260:$D$274,MAX(1,MIN(IFERROR(MATCH(U150,Tables!$C$260:$C$274,1),1),ROWS(Tables!$C$260:$C$274)-1)))+(U150-INDEX(Tables!$C$260:$C$274,MAX(1,MIN(IFERROR(MATCH(U150,Tables!$C$260:$C$274,1),1),ROWS(Tables!$C$260:$C$274)-1))))*(INDEX(Tables!$D$260:$D$274,MAX(1,MIN(IFERROR(MATCH(U150,Tables!$C$260:$C$274,1),1),ROWS(Tables!$C$260:$C$274)-1))+1)-INDEX(Tables!$D$260:$D$274,MAX(1,MIN(IFERROR(MATCH(U150,Tables!$C$260:$C$274,1),1),ROWS(Tables!$C$260:$C$274)-1))))/(INDEX(Tables!$C$260:$C$274,MAX(1,MIN(IFERROR(MATCH(U150,Tables!$C$260:$C$274,1),1),ROWS(Tables!$C$260:$C$274)-1))+1)-INDEX(Tables!$C$260:$C$274,MAX(1,MIN(IFERROR(MATCH(U150,Tables!$C$260:$C$274,1),1),ROWS(Tables!$C$260:$C$274)-1))))),IF(P150&lt;10,(INDEX(Tables!$F$260:$F$274,MAX(1,MIN(IFERROR(MATCH(U150,Tables!$E$260:$E$274,1),1),ROWS(Tables!$E$260:$E$274)-1)))+(U150-INDEX(Tables!$E$260:$E$274,MAX(1,MIN(IFERROR(MATCH(U150,Tables!$E$260:$E$274,1),1),ROWS(Tables!$E$260:$E$274)-1))))*(INDEX(Tables!$F$260:$F$274,MAX(1,MIN(IFERROR(MATCH(U150,Tables!$E$260:$E$274,1),1),ROWS(Tables!$E$260:$E$274)-1))+1)-INDEX(Tables!$F$260:$F$274,MAX(1,MIN(IFERROR(MATCH(U150,Tables!$E$260:$E$274,1),1),ROWS(Tables!$E$260:$E$274)-1))))/(INDEX(Tables!$E$260:$E$274,MAX(1,MIN(IFERROR(MATCH(U150,Tables!$E$260:$E$274,1),1),ROWS(Tables!$E$260:$E$274)-1))+1)-INDEX(Tables!$E$260:$E$274,MAX(1,MIN(IFERROR(MATCH(U150,Tables!$E$260:$E$274,1),1),ROWS(Tables!$E$260:$E$274)-1))))),(INDEX(Tables!$H$260:$H$274,MAX(1,MIN(IFERROR(MATCH(U150,Tables!$G$260:$G$274,1),1),ROWS(Tables!$G$260:$G$274)-1)))+(U150-INDEX(Tables!$G$260:$G$274,MAX(1,MIN(IFERROR(MATCH(U150,Tables!$G$260:$G$274,1),1),ROWS(Tables!$G$260:$G$274)-1))))*(INDEX(Tables!$H$260:$H$274,MAX(1,MIN(IFERROR(MATCH(U150,Tables!$G$260:$G$274,1),1),ROWS(Tables!$G$260:$G$274)-1))+1)-INDEX(Tables!$H$260:$H$274,MAX(1,MIN(IFERROR(MATCH(U150,Tables!$G$260:$G$274,1),1),ROWS(Tables!$G$260:$G$274)-1))))/(INDEX(Tables!$G$260:$G$274,MAX(1,MIN(IFERROR(MATCH(U150,Tables!$G$260:$G$274,1),1),ROWS(Tables!$G$260:$G$274)-1))+1)-INDEX(Tables!$G$260:$G$274,MAX(1,MIN(IFERROR(MATCH(U150,Tables!$G$260:$G$274,1),1),ROWS(Tables!$G$260:$G$274)-1))))))))</f>
        <v>1.3123750000000001</v>
      </c>
      <c r="AW150" s="181">
        <f t="shared" si="137"/>
        <v>613.48181895380446</v>
      </c>
      <c r="AX150" s="181">
        <f t="shared" si="138"/>
        <v>0</v>
      </c>
      <c r="AY150" s="181">
        <f t="shared" si="139"/>
        <v>1183.9128904437084</v>
      </c>
      <c r="AZ150" s="181">
        <f t="shared" si="140"/>
        <v>717.4689162127886</v>
      </c>
      <c r="BA150" s="181">
        <f t="shared" si="141"/>
        <v>0</v>
      </c>
      <c r="BB150" s="181">
        <f t="shared" si="142"/>
        <v>1032.9524091134751</v>
      </c>
      <c r="BC150" s="181">
        <f t="shared" si="143"/>
        <v>46800</v>
      </c>
      <c r="BD150" s="181">
        <f>VLOOKUP(V150&amp;" "&amp;J150,Tables!$A$152:$E$239,4,FALSE)</f>
        <v>12000</v>
      </c>
      <c r="BE150" s="181">
        <f>VLOOKUP(V150&amp;" "&amp;J150,Tables!$A$152:$E$239,5,FALSE)</f>
        <v>23000</v>
      </c>
      <c r="BF150" s="181">
        <f t="shared" si="144"/>
        <v>8640</v>
      </c>
      <c r="BG150" s="181">
        <f t="shared" si="145"/>
        <v>16560</v>
      </c>
      <c r="BH150" s="181">
        <f t="shared" si="146"/>
        <v>0</v>
      </c>
      <c r="BI150" s="181">
        <f t="shared" si="147"/>
        <v>46800</v>
      </c>
      <c r="BJ150" s="181">
        <f t="shared" si="148"/>
        <v>1032.9524091134751</v>
      </c>
      <c r="BK150" s="181">
        <f t="shared" si="149"/>
        <v>46800</v>
      </c>
      <c r="BL150" s="181">
        <f t="shared" si="150"/>
        <v>613.48181895380446</v>
      </c>
      <c r="BM150" s="181">
        <f t="shared" si="151"/>
        <v>8640</v>
      </c>
      <c r="BN150" s="181">
        <f t="shared" si="152"/>
        <v>837.28923291376123</v>
      </c>
      <c r="BO150" s="181">
        <f t="shared" si="153"/>
        <v>16560</v>
      </c>
      <c r="BP150" t="str">
        <f t="shared" si="154"/>
        <v>Pass</v>
      </c>
      <c r="BQ150" t="str">
        <f t="shared" si="155"/>
        <v>Pass</v>
      </c>
      <c r="BR150" t="str">
        <f t="shared" si="156"/>
        <v>Pass</v>
      </c>
      <c r="BS150" t="str">
        <f t="shared" si="157"/>
        <v>Pass</v>
      </c>
      <c r="BT150" t="str">
        <f t="shared" si="158"/>
        <v>Pass</v>
      </c>
      <c r="BU150" t="str">
        <f t="shared" si="159"/>
        <v>Girth Weld Stress</v>
      </c>
    </row>
    <row r="151" spans="1:73">
      <c r="A151" t="s">
        <v>743</v>
      </c>
      <c r="B151" s="181">
        <v>149</v>
      </c>
      <c r="C151" t="s">
        <v>594</v>
      </c>
      <c r="D151" s="181">
        <v>12</v>
      </c>
      <c r="E151" s="181">
        <v>0.40600000000000003</v>
      </c>
      <c r="F151" t="s">
        <v>117</v>
      </c>
      <c r="G151" t="s">
        <v>119</v>
      </c>
      <c r="H151" t="s">
        <v>122</v>
      </c>
      <c r="I151" s="181">
        <v>1</v>
      </c>
      <c r="J151" t="s">
        <v>126</v>
      </c>
      <c r="K151" t="s">
        <v>129</v>
      </c>
      <c r="L151" s="181">
        <v>70</v>
      </c>
      <c r="M151" s="181">
        <v>0</v>
      </c>
      <c r="N151" t="s">
        <v>392</v>
      </c>
      <c r="O151" s="181">
        <v>120</v>
      </c>
      <c r="P151" s="181">
        <v>6</v>
      </c>
      <c r="Q151" s="181">
        <v>14.75</v>
      </c>
      <c r="R151" t="s">
        <v>154</v>
      </c>
      <c r="S151" t="s">
        <v>156</v>
      </c>
      <c r="T151" s="181">
        <v>70</v>
      </c>
      <c r="U151" s="181">
        <f>HLOOKUP(D151,'Highway Loading'!$C$155:$AD$156,2,FALSE)</f>
        <v>12.75</v>
      </c>
      <c r="V151" s="181">
        <f>IF(ISBLANK(G151),"",INDEX('Highway Loading'!$C$216:$AG$216,1,MATCH(G151,'Highway Loading'!$C$215:$AG$215,0)))</f>
        <v>65000</v>
      </c>
      <c r="W151" s="181">
        <f>INDEX('Highway Loading'!$I$245:$L$253,MATCH(H151,'Highway Loading'!$H$245:$H$253,0),MATCH(I151,'Highway Loading'!$I$244:$L$244,0))</f>
        <v>0.72</v>
      </c>
      <c r="X151" s="181">
        <f t="shared" si="128"/>
        <v>1</v>
      </c>
      <c r="Y151" s="181">
        <f>VLOOKUP(K151,'Highway Loading'!$B$283:$E$292,2,FALSE)</f>
        <v>29000000</v>
      </c>
      <c r="Z151" s="181">
        <f>VLOOKUP(K151,'Highway Loading'!$B$283:$E$292,3,FALSE)</f>
        <v>0.3</v>
      </c>
      <c r="AA151" s="181">
        <f>VLOOKUP(K151,'Highway Loading'!$B$283:$E$292,4,FALSE)</f>
        <v>6.4999999999999996E-6</v>
      </c>
      <c r="AB151" s="181">
        <f t="shared" si="129"/>
        <v>1</v>
      </c>
      <c r="AC151" s="181">
        <f>VLOOKUP(N151,'Highway Loading'!$B$256:$D$261,2,FALSE)</f>
        <v>2000</v>
      </c>
      <c r="AD151" s="181">
        <f>VLOOKUP(N151,'Highway Loading'!$B$256:$D$261,3,FALSE)</f>
        <v>20000</v>
      </c>
      <c r="AE151" s="181">
        <f>VLOOKUP(S151,'Highway Loading'!$B$340:$C$341,2,FALSE)</f>
        <v>10000</v>
      </c>
      <c r="AF151" s="181">
        <f t="shared" si="130"/>
        <v>3.1843137254901961E-2</v>
      </c>
      <c r="AG151" s="181">
        <f t="shared" si="131"/>
        <v>4.8813559322033901</v>
      </c>
      <c r="AH151" s="181">
        <f t="shared" si="132"/>
        <v>1.1568627450980393</v>
      </c>
      <c r="AI151" s="181">
        <f t="shared" si="133"/>
        <v>0</v>
      </c>
      <c r="AJ151" s="181">
        <f t="shared" si="134"/>
        <v>46800</v>
      </c>
      <c r="AK151" s="181">
        <f>IF(AC151=200,(INDEX(Tables!$B$17:$B$38,MAX(1,MIN(IFERROR(MATCH(AF151,Tables!$A$17:$A$38,1),1),ROWS(Tables!$A$17:$A$38)-1)))+(AF151-INDEX(Tables!$A$17:$A$38,MAX(1,MIN(IFERROR(MATCH(AF151,Tables!$A$17:$A$38,1),1),ROWS(Tables!$A$17:$A$38)-1))))*(INDEX(Tables!$B$17:$B$38,MAX(1,MIN(IFERROR(MATCH(AF151,Tables!$A$17:$A$38,1),1),ROWS(Tables!$A$17:$A$38)-1))+1)-INDEX(Tables!$B$17:$B$38,MAX(1,MIN(IFERROR(MATCH(AF151,Tables!$A$17:$A$38,1),1),ROWS(Tables!$A$17:$A$38)-1))))/(INDEX(Tables!$A$17:$A$38,MAX(1,MIN(IFERROR(MATCH(AF151,Tables!$A$17:$A$38,1),1),ROWS(Tables!$A$17:$A$38)-1))+1)-INDEX(Tables!$A$17:$A$38,MAX(1,MIN(IFERROR(MATCH(AF151,Tables!$A$17:$A$38,1),1),ROWS(Tables!$A$17:$A$38)-1))))),IF(AC151=500,(INDEX(Tables!$D$17:$D$38,MAX(1,MIN(IFERROR(MATCH(AF151,Tables!$C$17:$C$38,1),1),ROWS(Tables!$C$17:$C$38)-1)))+(AF151-INDEX(Tables!$C$17:$C$38,MAX(1,MIN(IFERROR(MATCH(AF151,Tables!$C$17:$C$38,1),1),ROWS(Tables!$C$17:$C$38)-1))))*(INDEX(Tables!$D$17:$D$38,MAX(1,MIN(IFERROR(MATCH(AF151,Tables!$C$17:$C$38,1),1),ROWS(Tables!$C$17:$C$38)-1))+1)-INDEX(Tables!$D$17:$D$38,MAX(1,MIN(IFERROR(MATCH(AF151,Tables!$C$17:$C$38,1),1),ROWS(Tables!$C$17:$C$38)-1))))/(INDEX(Tables!$C$17:$C$38,MAX(1,MIN(IFERROR(MATCH(AF151,Tables!$C$17:$C$38,1),1),ROWS(Tables!$C$17:$C$38)-1))+1)-INDEX(Tables!$C$17:$C$38,MAX(1,MIN(IFERROR(MATCH(AF151,Tables!$C$17:$C$38,1),1),ROWS(Tables!$C$17:$C$38)-1))))),IF(AC151=1000,(INDEX(Tables!$F$17:$F$38,MAX(1,MIN(IFERROR(MATCH(AF151,Tables!$E$17:$E$38,1),1),ROWS(Tables!$E$17:$E$38)-1)))+(AF151-INDEX(Tables!$E$17:$E$38,MAX(1,MIN(IFERROR(MATCH(AF151,Tables!$E$17:$E$38,1),1),ROWS(Tables!$E$17:$E$38)-1))))*(INDEX(Tables!$F$17:$F$38,MAX(1,MIN(IFERROR(MATCH(AF151,Tables!$E$17:$E$38,1),1),ROWS(Tables!$E$17:$E$38)-1))+1)-INDEX(Tables!$F$17:$F$38,MAX(1,MIN(IFERROR(MATCH(AF151,Tables!$E$17:$E$38,1),1),ROWS(Tables!$E$17:$E$38)-1))))/(INDEX(Tables!$E$17:$E$38,MAX(1,MIN(IFERROR(MATCH(AF151,Tables!$E$17:$E$38,1),1),ROWS(Tables!$E$17:$E$38)-1))+1)-INDEX(Tables!$E$17:$E$38,MAX(1,MIN(IFERROR(MATCH(AF151,Tables!$E$17:$E$38,1),1),ROWS(Tables!$E$17:$E$38)-1))))),(INDEX(Tables!$H$17:$H$38,MAX(1,MIN(IFERROR(MATCH(AF151,Tables!$G$17:$G$38,1),1),ROWS(Tables!$G$17:$G$38)-1)))+(AF151-INDEX(Tables!$G$17:$G$38,MAX(1,MIN(IFERROR(MATCH(AF151,Tables!$G$17:$G$38,1),1),ROWS(Tables!$G$17:$G$38)-1))))*(INDEX(Tables!$H$17:$H$38,MAX(1,MIN(IFERROR(MATCH(AF151,Tables!$G$17:$G$38,1),1),ROWS(Tables!$G$17:$G$38)-1))+1)-INDEX(Tables!$H$17:$H$38,MAX(1,MIN(IFERROR(MATCH(AF151,Tables!$G$17:$G$38,1),1),ROWS(Tables!$G$17:$G$38)-1))))/(INDEX(Tables!$G$17:$G$38,MAX(1,MIN(IFERROR(MATCH(AF151,Tables!$G$17:$G$38,1),1),ROWS(Tables!$G$17:$G$38)-1))+1)-INDEX(Tables!$G$17:$G$38,MAX(1,MIN(IFERROR(MATCH(AF151,Tables!$G$17:$G$38,1),1),ROWS(Tables!$G$17:$G$38)-1))))))))</f>
        <v>933.27843137254899</v>
      </c>
      <c r="AL151" s="181">
        <f>IF(AC151&lt;1000,(INDEX(Tables!$B$43:$B$76,MAX(1,MIN(IFERROR(MATCH(AG151,Tables!$A$43:$A$76,1),1),ROWS(Tables!$A$43:$A$76)-1)))+(AG151-INDEX(Tables!$A$43:$A$76,MAX(1,MIN(IFERROR(MATCH(AG151,Tables!$A$43:$A$76,1),1),ROWS(Tables!$A$43:$A$76)-1))))*(INDEX(Tables!$B$43:$B$76,MAX(1,MIN(IFERROR(MATCH(AG151,Tables!$A$43:$A$76,1),1),ROWS(Tables!$A$43:$A$76)-1))+1)-INDEX(Tables!$B$43:$B$76,MAX(1,MIN(IFERROR(MATCH(AG151,Tables!$A$43:$A$76,1),1),ROWS(Tables!$A$43:$A$76)-1))))/(INDEX(Tables!$A$43:$A$76,MAX(1,MIN(IFERROR(MATCH(AG151,Tables!$A$43:$A$76,1),1),ROWS(Tables!$A$43:$A$76)-1))+1)-INDEX(Tables!$A$43:$A$76,MAX(1,MIN(IFERROR(MATCH(AG151,Tables!$A$43:$A$76,1),1),ROWS(Tables!$A$43:$A$76)-1))))),(INDEX(Tables!$D$43:$D$76,MAX(1,MIN(IFERROR(MATCH(AG151,Tables!$C$43:$C$76,1),1),ROWS(Tables!$C$43:$C$76)-1)))+(AG151-INDEX(Tables!$C$43:$C$76,MAX(1,MIN(IFERROR(MATCH(AG151,Tables!$C$43:$C$76,1),1),ROWS(Tables!$C$43:$C$76)-1))))*(INDEX(Tables!$D$43:$D$76,MAX(1,MIN(IFERROR(MATCH(AG151,Tables!$C$43:$C$76,1),1),ROWS(Tables!$C$43:$C$76)-1))+1)-INDEX(Tables!$D$43:$D$76,MAX(1,MIN(IFERROR(MATCH(AG151,Tables!$C$43:$C$76,1),1),ROWS(Tables!$C$43:$C$76)-1))))/(INDEX(Tables!$C$43:$C$76,MAX(1,MIN(IFERROR(MATCH(AG151,Tables!$C$43:$C$76,1),1),ROWS(Tables!$C$43:$C$76)-1))+1)-INDEX(Tables!$C$43:$C$76,MAX(1,MIN(IFERROR(MATCH(AG151,Tables!$C$43:$C$76,1),1),ROWS(Tables!$C$43:$C$76)-1))))))</f>
        <v>0.95557627118644062</v>
      </c>
      <c r="AM151" s="181">
        <f>(INDEX(Tables!$B$80:$B$87,MAX(1,MIN(IFERROR(MATCH(AH151,Tables!$A$80:$A$87,1),1),ROWS(Tables!$A$80:$A$87)-1)))+(AH151-INDEX(Tables!$A$80:$A$87,MAX(1,MIN(IFERROR(MATCH(AH151,Tables!$A$80:$A$87,1),1),ROWS(Tables!$A$80:$A$87)-1))))*(INDEX(Tables!$B$80:$B$87,MAX(1,MIN(IFERROR(MATCH(AH151,Tables!$A$80:$A$87,1),1),ROWS(Tables!$A$80:$A$87)-1))+1)-INDEX(Tables!$B$80:$B$87,MAX(1,MIN(IFERROR(MATCH(AH151,Tables!$A$80:$A$87,1),1),ROWS(Tables!$A$80:$A$87)-1))))/(INDEX(Tables!$A$80:$A$87,MAX(1,MIN(IFERROR(MATCH(AH151,Tables!$A$80:$A$87,1),1),ROWS(Tables!$A$80:$A$87)-1))+1)-INDEX(Tables!$A$80:$A$87,MAX(1,MIN(IFERROR(MATCH(AH151,Tables!$A$80:$A$87,1),1),ROWS(Tables!$A$80:$A$87)-1)))))</f>
        <v>1.1041078431372553</v>
      </c>
      <c r="AN151" s="181">
        <f t="shared" si="135"/>
        <v>871.83795845425902</v>
      </c>
      <c r="AO151" s="181">
        <f>(INDEX(Tables!$B$91:$B$94,MAX(1,MIN(IFERROR(MATCH(P151,Tables!$A$91:$A$94,1),1),ROWS(Tables!$A$91:$A$94)-1)))+(P151-INDEX(Tables!$A$91:$A$94,MAX(1,MIN(IFERROR(MATCH(P151,Tables!$A$91:$A$94,1),1),ROWS(Tables!$A$91:$A$94)-1))))*(INDEX(Tables!$B$91:$B$94,MAX(1,MIN(IFERROR(MATCH(P151,Tables!$A$91:$A$94,1),1),ROWS(Tables!$A$91:$A$94)-1))+1)-INDEX(Tables!$B$91:$B$94,MAX(1,MIN(IFERROR(MATCH(P151,Tables!$A$91:$A$94,1),1),ROWS(Tables!$A$91:$A$94)-1))))/(INDEX(Tables!$A$91:$A$94,MAX(1,MIN(IFERROR(MATCH(P151,Tables!$A$91:$A$94,1),1),ROWS(Tables!$A$91:$A$94)-1))+1)-INDEX(Tables!$A$91:$A$94,MAX(1,MIN(IFERROR(MATCH(P151,Tables!$A$91:$A$94,1),1),ROWS(Tables!$A$91:$A$94)-1)))))</f>
        <v>1.476219512195122</v>
      </c>
      <c r="AP151" s="181">
        <f>IF(AD151=5000,(INDEX(Tables!$B$99:$B$118,MAX(1,MIN(IFERROR(MATCH(AF151,Tables!$A$99:$A$118,1),1),ROWS(Tables!$A$99:$A$118)-1)))+(AF151-INDEX(Tables!$A$99:$A$118,MAX(1,MIN(IFERROR(MATCH(AF151,Tables!$A$99:$A$118,1),1),ROWS(Tables!$A$99:$A$118)-1))))*(INDEX(Tables!$B$99:$B$118,MAX(1,MIN(IFERROR(MATCH(AF151,Tables!$A$99:$A$118,1),1),ROWS(Tables!$A$99:$A$118)-1))+1)-INDEX(Tables!$B$99:$B$118,MAX(1,MIN(IFERROR(MATCH(AF151,Tables!$A$99:$A$118,1),1),ROWS(Tables!$A$99:$A$118)-1))))/(INDEX(Tables!$A$99:$A$118,MAX(1,MIN(IFERROR(MATCH(AF151,Tables!$A$99:$A$118,1),1),ROWS(Tables!$A$99:$A$118)-1))+1)-INDEX(Tables!$A$99:$A$118,MAX(1,MIN(IFERROR(MATCH(AF151,Tables!$A$99:$A$118,1),1),ROWS(Tables!$A$99:$A$118)-1))))),IF(AD151=10000,(INDEX(Tables!$D$99:$D$118,MAX(1,MIN(IFERROR(MATCH(AF151,Tables!$C$99:$C$118,1),1),ROWS(Tables!$C$99:$C$118)-1)))+(AF151-INDEX(Tables!$C$99:$C$118,MAX(1,MIN(IFERROR(MATCH(AF151,Tables!$C$99:$C$118,1),1),ROWS(Tables!$C$99:$C$118)-1))))*(INDEX(Tables!$D$99:$D$118,MAX(1,MIN(IFERROR(MATCH(AF151,Tables!$C$99:$C$118,1),1),ROWS(Tables!$C$99:$C$118)-1))+1)-INDEX(Tables!$D$99:$D$118,MAX(1,MIN(IFERROR(MATCH(AF151,Tables!$C$99:$C$118,1),1),ROWS(Tables!$C$99:$C$118)-1))))/(INDEX(Tables!$C$99:$C$118,MAX(1,MIN(IFERROR(MATCH(AF151,Tables!$C$99:$C$118,1),1),ROWS(Tables!$C$99:$C$118)-1))+1)-INDEX(Tables!$C$99:$C$118,MAX(1,MIN(IFERROR(MATCH(AF151,Tables!$C$99:$C$118,1),1),ROWS(Tables!$C$99:$C$118)-1))))),(INDEX(Tables!$F$99:$F$118,MAX(1,MIN(IFERROR(MATCH(AF151,Tables!$E$99:$E$118,1),1),ROWS(Tables!$E$99:$E$118)-1)))+(AF151-INDEX(Tables!$E$99:$E$118,MAX(1,MIN(IFERROR(MATCH(AF151,Tables!$E$99:$E$118,1),1),ROWS(Tables!$E$99:$E$118)-1))))*(INDEX(Tables!$F$99:$F$118,MAX(1,MIN(IFERROR(MATCH(AF151,Tables!$E$99:$E$118,1),1),ROWS(Tables!$E$99:$E$118)-1))+1)-INDEX(Tables!$F$99:$F$118,MAX(1,MIN(IFERROR(MATCH(AF151,Tables!$E$99:$E$118,1),1),ROWS(Tables!$E$99:$E$118)-1))))/(INDEX(Tables!$E$99:$E$118,MAX(1,MIN(IFERROR(MATCH(AF151,Tables!$E$99:$E$118,1),1),ROWS(Tables!$E$99:$E$118)-1))+1)-INDEX(Tables!$E$99:$E$118,MAX(1,MIN(IFERROR(MATCH(AF151,Tables!$E$99:$E$118,1),1),ROWS(Tables!$E$99:$E$118)-1)))))))</f>
        <v>8.0391113101755067</v>
      </c>
      <c r="AQ151" s="181">
        <f>IF(P151&lt;6,(INDEX(Tables!$B$123:$B$138,MAX(1,MIN(IFERROR(MATCH(U151,Tables!$A$123:$A$138,1),1),ROWS(Tables!$A$123:$A$138)-1)))+(U151-INDEX(Tables!$A$123:$A$138,MAX(1,MIN(IFERROR(MATCH(U151,Tables!$A$123:$A$138,1),1),ROWS(Tables!$A$123:$A$138)-1))))*(INDEX(Tables!$B$123:$B$138,MAX(1,MIN(IFERROR(MATCH(U151,Tables!$A$123:$A$138,1),1),ROWS(Tables!$A$123:$A$138)-1))+1)-INDEX(Tables!$B$123:$B$138,MAX(1,MIN(IFERROR(MATCH(U151,Tables!$A$123:$A$138,1),1),ROWS(Tables!$A$123:$A$138)-1))))/(INDEX(Tables!$A$123:$A$138,MAX(1,MIN(IFERROR(MATCH(U151,Tables!$A$123:$A$138,1),1),ROWS(Tables!$A$123:$A$138)-1))+1)-INDEX(Tables!$A$123:$A$138,MAX(1,MIN(IFERROR(MATCH(U151,Tables!$A$123:$A$138,1),1),ROWS(Tables!$A$123:$A$138)-1))))),IF(P151&lt;8,(INDEX(Tables!$D$123:$D$138,MAX(1,MIN(IFERROR(MATCH(U151,Tables!$C$123:$C$138,1),1),ROWS(Tables!$C$123:$C$138)-1)))+(U151-INDEX(Tables!$C$123:$C$138,MAX(1,MIN(IFERROR(MATCH(U151,Tables!$C$123:$C$138,1),1),ROWS(Tables!$C$123:$C$138)-1))))*(INDEX(Tables!$D$123:$D$138,MAX(1,MIN(IFERROR(MATCH(U151,Tables!$C$123:$C$138,1),1),ROWS(Tables!$C$123:$C$138)-1))+1)-INDEX(Tables!$D$123:$D$138,MAX(1,MIN(IFERROR(MATCH(U151,Tables!$C$123:$C$138,1),1),ROWS(Tables!$C$123:$C$138)-1))))/(INDEX(Tables!$C$123:$C$138,MAX(1,MIN(IFERROR(MATCH(U151,Tables!$C$123:$C$138,1),1),ROWS(Tables!$C$123:$C$138)-1))+1)-INDEX(Tables!$C$123:$C$138,MAX(1,MIN(IFERROR(MATCH(U151,Tables!$C$123:$C$138,1),1),ROWS(Tables!$C$123:$C$138)-1))))),IF(P151&lt;10,(INDEX(Tables!$F$123:$F$138,MAX(1,MIN(IFERROR(MATCH(U151,Tables!$E$123:$E$138,1),1),ROWS(Tables!$E$123:$E$138)-1)))+(U151-INDEX(Tables!$E$123:$E$138,MAX(1,MIN(IFERROR(MATCH(U151,Tables!$E$123:$E$138,1),1),ROWS(Tables!$E$123:$E$138)-1))))*(INDEX(Tables!$F$123:$F$138,MAX(1,MIN(IFERROR(MATCH(U151,Tables!$E$123:$E$138,1),1),ROWS(Tables!$E$123:$E$138)-1))+1)-INDEX(Tables!$F$123:$F$138,MAX(1,MIN(IFERROR(MATCH(U151,Tables!$E$123:$E$138,1),1),ROWS(Tables!$E$123:$E$138)-1))))/(INDEX(Tables!$E$123:$E$138,MAX(1,MIN(IFERROR(MATCH(U151,Tables!$E$123:$E$138,1),1),ROWS(Tables!$E$123:$E$138)-1))+1)-INDEX(Tables!$E$123:$E$138,MAX(1,MIN(IFERROR(MATCH(U151,Tables!$E$123:$E$138,1),1),ROWS(Tables!$E$123:$E$138)-1))))),(INDEX(Tables!$H$123:$H$138,MAX(1,MIN(IFERROR(MATCH(U151,Tables!$G$123:$G$138,1),1),ROWS(Tables!$G$123:$G$138)-1)))+(U151-INDEX(Tables!$G$123:$G$138,MAX(1,MIN(IFERROR(MATCH(U151,Tables!$G$123:$G$138,1),1),ROWS(Tables!$G$123:$G$138)-1))))*(INDEX(Tables!$H$123:$H$138,MAX(1,MIN(IFERROR(MATCH(U151,Tables!$G$123:$G$138,1),1),ROWS(Tables!$G$123:$G$138)-1))+1)-INDEX(Tables!$H$123:$H$138,MAX(1,MIN(IFERROR(MATCH(U151,Tables!$G$123:$G$138,1),1),ROWS(Tables!$G$123:$G$138)-1))))/(INDEX(Tables!$G$123:$G$138,MAX(1,MIN(IFERROR(MATCH(U151,Tables!$G$123:$G$138,1),1),ROWS(Tables!$G$123:$G$138)-1))+1)-INDEX(Tables!$G$123:$G$138,MAX(1,MIN(IFERROR(MATCH(U151,Tables!$G$123:$G$138,1),1),ROWS(Tables!$G$123:$G$138)-1))))))))</f>
        <v>1.01675</v>
      </c>
      <c r="AR151" s="181">
        <f>IF(OR(P151&gt;=4,U151&gt;12),VLOOKUP(R151&amp;" "&amp;S151,Tables!$D$143:$F$148,2,FALSE),VLOOKUP(R151&amp;" "&amp;S151,Tables!$A$143:$C$148,2,FALSE))</f>
        <v>1</v>
      </c>
      <c r="AS151" s="181">
        <f>IF(OR(P151&gt;=4,U151&gt;12),VLOOKUP(R151&amp;" "&amp;S151,Tables!$D$143:$F$148,3,FALSE),VLOOKUP(R151&amp;" "&amp;S151,Tables!$A$143:$C$148,3,FALSE))</f>
        <v>1</v>
      </c>
      <c r="AT151" s="181">
        <f t="shared" si="136"/>
        <v>837.93565862158346</v>
      </c>
      <c r="AU151" s="181">
        <f>IF(AD151=5000,(INDEX(Tables!$B$244:$B$263,MAX(1,MIN(IFERROR(MATCH(AF151,Tables!$A$244:$A$263,1),1),ROWS(Tables!$A$244:$A$263)-1)))+(AF151-INDEX(Tables!$A$244:$A$263,MAX(1,MIN(IFERROR(MATCH(AF151,Tables!$A$244:$A$263,1),1),ROWS(Tables!$A$244:$A$263)-1))))*(INDEX(Tables!$B$244:$B$263,MAX(1,MIN(IFERROR(MATCH(AF151,Tables!$A$244:$A$263,1),1),ROWS(Tables!$A$244:$A$263)-1))+1)-INDEX(Tables!$B$244:$B$263,MAX(1,MIN(IFERROR(MATCH(AF151,Tables!$A$244:$A$263,1),1),ROWS(Tables!$A$244:$A$263)-1))))/(INDEX(Tables!$A$244:$A$263,MAX(1,MIN(IFERROR(MATCH(AF151,Tables!$A$244:$A$263,1),1),ROWS(Tables!$A$244:$A$263)-1))+1)-INDEX(Tables!$A$244:$A$263,MAX(1,MIN(IFERROR(MATCH(AF151,Tables!$A$244:$A$263,1),1),ROWS(Tables!$A$244:$A$263)-1))))),IF(AD151=10000,(INDEX(Tables!$D$244:$D$263,MAX(1,MIN(IFERROR(MATCH(AF151,Tables!$C$244:$C$263,1),1),ROWS(Tables!$C$244:$C$263)-1)))+(AF151-INDEX(Tables!$C$244:$C$263,MAX(1,MIN(IFERROR(MATCH(AF151,Tables!$C$244:$C$263,1),1),ROWS(Tables!$C$244:$C$263)-1))))*(INDEX(Tables!$D$244:$D$263,MAX(1,MIN(IFERROR(MATCH(AF151,Tables!$C$244:$C$263,1),1),ROWS(Tables!$C$244:$C$263)-1))+1)-INDEX(Tables!$D$244:$D$263,MAX(1,MIN(IFERROR(MATCH(AF151,Tables!$C$244:$C$263,1),1),ROWS(Tables!$C$244:$C$263)-1))))/(INDEX(Tables!$C$244:$C$263,MAX(1,MIN(IFERROR(MATCH(AF151,Tables!$C$244:$C$263,1),1),ROWS(Tables!$C$244:$C$263)-1))+1)-INDEX(Tables!$C$244:$C$263,MAX(1,MIN(IFERROR(MATCH(AF151,Tables!$C$244:$C$263,1),1),ROWS(Tables!$C$244:$C$263)-1))))),(INDEX(Tables!$F$244:$F$263,MAX(1,MIN(IFERROR(MATCH(AF151,Tables!$E$244:$E$263,1),1),ROWS(Tables!$E$244:$E$263)-1)))+(AF151-INDEX(Tables!$E$244:$E$263,MAX(1,MIN(IFERROR(MATCH(AF151,Tables!$E$244:$E$263,1),1),ROWS(Tables!$E$244:$E$263)-1))))*(INDEX(Tables!$F$244:$F$263,MAX(1,MIN(IFERROR(MATCH(AF151,Tables!$E$244:$E$263,1),1),ROWS(Tables!$E$244:$E$263)-1))+1)-INDEX(Tables!$F$244:$F$263,MAX(1,MIN(IFERROR(MATCH(AF151,Tables!$E$244:$E$263,1),1),ROWS(Tables!$E$244:$E$263)-1))))/(INDEX(Tables!$E$244:$E$263,MAX(1,MIN(IFERROR(MATCH(AF151,Tables!$E$244:$E$263,1),1),ROWS(Tables!$E$244:$E$263)-1))+1)-INDEX(Tables!$E$244:$E$263,MAX(1,MIN(IFERROR(MATCH(AF151,Tables!$E$244:$E$263,1),1),ROWS(Tables!$E$244:$E$263)-1)))))))</f>
        <v>5.5806078431372548</v>
      </c>
      <c r="AV151" s="181">
        <f>IF(P151&lt;6,(INDEX(Tables!$B$260:$B$274,MAX(1,MIN(IFERROR(MATCH(U151,Tables!$A$260:$A$274,1),1),ROWS(Tables!$A$260:$A$274)-1)))+(U151-INDEX(Tables!$A$260:$A$274,MAX(1,MIN(IFERROR(MATCH(U151,Tables!$A$260:$A$274,1),1),ROWS(Tables!$A$260:$A$274)-1))))*(INDEX(Tables!$B$260:$B$274,MAX(1,MIN(IFERROR(MATCH(U151,Tables!$A$260:$A$274,1),1),ROWS(Tables!$A$260:$A$274)-1))+1)-INDEX(Tables!$B$260:$B$274,MAX(1,MIN(IFERROR(MATCH(U151,Tables!$A$260:$A$274,1),1),ROWS(Tables!$A$260:$A$274)-1))))/(INDEX(Tables!$A$260:$A$274,MAX(1,MIN(IFERROR(MATCH(U151,Tables!$A$260:$A$274,1),1),ROWS(Tables!$A$260:$A$274)-1))+1)-INDEX(Tables!$A$260:$A$274,MAX(1,MIN(IFERROR(MATCH(U151,Tables!$A$260:$A$274,1),1),ROWS(Tables!$A$260:$A$274)-1))))),IF(P151&lt;8,(INDEX(Tables!$D$260:$D$274,MAX(1,MIN(IFERROR(MATCH(U151,Tables!$C$260:$C$274,1),1),ROWS(Tables!$C$260:$C$274)-1)))+(U151-INDEX(Tables!$C$260:$C$274,MAX(1,MIN(IFERROR(MATCH(U151,Tables!$C$260:$C$274,1),1),ROWS(Tables!$C$260:$C$274)-1))))*(INDEX(Tables!$D$260:$D$274,MAX(1,MIN(IFERROR(MATCH(U151,Tables!$C$260:$C$274,1),1),ROWS(Tables!$C$260:$C$274)-1))+1)-INDEX(Tables!$D$260:$D$274,MAX(1,MIN(IFERROR(MATCH(U151,Tables!$C$260:$C$274,1),1),ROWS(Tables!$C$260:$C$274)-1))))/(INDEX(Tables!$C$260:$C$274,MAX(1,MIN(IFERROR(MATCH(U151,Tables!$C$260:$C$274,1),1),ROWS(Tables!$C$260:$C$274)-1))+1)-INDEX(Tables!$C$260:$C$274,MAX(1,MIN(IFERROR(MATCH(U151,Tables!$C$260:$C$274,1),1),ROWS(Tables!$C$260:$C$274)-1))))),IF(P151&lt;10,(INDEX(Tables!$F$260:$F$274,MAX(1,MIN(IFERROR(MATCH(U151,Tables!$E$260:$E$274,1),1),ROWS(Tables!$E$260:$E$274)-1)))+(U151-INDEX(Tables!$E$260:$E$274,MAX(1,MIN(IFERROR(MATCH(U151,Tables!$E$260:$E$274,1),1),ROWS(Tables!$E$260:$E$274)-1))))*(INDEX(Tables!$F$260:$F$274,MAX(1,MIN(IFERROR(MATCH(U151,Tables!$E$260:$E$274,1),1),ROWS(Tables!$E$260:$E$274)-1))+1)-INDEX(Tables!$F$260:$F$274,MAX(1,MIN(IFERROR(MATCH(U151,Tables!$E$260:$E$274,1),1),ROWS(Tables!$E$260:$E$274)-1))))/(INDEX(Tables!$E$260:$E$274,MAX(1,MIN(IFERROR(MATCH(U151,Tables!$E$260:$E$274,1),1),ROWS(Tables!$E$260:$E$274)-1))+1)-INDEX(Tables!$E$260:$E$274,MAX(1,MIN(IFERROR(MATCH(U151,Tables!$E$260:$E$274,1),1),ROWS(Tables!$E$260:$E$274)-1))))),(INDEX(Tables!$H$260:$H$274,MAX(1,MIN(IFERROR(MATCH(U151,Tables!$G$260:$G$274,1),1),ROWS(Tables!$G$260:$G$274)-1)))+(U151-INDEX(Tables!$G$260:$G$274,MAX(1,MIN(IFERROR(MATCH(U151,Tables!$G$260:$G$274,1),1),ROWS(Tables!$G$260:$G$274)-1))))*(INDEX(Tables!$H$260:$H$274,MAX(1,MIN(IFERROR(MATCH(U151,Tables!$G$260:$G$274,1),1),ROWS(Tables!$G$260:$G$274)-1))+1)-INDEX(Tables!$H$260:$H$274,MAX(1,MIN(IFERROR(MATCH(U151,Tables!$G$260:$G$274,1),1),ROWS(Tables!$G$260:$G$274)-1))))/(INDEX(Tables!$G$260:$G$274,MAX(1,MIN(IFERROR(MATCH(U151,Tables!$G$260:$G$274,1),1),ROWS(Tables!$G$260:$G$274)-1))+1)-INDEX(Tables!$G$260:$G$274,MAX(1,MIN(IFERROR(MATCH(U151,Tables!$G$260:$G$274,1),1),ROWS(Tables!$G$260:$G$274)-1))))))))</f>
        <v>1.0024999999999999</v>
      </c>
      <c r="AW151" s="181">
        <f t="shared" si="137"/>
        <v>573.5276175984875</v>
      </c>
      <c r="AX151" s="181">
        <f t="shared" si="138"/>
        <v>0</v>
      </c>
      <c r="AY151" s="181">
        <f t="shared" si="139"/>
        <v>1709.7736170758426</v>
      </c>
      <c r="AZ151" s="181">
        <f t="shared" si="140"/>
        <v>835.07900513476511</v>
      </c>
      <c r="BA151" s="181">
        <f t="shared" si="141"/>
        <v>0</v>
      </c>
      <c r="BB151" s="181">
        <f t="shared" si="142"/>
        <v>1480.8398682207726</v>
      </c>
      <c r="BC151" s="181">
        <f t="shared" si="143"/>
        <v>46800</v>
      </c>
      <c r="BD151" s="181">
        <f>VLOOKUP(V151&amp;" "&amp;J151,Tables!$A$152:$E$239,4,FALSE)</f>
        <v>12000</v>
      </c>
      <c r="BE151" s="181">
        <f>VLOOKUP(V151&amp;" "&amp;J151,Tables!$A$152:$E$239,5,FALSE)</f>
        <v>23000</v>
      </c>
      <c r="BF151" s="181">
        <f t="shared" si="144"/>
        <v>8640</v>
      </c>
      <c r="BG151" s="181">
        <f t="shared" si="145"/>
        <v>16560</v>
      </c>
      <c r="BH151" s="181">
        <f t="shared" si="146"/>
        <v>0</v>
      </c>
      <c r="BI151" s="181">
        <f t="shared" si="147"/>
        <v>46800</v>
      </c>
      <c r="BJ151" s="181">
        <f t="shared" si="148"/>
        <v>1480.8398682207726</v>
      </c>
      <c r="BK151" s="181">
        <f t="shared" si="149"/>
        <v>46800</v>
      </c>
      <c r="BL151" s="181">
        <f t="shared" si="150"/>
        <v>573.5276175984875</v>
      </c>
      <c r="BM151" s="181">
        <f t="shared" si="151"/>
        <v>8640</v>
      </c>
      <c r="BN151" s="181">
        <f t="shared" si="152"/>
        <v>837.93565862158346</v>
      </c>
      <c r="BO151" s="181">
        <f t="shared" si="153"/>
        <v>16560</v>
      </c>
      <c r="BP151" t="str">
        <f t="shared" si="154"/>
        <v>Pass</v>
      </c>
      <c r="BQ151" t="str">
        <f t="shared" si="155"/>
        <v>Pass</v>
      </c>
      <c r="BR151" t="str">
        <f t="shared" si="156"/>
        <v>Pass</v>
      </c>
      <c r="BS151" t="str">
        <f t="shared" si="157"/>
        <v>Pass</v>
      </c>
      <c r="BT151" t="str">
        <f t="shared" si="158"/>
        <v>Pass</v>
      </c>
      <c r="BU151" t="str">
        <f t="shared" si="159"/>
        <v>Girth Weld Stress</v>
      </c>
    </row>
    <row r="152" spans="1:73">
      <c r="A152" t="s">
        <v>744</v>
      </c>
      <c r="B152" s="181">
        <v>150</v>
      </c>
      <c r="C152" t="s">
        <v>594</v>
      </c>
      <c r="D152" s="181">
        <v>16</v>
      </c>
      <c r="E152" s="181">
        <v>0.81200000000000006</v>
      </c>
      <c r="F152" t="s">
        <v>117</v>
      </c>
      <c r="G152" t="s">
        <v>119</v>
      </c>
      <c r="H152" t="s">
        <v>122</v>
      </c>
      <c r="I152" s="181">
        <v>1</v>
      </c>
      <c r="J152" t="s">
        <v>126</v>
      </c>
      <c r="K152" t="s">
        <v>129</v>
      </c>
      <c r="L152" s="181">
        <v>70</v>
      </c>
      <c r="M152" s="181">
        <v>100</v>
      </c>
      <c r="N152" t="s">
        <v>388</v>
      </c>
      <c r="O152" s="181">
        <v>120</v>
      </c>
      <c r="P152" s="181">
        <v>8</v>
      </c>
      <c r="Q152" s="181">
        <v>18</v>
      </c>
      <c r="R152" t="s">
        <v>154</v>
      </c>
      <c r="S152" t="s">
        <v>156</v>
      </c>
      <c r="T152" s="181">
        <v>70</v>
      </c>
      <c r="U152" s="181">
        <f>HLOOKUP(D152,'Highway Loading'!$C$155:$AD$156,2,FALSE)</f>
        <v>16</v>
      </c>
      <c r="V152" s="181">
        <f>IF(ISBLANK(G152),"",INDEX('Highway Loading'!$C$216:$AG$216,1,MATCH(G152,'Highway Loading'!$C$215:$AG$215,0)))</f>
        <v>65000</v>
      </c>
      <c r="W152" s="181">
        <f>INDEX('Highway Loading'!$I$245:$L$253,MATCH(H152,'Highway Loading'!$H$245:$H$253,0),MATCH(I152,'Highway Loading'!$I$244:$L$244,0))</f>
        <v>0.72</v>
      </c>
      <c r="X152" s="181">
        <f t="shared" si="128"/>
        <v>1</v>
      </c>
      <c r="Y152" s="181">
        <f>VLOOKUP(K152,'Highway Loading'!$B$283:$E$292,2,FALSE)</f>
        <v>29000000</v>
      </c>
      <c r="Z152" s="181">
        <f>VLOOKUP(K152,'Highway Loading'!$B$283:$E$292,3,FALSE)</f>
        <v>0.3</v>
      </c>
      <c r="AA152" s="181">
        <f>VLOOKUP(K152,'Highway Loading'!$B$283:$E$292,4,FALSE)</f>
        <v>6.4999999999999996E-6</v>
      </c>
      <c r="AB152" s="181">
        <f t="shared" si="129"/>
        <v>1</v>
      </c>
      <c r="AC152" s="181">
        <f>VLOOKUP(N152,'Highway Loading'!$B$256:$D$261,2,FALSE)</f>
        <v>200</v>
      </c>
      <c r="AD152" s="181">
        <f>VLOOKUP(N152,'Highway Loading'!$B$256:$D$261,3,FALSE)</f>
        <v>5000</v>
      </c>
      <c r="AE152" s="181">
        <f>VLOOKUP(S152,'Highway Loading'!$B$340:$C$341,2,FALSE)</f>
        <v>10000</v>
      </c>
      <c r="AF152" s="181">
        <f t="shared" si="130"/>
        <v>5.0750000000000003E-2</v>
      </c>
      <c r="AG152" s="181">
        <f t="shared" si="131"/>
        <v>5.333333333333333</v>
      </c>
      <c r="AH152" s="181">
        <f t="shared" si="132"/>
        <v>1.125</v>
      </c>
      <c r="AI152" s="181">
        <f t="shared" si="133"/>
        <v>985.22167487684726</v>
      </c>
      <c r="AJ152" s="181">
        <f t="shared" si="134"/>
        <v>46800</v>
      </c>
      <c r="AK152" s="181">
        <f>IF(AC152=200,(INDEX(Tables!$B$17:$B$38,MAX(1,MIN(IFERROR(MATCH(AF152,Tables!$A$17:$A$38,1),1),ROWS(Tables!$A$17:$A$38)-1)))+(AF152-INDEX(Tables!$A$17:$A$38,MAX(1,MIN(IFERROR(MATCH(AF152,Tables!$A$17:$A$38,1),1),ROWS(Tables!$A$17:$A$38)-1))))*(INDEX(Tables!$B$17:$B$38,MAX(1,MIN(IFERROR(MATCH(AF152,Tables!$A$17:$A$38,1),1),ROWS(Tables!$A$17:$A$38)-1))+1)-INDEX(Tables!$B$17:$B$38,MAX(1,MIN(IFERROR(MATCH(AF152,Tables!$A$17:$A$38,1),1),ROWS(Tables!$A$17:$A$38)-1))))/(INDEX(Tables!$A$17:$A$38,MAX(1,MIN(IFERROR(MATCH(AF152,Tables!$A$17:$A$38,1),1),ROWS(Tables!$A$17:$A$38)-1))+1)-INDEX(Tables!$A$17:$A$38,MAX(1,MIN(IFERROR(MATCH(AF152,Tables!$A$17:$A$38,1),1),ROWS(Tables!$A$17:$A$38)-1))))),IF(AC152=500,(INDEX(Tables!$D$17:$D$38,MAX(1,MIN(IFERROR(MATCH(AF152,Tables!$C$17:$C$38,1),1),ROWS(Tables!$C$17:$C$38)-1)))+(AF152-INDEX(Tables!$C$17:$C$38,MAX(1,MIN(IFERROR(MATCH(AF152,Tables!$C$17:$C$38,1),1),ROWS(Tables!$C$17:$C$38)-1))))*(INDEX(Tables!$D$17:$D$38,MAX(1,MIN(IFERROR(MATCH(AF152,Tables!$C$17:$C$38,1),1),ROWS(Tables!$C$17:$C$38)-1))+1)-INDEX(Tables!$D$17:$D$38,MAX(1,MIN(IFERROR(MATCH(AF152,Tables!$C$17:$C$38,1),1),ROWS(Tables!$C$17:$C$38)-1))))/(INDEX(Tables!$C$17:$C$38,MAX(1,MIN(IFERROR(MATCH(AF152,Tables!$C$17:$C$38,1),1),ROWS(Tables!$C$17:$C$38)-1))+1)-INDEX(Tables!$C$17:$C$38,MAX(1,MIN(IFERROR(MATCH(AF152,Tables!$C$17:$C$38,1),1),ROWS(Tables!$C$17:$C$38)-1))))),IF(AC152=1000,(INDEX(Tables!$F$17:$F$38,MAX(1,MIN(IFERROR(MATCH(AF152,Tables!$E$17:$E$38,1),1),ROWS(Tables!$E$17:$E$38)-1)))+(AF152-INDEX(Tables!$E$17:$E$38,MAX(1,MIN(IFERROR(MATCH(AF152,Tables!$E$17:$E$38,1),1),ROWS(Tables!$E$17:$E$38)-1))))*(INDEX(Tables!$F$17:$F$38,MAX(1,MIN(IFERROR(MATCH(AF152,Tables!$E$17:$E$38,1),1),ROWS(Tables!$E$17:$E$38)-1))+1)-INDEX(Tables!$F$17:$F$38,MAX(1,MIN(IFERROR(MATCH(AF152,Tables!$E$17:$E$38,1),1),ROWS(Tables!$E$17:$E$38)-1))))/(INDEX(Tables!$E$17:$E$38,MAX(1,MIN(IFERROR(MATCH(AF152,Tables!$E$17:$E$38,1),1),ROWS(Tables!$E$17:$E$38)-1))+1)-INDEX(Tables!$E$17:$E$38,MAX(1,MIN(IFERROR(MATCH(AF152,Tables!$E$17:$E$38,1),1),ROWS(Tables!$E$17:$E$38)-1))))),(INDEX(Tables!$H$17:$H$38,MAX(1,MIN(IFERROR(MATCH(AF152,Tables!$G$17:$G$38,1),1),ROWS(Tables!$G$17:$G$38)-1)))+(AF152-INDEX(Tables!$G$17:$G$38,MAX(1,MIN(IFERROR(MATCH(AF152,Tables!$G$17:$G$38,1),1),ROWS(Tables!$G$17:$G$38)-1))))*(INDEX(Tables!$H$17:$H$38,MAX(1,MIN(IFERROR(MATCH(AF152,Tables!$G$17:$G$38,1),1),ROWS(Tables!$G$17:$G$38)-1))+1)-INDEX(Tables!$H$17:$H$38,MAX(1,MIN(IFERROR(MATCH(AF152,Tables!$G$17:$G$38,1),1),ROWS(Tables!$G$17:$G$38)-1))))/(INDEX(Tables!$G$17:$G$38,MAX(1,MIN(IFERROR(MATCH(AF152,Tables!$G$17:$G$38,1),1),ROWS(Tables!$G$17:$G$38)-1))+1)-INDEX(Tables!$G$17:$G$38,MAX(1,MIN(IFERROR(MATCH(AF152,Tables!$G$17:$G$38,1),1),ROWS(Tables!$G$17:$G$38)-1))))))))</f>
        <v>449.95</v>
      </c>
      <c r="AL152" s="181">
        <f>IF(AC152&lt;1000,(INDEX(Tables!$B$43:$B$76,MAX(1,MIN(IFERROR(MATCH(AG152,Tables!$A$43:$A$76,1),1),ROWS(Tables!$A$43:$A$76)-1)))+(AG152-INDEX(Tables!$A$43:$A$76,MAX(1,MIN(IFERROR(MATCH(AG152,Tables!$A$43:$A$76,1),1),ROWS(Tables!$A$43:$A$76)-1))))*(INDEX(Tables!$B$43:$B$76,MAX(1,MIN(IFERROR(MATCH(AG152,Tables!$A$43:$A$76,1),1),ROWS(Tables!$A$43:$A$76)-1))+1)-INDEX(Tables!$B$43:$B$76,MAX(1,MIN(IFERROR(MATCH(AG152,Tables!$A$43:$A$76,1),1),ROWS(Tables!$A$43:$A$76)-1))))/(INDEX(Tables!$A$43:$A$76,MAX(1,MIN(IFERROR(MATCH(AG152,Tables!$A$43:$A$76,1),1),ROWS(Tables!$A$43:$A$76)-1))+1)-INDEX(Tables!$A$43:$A$76,MAX(1,MIN(IFERROR(MATCH(AG152,Tables!$A$43:$A$76,1),1),ROWS(Tables!$A$43:$A$76)-1))))),(INDEX(Tables!$D$43:$D$76,MAX(1,MIN(IFERROR(MATCH(AG152,Tables!$C$43:$C$76,1),1),ROWS(Tables!$C$43:$C$76)-1)))+(AG152-INDEX(Tables!$C$43:$C$76,MAX(1,MIN(IFERROR(MATCH(AG152,Tables!$C$43:$C$76,1),1),ROWS(Tables!$C$43:$C$76)-1))))*(INDEX(Tables!$D$43:$D$76,MAX(1,MIN(IFERROR(MATCH(AG152,Tables!$C$43:$C$76,1),1),ROWS(Tables!$C$43:$C$76)-1))+1)-INDEX(Tables!$D$43:$D$76,MAX(1,MIN(IFERROR(MATCH(AG152,Tables!$C$43:$C$76,1),1),ROWS(Tables!$C$43:$C$76)-1))))/(INDEX(Tables!$C$43:$C$76,MAX(1,MIN(IFERROR(MATCH(AG152,Tables!$C$43:$C$76,1),1),ROWS(Tables!$C$43:$C$76)-1))+1)-INDEX(Tables!$C$43:$C$76,MAX(1,MIN(IFERROR(MATCH(AG152,Tables!$C$43:$C$76,1),1),ROWS(Tables!$C$43:$C$76)-1))))))</f>
        <v>1.1053333333333333</v>
      </c>
      <c r="AM152" s="181">
        <f>(INDEX(Tables!$B$80:$B$87,MAX(1,MIN(IFERROR(MATCH(AH152,Tables!$A$80:$A$87,1),1),ROWS(Tables!$A$80:$A$87)-1)))+(AH152-INDEX(Tables!$A$80:$A$87,MAX(1,MIN(IFERROR(MATCH(AH152,Tables!$A$80:$A$87,1),1),ROWS(Tables!$A$80:$A$87)-1))))*(INDEX(Tables!$B$80:$B$87,MAX(1,MIN(IFERROR(MATCH(AH152,Tables!$A$80:$A$87,1),1),ROWS(Tables!$A$80:$A$87)-1))+1)-INDEX(Tables!$B$80:$B$87,MAX(1,MIN(IFERROR(MATCH(AH152,Tables!$A$80:$A$87,1),1),ROWS(Tables!$A$80:$A$87)-1))))/(INDEX(Tables!$A$80:$A$87,MAX(1,MIN(IFERROR(MATCH(AH152,Tables!$A$80:$A$87,1),1),ROWS(Tables!$A$80:$A$87)-1))+1)-INDEX(Tables!$A$80:$A$87,MAX(1,MIN(IFERROR(MATCH(AH152,Tables!$A$80:$A$87,1),1),ROWS(Tables!$A$80:$A$87)-1)))))</f>
        <v>1.04345</v>
      </c>
      <c r="AN152" s="181">
        <f t="shared" si="135"/>
        <v>576.6159577740741</v>
      </c>
      <c r="AO152" s="181">
        <f>(INDEX(Tables!$B$91:$B$94,MAX(1,MIN(IFERROR(MATCH(P152,Tables!$A$91:$A$94,1),1),ROWS(Tables!$A$91:$A$94)-1)))+(P152-INDEX(Tables!$A$91:$A$94,MAX(1,MIN(IFERROR(MATCH(P152,Tables!$A$91:$A$94,1),1),ROWS(Tables!$A$91:$A$94)-1))))*(INDEX(Tables!$B$91:$B$94,MAX(1,MIN(IFERROR(MATCH(P152,Tables!$A$91:$A$94,1),1),ROWS(Tables!$A$91:$A$94)-1))+1)-INDEX(Tables!$B$91:$B$94,MAX(1,MIN(IFERROR(MATCH(P152,Tables!$A$91:$A$94,1),1),ROWS(Tables!$A$91:$A$94)-1))))/(INDEX(Tables!$A$91:$A$94,MAX(1,MIN(IFERROR(MATCH(P152,Tables!$A$91:$A$94,1),1),ROWS(Tables!$A$91:$A$94)-1))+1)-INDEX(Tables!$A$91:$A$94,MAX(1,MIN(IFERROR(MATCH(P152,Tables!$A$91:$A$94,1),1),ROWS(Tables!$A$91:$A$94)-1)))))</f>
        <v>1.4152439024390244</v>
      </c>
      <c r="AP152" s="181">
        <f>IF(AD152=5000,(INDEX(Tables!$B$99:$B$118,MAX(1,MIN(IFERROR(MATCH(AF152,Tables!$A$99:$A$118,1),1),ROWS(Tables!$A$99:$A$118)-1)))+(AF152-INDEX(Tables!$A$99:$A$118,MAX(1,MIN(IFERROR(MATCH(AF152,Tables!$A$99:$A$118,1),1),ROWS(Tables!$A$99:$A$118)-1))))*(INDEX(Tables!$B$99:$B$118,MAX(1,MIN(IFERROR(MATCH(AF152,Tables!$A$99:$A$118,1),1),ROWS(Tables!$A$99:$A$118)-1))+1)-INDEX(Tables!$B$99:$B$118,MAX(1,MIN(IFERROR(MATCH(AF152,Tables!$A$99:$A$118,1),1),ROWS(Tables!$A$99:$A$118)-1))))/(INDEX(Tables!$A$99:$A$118,MAX(1,MIN(IFERROR(MATCH(AF152,Tables!$A$99:$A$118,1),1),ROWS(Tables!$A$99:$A$118)-1))+1)-INDEX(Tables!$A$99:$A$118,MAX(1,MIN(IFERROR(MATCH(AF152,Tables!$A$99:$A$118,1),1),ROWS(Tables!$A$99:$A$118)-1))))),IF(AD152=10000,(INDEX(Tables!$D$99:$D$118,MAX(1,MIN(IFERROR(MATCH(AF152,Tables!$C$99:$C$118,1),1),ROWS(Tables!$C$99:$C$118)-1)))+(AF152-INDEX(Tables!$C$99:$C$118,MAX(1,MIN(IFERROR(MATCH(AF152,Tables!$C$99:$C$118,1),1),ROWS(Tables!$C$99:$C$118)-1))))*(INDEX(Tables!$D$99:$D$118,MAX(1,MIN(IFERROR(MATCH(AF152,Tables!$C$99:$C$118,1),1),ROWS(Tables!$C$99:$C$118)-1))+1)-INDEX(Tables!$D$99:$D$118,MAX(1,MIN(IFERROR(MATCH(AF152,Tables!$C$99:$C$118,1),1),ROWS(Tables!$C$99:$C$118)-1))))/(INDEX(Tables!$C$99:$C$118,MAX(1,MIN(IFERROR(MATCH(AF152,Tables!$C$99:$C$118,1),1),ROWS(Tables!$C$99:$C$118)-1))+1)-INDEX(Tables!$C$99:$C$118,MAX(1,MIN(IFERROR(MATCH(AF152,Tables!$C$99:$C$118,1),1),ROWS(Tables!$C$99:$C$118)-1))))),(INDEX(Tables!$F$99:$F$118,MAX(1,MIN(IFERROR(MATCH(AF152,Tables!$E$99:$E$118,1),1),ROWS(Tables!$E$99:$E$118)-1)))+(AF152-INDEX(Tables!$E$99:$E$118,MAX(1,MIN(IFERROR(MATCH(AF152,Tables!$E$99:$E$118,1),1),ROWS(Tables!$E$99:$E$118)-1))))*(INDEX(Tables!$F$99:$F$118,MAX(1,MIN(IFERROR(MATCH(AF152,Tables!$E$99:$E$118,1),1),ROWS(Tables!$E$99:$E$118)-1))+1)-INDEX(Tables!$F$99:$F$118,MAX(1,MIN(IFERROR(MATCH(AF152,Tables!$E$99:$E$118,1),1),ROWS(Tables!$E$99:$E$118)-1))))/(INDEX(Tables!$E$99:$E$118,MAX(1,MIN(IFERROR(MATCH(AF152,Tables!$E$99:$E$118,1),1),ROWS(Tables!$E$99:$E$118)-1))+1)-INDEX(Tables!$E$99:$E$118,MAX(1,MIN(IFERROR(MATCH(AF152,Tables!$E$99:$E$118,1),1),ROWS(Tables!$E$99:$E$118)-1)))))))</f>
        <v>5.8145537190082637</v>
      </c>
      <c r="AQ152" s="181">
        <f>IF(P152&lt;6,(INDEX(Tables!$B$123:$B$138,MAX(1,MIN(IFERROR(MATCH(U152,Tables!$A$123:$A$138,1),1),ROWS(Tables!$A$123:$A$138)-1)))+(U152-INDEX(Tables!$A$123:$A$138,MAX(1,MIN(IFERROR(MATCH(U152,Tables!$A$123:$A$138,1),1),ROWS(Tables!$A$123:$A$138)-1))))*(INDEX(Tables!$B$123:$B$138,MAX(1,MIN(IFERROR(MATCH(U152,Tables!$A$123:$A$138,1),1),ROWS(Tables!$A$123:$A$138)-1))+1)-INDEX(Tables!$B$123:$B$138,MAX(1,MIN(IFERROR(MATCH(U152,Tables!$A$123:$A$138,1),1),ROWS(Tables!$A$123:$A$138)-1))))/(INDEX(Tables!$A$123:$A$138,MAX(1,MIN(IFERROR(MATCH(U152,Tables!$A$123:$A$138,1),1),ROWS(Tables!$A$123:$A$138)-1))+1)-INDEX(Tables!$A$123:$A$138,MAX(1,MIN(IFERROR(MATCH(U152,Tables!$A$123:$A$138,1),1),ROWS(Tables!$A$123:$A$138)-1))))),IF(P152&lt;8,(INDEX(Tables!$D$123:$D$138,MAX(1,MIN(IFERROR(MATCH(U152,Tables!$C$123:$C$138,1),1),ROWS(Tables!$C$123:$C$138)-1)))+(U152-INDEX(Tables!$C$123:$C$138,MAX(1,MIN(IFERROR(MATCH(U152,Tables!$C$123:$C$138,1),1),ROWS(Tables!$C$123:$C$138)-1))))*(INDEX(Tables!$D$123:$D$138,MAX(1,MIN(IFERROR(MATCH(U152,Tables!$C$123:$C$138,1),1),ROWS(Tables!$C$123:$C$138)-1))+1)-INDEX(Tables!$D$123:$D$138,MAX(1,MIN(IFERROR(MATCH(U152,Tables!$C$123:$C$138,1),1),ROWS(Tables!$C$123:$C$138)-1))))/(INDEX(Tables!$C$123:$C$138,MAX(1,MIN(IFERROR(MATCH(U152,Tables!$C$123:$C$138,1),1),ROWS(Tables!$C$123:$C$138)-1))+1)-INDEX(Tables!$C$123:$C$138,MAX(1,MIN(IFERROR(MATCH(U152,Tables!$C$123:$C$138,1),1),ROWS(Tables!$C$123:$C$138)-1))))),IF(P152&lt;10,(INDEX(Tables!$F$123:$F$138,MAX(1,MIN(IFERROR(MATCH(U152,Tables!$E$123:$E$138,1),1),ROWS(Tables!$E$123:$E$138)-1)))+(U152-INDEX(Tables!$E$123:$E$138,MAX(1,MIN(IFERROR(MATCH(U152,Tables!$E$123:$E$138,1),1),ROWS(Tables!$E$123:$E$138)-1))))*(INDEX(Tables!$F$123:$F$138,MAX(1,MIN(IFERROR(MATCH(U152,Tables!$E$123:$E$138,1),1),ROWS(Tables!$E$123:$E$138)-1))+1)-INDEX(Tables!$F$123:$F$138,MAX(1,MIN(IFERROR(MATCH(U152,Tables!$E$123:$E$138,1),1),ROWS(Tables!$E$123:$E$138)-1))))/(INDEX(Tables!$E$123:$E$138,MAX(1,MIN(IFERROR(MATCH(U152,Tables!$E$123:$E$138,1),1),ROWS(Tables!$E$123:$E$138)-1))+1)-INDEX(Tables!$E$123:$E$138,MAX(1,MIN(IFERROR(MATCH(U152,Tables!$E$123:$E$138,1),1),ROWS(Tables!$E$123:$E$138)-1))))),(INDEX(Tables!$H$123:$H$138,MAX(1,MIN(IFERROR(MATCH(U152,Tables!$G$123:$G$138,1),1),ROWS(Tables!$G$123:$G$138)-1)))+(U152-INDEX(Tables!$G$123:$G$138,MAX(1,MIN(IFERROR(MATCH(U152,Tables!$G$123:$G$138,1),1),ROWS(Tables!$G$123:$G$138)-1))))*(INDEX(Tables!$H$123:$H$138,MAX(1,MIN(IFERROR(MATCH(U152,Tables!$G$123:$G$138,1),1),ROWS(Tables!$G$123:$G$138)-1))+1)-INDEX(Tables!$H$123:$H$138,MAX(1,MIN(IFERROR(MATCH(U152,Tables!$G$123:$G$138,1),1),ROWS(Tables!$G$123:$G$138)-1))))/(INDEX(Tables!$G$123:$G$138,MAX(1,MIN(IFERROR(MATCH(U152,Tables!$G$123:$G$138,1),1),ROWS(Tables!$G$123:$G$138)-1))+1)-INDEX(Tables!$G$123:$G$138,MAX(1,MIN(IFERROR(MATCH(U152,Tables!$G$123:$G$138,1),1),ROWS(Tables!$G$123:$G$138)-1))))))))</f>
        <v>0.79200000000000004</v>
      </c>
      <c r="AR152" s="181">
        <f>IF(OR(P152&gt;=4,U152&gt;12),VLOOKUP(R152&amp;" "&amp;S152,Tables!$D$143:$F$148,2,FALSE),VLOOKUP(R152&amp;" "&amp;S152,Tables!$A$143:$C$148,2,FALSE))</f>
        <v>1</v>
      </c>
      <c r="AS152" s="181">
        <f>IF(OR(P152&gt;=4,U152&gt;12),VLOOKUP(R152&amp;" "&amp;S152,Tables!$D$143:$F$148,3,FALSE),VLOOKUP(R152&amp;" "&amp;S152,Tables!$A$143:$C$148,3,FALSE))</f>
        <v>1</v>
      </c>
      <c r="AT152" s="181">
        <f t="shared" si="136"/>
        <v>452.59564329268295</v>
      </c>
      <c r="AU152" s="181">
        <f>IF(AD152=5000,(INDEX(Tables!$B$244:$B$263,MAX(1,MIN(IFERROR(MATCH(AF152,Tables!$A$244:$A$263,1),1),ROWS(Tables!$A$244:$A$263)-1)))+(AF152-INDEX(Tables!$A$244:$A$263,MAX(1,MIN(IFERROR(MATCH(AF152,Tables!$A$244:$A$263,1),1),ROWS(Tables!$A$244:$A$263)-1))))*(INDEX(Tables!$B$244:$B$263,MAX(1,MIN(IFERROR(MATCH(AF152,Tables!$A$244:$A$263,1),1),ROWS(Tables!$A$244:$A$263)-1))+1)-INDEX(Tables!$B$244:$B$263,MAX(1,MIN(IFERROR(MATCH(AF152,Tables!$A$244:$A$263,1),1),ROWS(Tables!$A$244:$A$263)-1))))/(INDEX(Tables!$A$244:$A$263,MAX(1,MIN(IFERROR(MATCH(AF152,Tables!$A$244:$A$263,1),1),ROWS(Tables!$A$244:$A$263)-1))+1)-INDEX(Tables!$A$244:$A$263,MAX(1,MIN(IFERROR(MATCH(AF152,Tables!$A$244:$A$263,1),1),ROWS(Tables!$A$244:$A$263)-1))))),IF(AD152=10000,(INDEX(Tables!$D$244:$D$263,MAX(1,MIN(IFERROR(MATCH(AF152,Tables!$C$244:$C$263,1),1),ROWS(Tables!$C$244:$C$263)-1)))+(AF152-INDEX(Tables!$C$244:$C$263,MAX(1,MIN(IFERROR(MATCH(AF152,Tables!$C$244:$C$263,1),1),ROWS(Tables!$C$244:$C$263)-1))))*(INDEX(Tables!$D$244:$D$263,MAX(1,MIN(IFERROR(MATCH(AF152,Tables!$C$244:$C$263,1),1),ROWS(Tables!$C$244:$C$263)-1))+1)-INDEX(Tables!$D$244:$D$263,MAX(1,MIN(IFERROR(MATCH(AF152,Tables!$C$244:$C$263,1),1),ROWS(Tables!$C$244:$C$263)-1))))/(INDEX(Tables!$C$244:$C$263,MAX(1,MIN(IFERROR(MATCH(AF152,Tables!$C$244:$C$263,1),1),ROWS(Tables!$C$244:$C$263)-1))+1)-INDEX(Tables!$C$244:$C$263,MAX(1,MIN(IFERROR(MATCH(AF152,Tables!$C$244:$C$263,1),1),ROWS(Tables!$C$244:$C$263)-1))))),(INDEX(Tables!$F$244:$F$263,MAX(1,MIN(IFERROR(MATCH(AF152,Tables!$E$244:$E$263,1),1),ROWS(Tables!$E$244:$E$263)-1)))+(AF152-INDEX(Tables!$E$244:$E$263,MAX(1,MIN(IFERROR(MATCH(AF152,Tables!$E$244:$E$263,1),1),ROWS(Tables!$E$244:$E$263)-1))))*(INDEX(Tables!$F$244:$F$263,MAX(1,MIN(IFERROR(MATCH(AF152,Tables!$E$244:$E$263,1),1),ROWS(Tables!$E$244:$E$263)-1))+1)-INDEX(Tables!$F$244:$F$263,MAX(1,MIN(IFERROR(MATCH(AF152,Tables!$E$244:$E$263,1),1),ROWS(Tables!$E$244:$E$263)-1))))/(INDEX(Tables!$E$244:$E$263,MAX(1,MIN(IFERROR(MATCH(AF152,Tables!$E$244:$E$263,1),1),ROWS(Tables!$E$244:$E$263)-1))+1)-INDEX(Tables!$E$244:$E$263,MAX(1,MIN(IFERROR(MATCH(AF152,Tables!$E$244:$E$263,1),1),ROWS(Tables!$E$244:$E$263)-1)))))))</f>
        <v>8.3038249999999998</v>
      </c>
      <c r="AV152" s="181">
        <f>IF(P152&lt;6,(INDEX(Tables!$B$260:$B$274,MAX(1,MIN(IFERROR(MATCH(U152,Tables!$A$260:$A$274,1),1),ROWS(Tables!$A$260:$A$274)-1)))+(U152-INDEX(Tables!$A$260:$A$274,MAX(1,MIN(IFERROR(MATCH(U152,Tables!$A$260:$A$274,1),1),ROWS(Tables!$A$260:$A$274)-1))))*(INDEX(Tables!$B$260:$B$274,MAX(1,MIN(IFERROR(MATCH(U152,Tables!$A$260:$A$274,1),1),ROWS(Tables!$A$260:$A$274)-1))+1)-INDEX(Tables!$B$260:$B$274,MAX(1,MIN(IFERROR(MATCH(U152,Tables!$A$260:$A$274,1),1),ROWS(Tables!$A$260:$A$274)-1))))/(INDEX(Tables!$A$260:$A$274,MAX(1,MIN(IFERROR(MATCH(U152,Tables!$A$260:$A$274,1),1),ROWS(Tables!$A$260:$A$274)-1))+1)-INDEX(Tables!$A$260:$A$274,MAX(1,MIN(IFERROR(MATCH(U152,Tables!$A$260:$A$274,1),1),ROWS(Tables!$A$260:$A$274)-1))))),IF(P152&lt;8,(INDEX(Tables!$D$260:$D$274,MAX(1,MIN(IFERROR(MATCH(U152,Tables!$C$260:$C$274,1),1),ROWS(Tables!$C$260:$C$274)-1)))+(U152-INDEX(Tables!$C$260:$C$274,MAX(1,MIN(IFERROR(MATCH(U152,Tables!$C$260:$C$274,1),1),ROWS(Tables!$C$260:$C$274)-1))))*(INDEX(Tables!$D$260:$D$274,MAX(1,MIN(IFERROR(MATCH(U152,Tables!$C$260:$C$274,1),1),ROWS(Tables!$C$260:$C$274)-1))+1)-INDEX(Tables!$D$260:$D$274,MAX(1,MIN(IFERROR(MATCH(U152,Tables!$C$260:$C$274,1),1),ROWS(Tables!$C$260:$C$274)-1))))/(INDEX(Tables!$C$260:$C$274,MAX(1,MIN(IFERROR(MATCH(U152,Tables!$C$260:$C$274,1),1),ROWS(Tables!$C$260:$C$274)-1))+1)-INDEX(Tables!$C$260:$C$274,MAX(1,MIN(IFERROR(MATCH(U152,Tables!$C$260:$C$274,1),1),ROWS(Tables!$C$260:$C$274)-1))))),IF(P152&lt;10,(INDEX(Tables!$F$260:$F$274,MAX(1,MIN(IFERROR(MATCH(U152,Tables!$E$260:$E$274,1),1),ROWS(Tables!$E$260:$E$274)-1)))+(U152-INDEX(Tables!$E$260:$E$274,MAX(1,MIN(IFERROR(MATCH(U152,Tables!$E$260:$E$274,1),1),ROWS(Tables!$E$260:$E$274)-1))))*(INDEX(Tables!$F$260:$F$274,MAX(1,MIN(IFERROR(MATCH(U152,Tables!$E$260:$E$274,1),1),ROWS(Tables!$E$260:$E$274)-1))+1)-INDEX(Tables!$F$260:$F$274,MAX(1,MIN(IFERROR(MATCH(U152,Tables!$E$260:$E$274,1),1),ROWS(Tables!$E$260:$E$274)-1))))/(INDEX(Tables!$E$260:$E$274,MAX(1,MIN(IFERROR(MATCH(U152,Tables!$E$260:$E$274,1),1),ROWS(Tables!$E$260:$E$274)-1))+1)-INDEX(Tables!$E$260:$E$274,MAX(1,MIN(IFERROR(MATCH(U152,Tables!$E$260:$E$274,1),1),ROWS(Tables!$E$260:$E$274)-1))))),(INDEX(Tables!$H$260:$H$274,MAX(1,MIN(IFERROR(MATCH(U152,Tables!$G$260:$G$274,1),1),ROWS(Tables!$G$260:$G$274)-1)))+(U152-INDEX(Tables!$G$260:$G$274,MAX(1,MIN(IFERROR(MATCH(U152,Tables!$G$260:$G$274,1),1),ROWS(Tables!$G$260:$G$274)-1))))*(INDEX(Tables!$H$260:$H$274,MAX(1,MIN(IFERROR(MATCH(U152,Tables!$G$260:$G$274,1),1),ROWS(Tables!$G$260:$G$274)-1))+1)-INDEX(Tables!$H$260:$H$274,MAX(1,MIN(IFERROR(MATCH(U152,Tables!$G$260:$G$274,1),1),ROWS(Tables!$G$260:$G$274)-1))))/(INDEX(Tables!$G$260:$G$274,MAX(1,MIN(IFERROR(MATCH(U152,Tables!$G$260:$G$274,1),1),ROWS(Tables!$G$260:$G$274)-1))+1)-INDEX(Tables!$G$260:$G$274,MAX(1,MIN(IFERROR(MATCH(U152,Tables!$G$260:$G$274,1),1),ROWS(Tables!$G$260:$G$274)-1))))))))</f>
        <v>0.84099999999999997</v>
      </c>
      <c r="AW152" s="181">
        <f t="shared" si="137"/>
        <v>686.34580584455443</v>
      </c>
      <c r="AX152" s="181">
        <f t="shared" si="138"/>
        <v>935.22167487684715</v>
      </c>
      <c r="AY152" s="181">
        <f t="shared" si="139"/>
        <v>1964.4332759436043</v>
      </c>
      <c r="AZ152" s="181">
        <f t="shared" si="140"/>
        <v>1139.8970956398307</v>
      </c>
      <c r="BA152" s="181">
        <f t="shared" si="141"/>
        <v>-100</v>
      </c>
      <c r="BB152" s="181">
        <f t="shared" si="142"/>
        <v>1799.8735332279969</v>
      </c>
      <c r="BC152" s="181">
        <f t="shared" si="143"/>
        <v>46800</v>
      </c>
      <c r="BD152" s="181">
        <f>VLOOKUP(V152&amp;" "&amp;J152,Tables!$A$152:$E$239,4,FALSE)</f>
        <v>12000</v>
      </c>
      <c r="BE152" s="181">
        <f>VLOOKUP(V152&amp;" "&amp;J152,Tables!$A$152:$E$239,5,FALSE)</f>
        <v>23000</v>
      </c>
      <c r="BF152" s="181">
        <f t="shared" si="144"/>
        <v>8640</v>
      </c>
      <c r="BG152" s="181">
        <f t="shared" si="145"/>
        <v>16560</v>
      </c>
      <c r="BH152" s="181">
        <f t="shared" si="146"/>
        <v>985.22167487684726</v>
      </c>
      <c r="BI152" s="181">
        <f t="shared" si="147"/>
        <v>46800</v>
      </c>
      <c r="BJ152" s="181">
        <f t="shared" si="148"/>
        <v>1799.8735332279969</v>
      </c>
      <c r="BK152" s="181">
        <f t="shared" si="149"/>
        <v>46800</v>
      </c>
      <c r="BL152" s="181">
        <f t="shared" si="150"/>
        <v>686.34580584455443</v>
      </c>
      <c r="BM152" s="181">
        <f t="shared" si="151"/>
        <v>8640</v>
      </c>
      <c r="BN152" s="181">
        <f t="shared" si="152"/>
        <v>452.59564329268295</v>
      </c>
      <c r="BO152" s="181">
        <f t="shared" si="153"/>
        <v>16560</v>
      </c>
      <c r="BP152" t="str">
        <f t="shared" si="154"/>
        <v>Pass</v>
      </c>
      <c r="BQ152" t="str">
        <f t="shared" si="155"/>
        <v>Pass</v>
      </c>
      <c r="BR152" t="str">
        <f t="shared" si="156"/>
        <v>Pass</v>
      </c>
      <c r="BS152" t="str">
        <f t="shared" si="157"/>
        <v>Pass</v>
      </c>
      <c r="BT152" t="str">
        <f t="shared" si="158"/>
        <v>Pass</v>
      </c>
      <c r="BU152" t="str">
        <f t="shared" si="159"/>
        <v>Girth Weld Stress</v>
      </c>
    </row>
    <row r="153" spans="1:73">
      <c r="A153" t="s">
        <v>745</v>
      </c>
      <c r="B153" s="181">
        <v>151</v>
      </c>
      <c r="C153" t="s">
        <v>594</v>
      </c>
      <c r="D153" s="181">
        <v>24</v>
      </c>
      <c r="E153" s="181">
        <v>0.56200000000000006</v>
      </c>
      <c r="F153" t="s">
        <v>117</v>
      </c>
      <c r="G153" t="s">
        <v>119</v>
      </c>
      <c r="H153" t="s">
        <v>122</v>
      </c>
      <c r="I153" s="181">
        <v>1</v>
      </c>
      <c r="J153" t="s">
        <v>126</v>
      </c>
      <c r="K153" t="s">
        <v>129</v>
      </c>
      <c r="L153" s="181">
        <v>70</v>
      </c>
      <c r="M153" s="181">
        <v>100</v>
      </c>
      <c r="N153" t="s">
        <v>388</v>
      </c>
      <c r="O153" s="181">
        <v>120</v>
      </c>
      <c r="P153" s="181">
        <v>10</v>
      </c>
      <c r="Q153" s="181">
        <v>26</v>
      </c>
      <c r="R153" t="s">
        <v>154</v>
      </c>
      <c r="S153" t="s">
        <v>156</v>
      </c>
      <c r="T153" s="181">
        <v>70</v>
      </c>
      <c r="U153" s="181">
        <f>HLOOKUP(D153,'Highway Loading'!$C$155:$AD$156,2,FALSE)</f>
        <v>24</v>
      </c>
      <c r="V153" s="181">
        <f>IF(ISBLANK(G153),"",INDEX('Highway Loading'!$C$216:$AG$216,1,MATCH(G153,'Highway Loading'!$C$215:$AG$215,0)))</f>
        <v>65000</v>
      </c>
      <c r="W153" s="181">
        <f>INDEX('Highway Loading'!$I$245:$L$253,MATCH(H153,'Highway Loading'!$H$245:$H$253,0),MATCH(I153,'Highway Loading'!$I$244:$L$244,0))</f>
        <v>0.72</v>
      </c>
      <c r="X153" s="181">
        <f t="shared" si="128"/>
        <v>1</v>
      </c>
      <c r="Y153" s="181">
        <f>VLOOKUP(K153,'Highway Loading'!$B$283:$E$292,2,FALSE)</f>
        <v>29000000</v>
      </c>
      <c r="Z153" s="181">
        <f>VLOOKUP(K153,'Highway Loading'!$B$283:$E$292,3,FALSE)</f>
        <v>0.3</v>
      </c>
      <c r="AA153" s="181">
        <f>VLOOKUP(K153,'Highway Loading'!$B$283:$E$292,4,FALSE)</f>
        <v>6.4999999999999996E-6</v>
      </c>
      <c r="AB153" s="181">
        <f t="shared" si="129"/>
        <v>1</v>
      </c>
      <c r="AC153" s="181">
        <f>VLOOKUP(N153,'Highway Loading'!$B$256:$D$261,2,FALSE)</f>
        <v>200</v>
      </c>
      <c r="AD153" s="181">
        <f>VLOOKUP(N153,'Highway Loading'!$B$256:$D$261,3,FALSE)</f>
        <v>5000</v>
      </c>
      <c r="AE153" s="181">
        <f>VLOOKUP(S153,'Highway Loading'!$B$340:$C$341,2,FALSE)</f>
        <v>10000</v>
      </c>
      <c r="AF153" s="181">
        <f t="shared" si="130"/>
        <v>2.3416666666666669E-2</v>
      </c>
      <c r="AG153" s="181">
        <f t="shared" si="131"/>
        <v>4.615384615384615</v>
      </c>
      <c r="AH153" s="181">
        <f t="shared" si="132"/>
        <v>1.0833333333333333</v>
      </c>
      <c r="AI153" s="181">
        <f t="shared" si="133"/>
        <v>2135.2313167259786</v>
      </c>
      <c r="AJ153" s="181">
        <f t="shared" si="134"/>
        <v>46800</v>
      </c>
      <c r="AK153" s="181">
        <f>IF(AC153=200,(INDEX(Tables!$B$17:$B$38,MAX(1,MIN(IFERROR(MATCH(AF153,Tables!$A$17:$A$38,1),1),ROWS(Tables!$A$17:$A$38)-1)))+(AF153-INDEX(Tables!$A$17:$A$38,MAX(1,MIN(IFERROR(MATCH(AF153,Tables!$A$17:$A$38,1),1),ROWS(Tables!$A$17:$A$38)-1))))*(INDEX(Tables!$B$17:$B$38,MAX(1,MIN(IFERROR(MATCH(AF153,Tables!$A$17:$A$38,1),1),ROWS(Tables!$A$17:$A$38)-1))+1)-INDEX(Tables!$B$17:$B$38,MAX(1,MIN(IFERROR(MATCH(AF153,Tables!$A$17:$A$38,1),1),ROWS(Tables!$A$17:$A$38)-1))))/(INDEX(Tables!$A$17:$A$38,MAX(1,MIN(IFERROR(MATCH(AF153,Tables!$A$17:$A$38,1),1),ROWS(Tables!$A$17:$A$38)-1))+1)-INDEX(Tables!$A$17:$A$38,MAX(1,MIN(IFERROR(MATCH(AF153,Tables!$A$17:$A$38,1),1),ROWS(Tables!$A$17:$A$38)-1))))),IF(AC153=500,(INDEX(Tables!$D$17:$D$38,MAX(1,MIN(IFERROR(MATCH(AF153,Tables!$C$17:$C$38,1),1),ROWS(Tables!$C$17:$C$38)-1)))+(AF153-INDEX(Tables!$C$17:$C$38,MAX(1,MIN(IFERROR(MATCH(AF153,Tables!$C$17:$C$38,1),1),ROWS(Tables!$C$17:$C$38)-1))))*(INDEX(Tables!$D$17:$D$38,MAX(1,MIN(IFERROR(MATCH(AF153,Tables!$C$17:$C$38,1),1),ROWS(Tables!$C$17:$C$38)-1))+1)-INDEX(Tables!$D$17:$D$38,MAX(1,MIN(IFERROR(MATCH(AF153,Tables!$C$17:$C$38,1),1),ROWS(Tables!$C$17:$C$38)-1))))/(INDEX(Tables!$C$17:$C$38,MAX(1,MIN(IFERROR(MATCH(AF153,Tables!$C$17:$C$38,1),1),ROWS(Tables!$C$17:$C$38)-1))+1)-INDEX(Tables!$C$17:$C$38,MAX(1,MIN(IFERROR(MATCH(AF153,Tables!$C$17:$C$38,1),1),ROWS(Tables!$C$17:$C$38)-1))))),IF(AC153=1000,(INDEX(Tables!$F$17:$F$38,MAX(1,MIN(IFERROR(MATCH(AF153,Tables!$E$17:$E$38,1),1),ROWS(Tables!$E$17:$E$38)-1)))+(AF153-INDEX(Tables!$E$17:$E$38,MAX(1,MIN(IFERROR(MATCH(AF153,Tables!$E$17:$E$38,1),1),ROWS(Tables!$E$17:$E$38)-1))))*(INDEX(Tables!$F$17:$F$38,MAX(1,MIN(IFERROR(MATCH(AF153,Tables!$E$17:$E$38,1),1),ROWS(Tables!$E$17:$E$38)-1))+1)-INDEX(Tables!$F$17:$F$38,MAX(1,MIN(IFERROR(MATCH(AF153,Tables!$E$17:$E$38,1),1),ROWS(Tables!$E$17:$E$38)-1))))/(INDEX(Tables!$E$17:$E$38,MAX(1,MIN(IFERROR(MATCH(AF153,Tables!$E$17:$E$38,1),1),ROWS(Tables!$E$17:$E$38)-1))+1)-INDEX(Tables!$E$17:$E$38,MAX(1,MIN(IFERROR(MATCH(AF153,Tables!$E$17:$E$38,1),1),ROWS(Tables!$E$17:$E$38)-1))))),(INDEX(Tables!$H$17:$H$38,MAX(1,MIN(IFERROR(MATCH(AF153,Tables!$G$17:$G$38,1),1),ROWS(Tables!$G$17:$G$38)-1)))+(AF153-INDEX(Tables!$G$17:$G$38,MAX(1,MIN(IFERROR(MATCH(AF153,Tables!$G$17:$G$38,1),1),ROWS(Tables!$G$17:$G$38)-1))))*(INDEX(Tables!$H$17:$H$38,MAX(1,MIN(IFERROR(MATCH(AF153,Tables!$G$17:$G$38,1),1),ROWS(Tables!$G$17:$G$38)-1))+1)-INDEX(Tables!$H$17:$H$38,MAX(1,MIN(IFERROR(MATCH(AF153,Tables!$G$17:$G$38,1),1),ROWS(Tables!$G$17:$G$38)-1))))/(INDEX(Tables!$G$17:$G$38,MAX(1,MIN(IFERROR(MATCH(AF153,Tables!$G$17:$G$38,1),1),ROWS(Tables!$G$17:$G$38)-1))+1)-INDEX(Tables!$G$17:$G$38,MAX(1,MIN(IFERROR(MATCH(AF153,Tables!$G$17:$G$38,1),1),ROWS(Tables!$G$17:$G$38)-1))))))))</f>
        <v>2167.0166666666664</v>
      </c>
      <c r="AL153" s="181">
        <f>IF(AC153&lt;1000,(INDEX(Tables!$B$43:$B$76,MAX(1,MIN(IFERROR(MATCH(AG153,Tables!$A$43:$A$76,1),1),ROWS(Tables!$A$43:$A$76)-1)))+(AG153-INDEX(Tables!$A$43:$A$76,MAX(1,MIN(IFERROR(MATCH(AG153,Tables!$A$43:$A$76,1),1),ROWS(Tables!$A$43:$A$76)-1))))*(INDEX(Tables!$B$43:$B$76,MAX(1,MIN(IFERROR(MATCH(AG153,Tables!$A$43:$A$76,1),1),ROWS(Tables!$A$43:$A$76)-1))+1)-INDEX(Tables!$B$43:$B$76,MAX(1,MIN(IFERROR(MATCH(AG153,Tables!$A$43:$A$76,1),1),ROWS(Tables!$A$43:$A$76)-1))))/(INDEX(Tables!$A$43:$A$76,MAX(1,MIN(IFERROR(MATCH(AG153,Tables!$A$43:$A$76,1),1),ROWS(Tables!$A$43:$A$76)-1))+1)-INDEX(Tables!$A$43:$A$76,MAX(1,MIN(IFERROR(MATCH(AG153,Tables!$A$43:$A$76,1),1),ROWS(Tables!$A$43:$A$76)-1))))),(INDEX(Tables!$D$43:$D$76,MAX(1,MIN(IFERROR(MATCH(AG153,Tables!$C$43:$C$76,1),1),ROWS(Tables!$C$43:$C$76)-1)))+(AG153-INDEX(Tables!$C$43:$C$76,MAX(1,MIN(IFERROR(MATCH(AG153,Tables!$C$43:$C$76,1),1),ROWS(Tables!$C$43:$C$76)-1))))*(INDEX(Tables!$D$43:$D$76,MAX(1,MIN(IFERROR(MATCH(AG153,Tables!$C$43:$C$76,1),1),ROWS(Tables!$C$43:$C$76)-1))+1)-INDEX(Tables!$D$43:$D$76,MAX(1,MIN(IFERROR(MATCH(AG153,Tables!$C$43:$C$76,1),1),ROWS(Tables!$C$43:$C$76)-1))))/(INDEX(Tables!$C$43:$C$76,MAX(1,MIN(IFERROR(MATCH(AG153,Tables!$C$43:$C$76,1),1),ROWS(Tables!$C$43:$C$76)-1))+1)-INDEX(Tables!$C$43:$C$76,MAX(1,MIN(IFERROR(MATCH(AG153,Tables!$C$43:$C$76,1),1),ROWS(Tables!$C$43:$C$76)-1))))))</f>
        <v>1.0408461538461538</v>
      </c>
      <c r="AM153" s="181">
        <f>(INDEX(Tables!$B$80:$B$87,MAX(1,MIN(IFERROR(MATCH(AH153,Tables!$A$80:$A$87,1),1),ROWS(Tables!$A$80:$A$87)-1)))+(AH153-INDEX(Tables!$A$80:$A$87,MAX(1,MIN(IFERROR(MATCH(AH153,Tables!$A$80:$A$87,1),1),ROWS(Tables!$A$80:$A$87)-1))))*(INDEX(Tables!$B$80:$B$87,MAX(1,MIN(IFERROR(MATCH(AH153,Tables!$A$80:$A$87,1),1),ROWS(Tables!$A$80:$A$87)-1))+1)-INDEX(Tables!$B$80:$B$87,MAX(1,MIN(IFERROR(MATCH(AH153,Tables!$A$80:$A$87,1),1),ROWS(Tables!$A$80:$A$87)-1))))/(INDEX(Tables!$A$80:$A$87,MAX(1,MIN(IFERROR(MATCH(AH153,Tables!$A$80:$A$87,1),1),ROWS(Tables!$A$80:$A$87)-1))+1)-INDEX(Tables!$A$80:$A$87,MAX(1,MIN(IFERROR(MATCH(AH153,Tables!$A$80:$A$87,1),1),ROWS(Tables!$A$80:$A$87)-1)))))</f>
        <v>0.96739999999999982</v>
      </c>
      <c r="AN153" s="181">
        <f t="shared" si="135"/>
        <v>3636.6677557209387</v>
      </c>
      <c r="AO153" s="181">
        <f>(INDEX(Tables!$B$91:$B$94,MAX(1,MIN(IFERROR(MATCH(P153,Tables!$A$91:$A$94,1),1),ROWS(Tables!$A$91:$A$94)-1)))+(P153-INDEX(Tables!$A$91:$A$94,MAX(1,MIN(IFERROR(MATCH(P153,Tables!$A$91:$A$94,1),1),ROWS(Tables!$A$91:$A$94)-1))))*(INDEX(Tables!$B$91:$B$94,MAX(1,MIN(IFERROR(MATCH(P153,Tables!$A$91:$A$94,1),1),ROWS(Tables!$A$91:$A$94)-1))+1)-INDEX(Tables!$B$91:$B$94,MAX(1,MIN(IFERROR(MATCH(P153,Tables!$A$91:$A$94,1),1),ROWS(Tables!$A$91:$A$94)-1))))/(INDEX(Tables!$A$91:$A$94,MAX(1,MIN(IFERROR(MATCH(P153,Tables!$A$91:$A$94,1),1),ROWS(Tables!$A$91:$A$94)-1))+1)-INDEX(Tables!$A$91:$A$94,MAX(1,MIN(IFERROR(MATCH(P153,Tables!$A$91:$A$94,1),1),ROWS(Tables!$A$91:$A$94)-1)))))</f>
        <v>1.3542682926829268</v>
      </c>
      <c r="AP153" s="181">
        <f>IF(AD153=5000,(INDEX(Tables!$B$99:$B$118,MAX(1,MIN(IFERROR(MATCH(AF153,Tables!$A$99:$A$118,1),1),ROWS(Tables!$A$99:$A$118)-1)))+(AF153-INDEX(Tables!$A$99:$A$118,MAX(1,MIN(IFERROR(MATCH(AF153,Tables!$A$99:$A$118,1),1),ROWS(Tables!$A$99:$A$118)-1))))*(INDEX(Tables!$B$99:$B$118,MAX(1,MIN(IFERROR(MATCH(AF153,Tables!$A$99:$A$118,1),1),ROWS(Tables!$A$99:$A$118)-1))+1)-INDEX(Tables!$B$99:$B$118,MAX(1,MIN(IFERROR(MATCH(AF153,Tables!$A$99:$A$118,1),1),ROWS(Tables!$A$99:$A$118)-1))))/(INDEX(Tables!$A$99:$A$118,MAX(1,MIN(IFERROR(MATCH(AF153,Tables!$A$99:$A$118,1),1),ROWS(Tables!$A$99:$A$118)-1))+1)-INDEX(Tables!$A$99:$A$118,MAX(1,MIN(IFERROR(MATCH(AF153,Tables!$A$99:$A$118,1),1),ROWS(Tables!$A$99:$A$118)-1))))),IF(AD153=10000,(INDEX(Tables!$D$99:$D$118,MAX(1,MIN(IFERROR(MATCH(AF153,Tables!$C$99:$C$118,1),1),ROWS(Tables!$C$99:$C$118)-1)))+(AF153-INDEX(Tables!$C$99:$C$118,MAX(1,MIN(IFERROR(MATCH(AF153,Tables!$C$99:$C$118,1),1),ROWS(Tables!$C$99:$C$118)-1))))*(INDEX(Tables!$D$99:$D$118,MAX(1,MIN(IFERROR(MATCH(AF153,Tables!$C$99:$C$118,1),1),ROWS(Tables!$C$99:$C$118)-1))+1)-INDEX(Tables!$D$99:$D$118,MAX(1,MIN(IFERROR(MATCH(AF153,Tables!$C$99:$C$118,1),1),ROWS(Tables!$C$99:$C$118)-1))))/(INDEX(Tables!$C$99:$C$118,MAX(1,MIN(IFERROR(MATCH(AF153,Tables!$C$99:$C$118,1),1),ROWS(Tables!$C$99:$C$118)-1))+1)-INDEX(Tables!$C$99:$C$118,MAX(1,MIN(IFERROR(MATCH(AF153,Tables!$C$99:$C$118,1),1),ROWS(Tables!$C$99:$C$118)-1))))),(INDEX(Tables!$F$99:$F$118,MAX(1,MIN(IFERROR(MATCH(AF153,Tables!$E$99:$E$118,1),1),ROWS(Tables!$E$99:$E$118)-1)))+(AF153-INDEX(Tables!$E$99:$E$118,MAX(1,MIN(IFERROR(MATCH(AF153,Tables!$E$99:$E$118,1),1),ROWS(Tables!$E$99:$E$118)-1))))*(INDEX(Tables!$F$99:$F$118,MAX(1,MIN(IFERROR(MATCH(AF153,Tables!$E$99:$E$118,1),1),ROWS(Tables!$E$99:$E$118)-1))+1)-INDEX(Tables!$F$99:$F$118,MAX(1,MIN(IFERROR(MATCH(AF153,Tables!$E$99:$E$118,1),1),ROWS(Tables!$E$99:$E$118)-1))))/(INDEX(Tables!$E$99:$E$118,MAX(1,MIN(IFERROR(MATCH(AF153,Tables!$E$99:$E$118,1),1),ROWS(Tables!$E$99:$E$118)-1))+1)-INDEX(Tables!$E$99:$E$118,MAX(1,MIN(IFERROR(MATCH(AF153,Tables!$E$99:$E$118,1),1),ROWS(Tables!$E$99:$E$118)-1)))))))</f>
        <v>17.686755937755937</v>
      </c>
      <c r="AQ153" s="181">
        <f>IF(P153&lt;6,(INDEX(Tables!$B$123:$B$138,MAX(1,MIN(IFERROR(MATCH(U153,Tables!$A$123:$A$138,1),1),ROWS(Tables!$A$123:$A$138)-1)))+(U153-INDEX(Tables!$A$123:$A$138,MAX(1,MIN(IFERROR(MATCH(U153,Tables!$A$123:$A$138,1),1),ROWS(Tables!$A$123:$A$138)-1))))*(INDEX(Tables!$B$123:$B$138,MAX(1,MIN(IFERROR(MATCH(U153,Tables!$A$123:$A$138,1),1),ROWS(Tables!$A$123:$A$138)-1))+1)-INDEX(Tables!$B$123:$B$138,MAX(1,MIN(IFERROR(MATCH(U153,Tables!$A$123:$A$138,1),1),ROWS(Tables!$A$123:$A$138)-1))))/(INDEX(Tables!$A$123:$A$138,MAX(1,MIN(IFERROR(MATCH(U153,Tables!$A$123:$A$138,1),1),ROWS(Tables!$A$123:$A$138)-1))+1)-INDEX(Tables!$A$123:$A$138,MAX(1,MIN(IFERROR(MATCH(U153,Tables!$A$123:$A$138,1),1),ROWS(Tables!$A$123:$A$138)-1))))),IF(P153&lt;8,(INDEX(Tables!$D$123:$D$138,MAX(1,MIN(IFERROR(MATCH(U153,Tables!$C$123:$C$138,1),1),ROWS(Tables!$C$123:$C$138)-1)))+(U153-INDEX(Tables!$C$123:$C$138,MAX(1,MIN(IFERROR(MATCH(U153,Tables!$C$123:$C$138,1),1),ROWS(Tables!$C$123:$C$138)-1))))*(INDEX(Tables!$D$123:$D$138,MAX(1,MIN(IFERROR(MATCH(U153,Tables!$C$123:$C$138,1),1),ROWS(Tables!$C$123:$C$138)-1))+1)-INDEX(Tables!$D$123:$D$138,MAX(1,MIN(IFERROR(MATCH(U153,Tables!$C$123:$C$138,1),1),ROWS(Tables!$C$123:$C$138)-1))))/(INDEX(Tables!$C$123:$C$138,MAX(1,MIN(IFERROR(MATCH(U153,Tables!$C$123:$C$138,1),1),ROWS(Tables!$C$123:$C$138)-1))+1)-INDEX(Tables!$C$123:$C$138,MAX(1,MIN(IFERROR(MATCH(U153,Tables!$C$123:$C$138,1),1),ROWS(Tables!$C$123:$C$138)-1))))),IF(P153&lt;10,(INDEX(Tables!$F$123:$F$138,MAX(1,MIN(IFERROR(MATCH(U153,Tables!$E$123:$E$138,1),1),ROWS(Tables!$E$123:$E$138)-1)))+(U153-INDEX(Tables!$E$123:$E$138,MAX(1,MIN(IFERROR(MATCH(U153,Tables!$E$123:$E$138,1),1),ROWS(Tables!$E$123:$E$138)-1))))*(INDEX(Tables!$F$123:$F$138,MAX(1,MIN(IFERROR(MATCH(U153,Tables!$E$123:$E$138,1),1),ROWS(Tables!$E$123:$E$138)-1))+1)-INDEX(Tables!$F$123:$F$138,MAX(1,MIN(IFERROR(MATCH(U153,Tables!$E$123:$E$138,1),1),ROWS(Tables!$E$123:$E$138)-1))))/(INDEX(Tables!$E$123:$E$138,MAX(1,MIN(IFERROR(MATCH(U153,Tables!$E$123:$E$138,1),1),ROWS(Tables!$E$123:$E$138)-1))+1)-INDEX(Tables!$E$123:$E$138,MAX(1,MIN(IFERROR(MATCH(U153,Tables!$E$123:$E$138,1),1),ROWS(Tables!$E$123:$E$138)-1))))),(INDEX(Tables!$H$123:$H$138,MAX(1,MIN(IFERROR(MATCH(U153,Tables!$G$123:$G$138,1),1),ROWS(Tables!$G$123:$G$138)-1)))+(U153-INDEX(Tables!$G$123:$G$138,MAX(1,MIN(IFERROR(MATCH(U153,Tables!$G$123:$G$138,1),1),ROWS(Tables!$G$123:$G$138)-1))))*(INDEX(Tables!$H$123:$H$138,MAX(1,MIN(IFERROR(MATCH(U153,Tables!$G$123:$G$138,1),1),ROWS(Tables!$G$123:$G$138)-1))+1)-INDEX(Tables!$H$123:$H$138,MAX(1,MIN(IFERROR(MATCH(U153,Tables!$G$123:$G$138,1),1),ROWS(Tables!$G$123:$G$138)-1))))/(INDEX(Tables!$G$123:$G$138,MAX(1,MIN(IFERROR(MATCH(U153,Tables!$G$123:$G$138,1),1),ROWS(Tables!$G$123:$G$138)-1))+1)-INDEX(Tables!$G$123:$G$138,MAX(1,MIN(IFERROR(MATCH(U153,Tables!$G$123:$G$138,1),1),ROWS(Tables!$G$123:$G$138)-1))))))))</f>
        <v>0.57750000000000001</v>
      </c>
      <c r="AR153" s="181">
        <f>IF(OR(P153&gt;=4,U153&gt;12),VLOOKUP(R153&amp;" "&amp;S153,Tables!$D$143:$F$148,2,FALSE),VLOOKUP(R153&amp;" "&amp;S153,Tables!$A$143:$C$148,2,FALSE))</f>
        <v>1</v>
      </c>
      <c r="AS153" s="181">
        <f>IF(OR(P153&gt;=4,U153&gt;12),VLOOKUP(R153&amp;" "&amp;S153,Tables!$D$143:$F$148,3,FALSE),VLOOKUP(R153&amp;" "&amp;S153,Tables!$A$143:$C$148,3,FALSE))</f>
        <v>1</v>
      </c>
      <c r="AT153" s="181">
        <f t="shared" si="136"/>
        <v>960.59957450686204</v>
      </c>
      <c r="AU153" s="181">
        <f>IF(AD153=5000,(INDEX(Tables!$B$244:$B$263,MAX(1,MIN(IFERROR(MATCH(AF153,Tables!$A$244:$A$263,1),1),ROWS(Tables!$A$244:$A$263)-1)))+(AF153-INDEX(Tables!$A$244:$A$263,MAX(1,MIN(IFERROR(MATCH(AF153,Tables!$A$244:$A$263,1),1),ROWS(Tables!$A$244:$A$263)-1))))*(INDEX(Tables!$B$244:$B$263,MAX(1,MIN(IFERROR(MATCH(AF153,Tables!$A$244:$A$263,1),1),ROWS(Tables!$A$244:$A$263)-1))+1)-INDEX(Tables!$B$244:$B$263,MAX(1,MIN(IFERROR(MATCH(AF153,Tables!$A$244:$A$263,1),1),ROWS(Tables!$A$244:$A$263)-1))))/(INDEX(Tables!$A$244:$A$263,MAX(1,MIN(IFERROR(MATCH(AF153,Tables!$A$244:$A$263,1),1),ROWS(Tables!$A$244:$A$263)-1))+1)-INDEX(Tables!$A$244:$A$263,MAX(1,MIN(IFERROR(MATCH(AF153,Tables!$A$244:$A$263,1),1),ROWS(Tables!$A$244:$A$263)-1))))),IF(AD153=10000,(INDEX(Tables!$D$244:$D$263,MAX(1,MIN(IFERROR(MATCH(AF153,Tables!$C$244:$C$263,1),1),ROWS(Tables!$C$244:$C$263)-1)))+(AF153-INDEX(Tables!$C$244:$C$263,MAX(1,MIN(IFERROR(MATCH(AF153,Tables!$C$244:$C$263,1),1),ROWS(Tables!$C$244:$C$263)-1))))*(INDEX(Tables!$D$244:$D$263,MAX(1,MIN(IFERROR(MATCH(AF153,Tables!$C$244:$C$263,1),1),ROWS(Tables!$C$244:$C$263)-1))+1)-INDEX(Tables!$D$244:$D$263,MAX(1,MIN(IFERROR(MATCH(AF153,Tables!$C$244:$C$263,1),1),ROWS(Tables!$C$244:$C$263)-1))))/(INDEX(Tables!$C$244:$C$263,MAX(1,MIN(IFERROR(MATCH(AF153,Tables!$C$244:$C$263,1),1),ROWS(Tables!$C$244:$C$263)-1))+1)-INDEX(Tables!$C$244:$C$263,MAX(1,MIN(IFERROR(MATCH(AF153,Tables!$C$244:$C$263,1),1),ROWS(Tables!$C$244:$C$263)-1))))),(INDEX(Tables!$F$244:$F$263,MAX(1,MIN(IFERROR(MATCH(AF153,Tables!$E$244:$E$263,1),1),ROWS(Tables!$E$244:$E$263)-1)))+(AF153-INDEX(Tables!$E$244:$E$263,MAX(1,MIN(IFERROR(MATCH(AF153,Tables!$E$244:$E$263,1),1),ROWS(Tables!$E$244:$E$263)-1))))*(INDEX(Tables!$F$244:$F$263,MAX(1,MIN(IFERROR(MATCH(AF153,Tables!$E$244:$E$263,1),1),ROWS(Tables!$E$244:$E$263)-1))+1)-INDEX(Tables!$F$244:$F$263,MAX(1,MIN(IFERROR(MATCH(AF153,Tables!$E$244:$E$263,1),1),ROWS(Tables!$E$244:$E$263)-1))))/(INDEX(Tables!$E$244:$E$263,MAX(1,MIN(IFERROR(MATCH(AF153,Tables!$E$244:$E$263,1),1),ROWS(Tables!$E$244:$E$263)-1))+1)-INDEX(Tables!$E$244:$E$263,MAX(1,MIN(IFERROR(MATCH(AF153,Tables!$E$244:$E$263,1),1),ROWS(Tables!$E$244:$E$263)-1)))))))</f>
        <v>13.628550000000001</v>
      </c>
      <c r="AV153" s="181">
        <f>IF(P153&lt;6,(INDEX(Tables!$B$260:$B$274,MAX(1,MIN(IFERROR(MATCH(U153,Tables!$A$260:$A$274,1),1),ROWS(Tables!$A$260:$A$274)-1)))+(U153-INDEX(Tables!$A$260:$A$274,MAX(1,MIN(IFERROR(MATCH(U153,Tables!$A$260:$A$274,1),1),ROWS(Tables!$A$260:$A$274)-1))))*(INDEX(Tables!$B$260:$B$274,MAX(1,MIN(IFERROR(MATCH(U153,Tables!$A$260:$A$274,1),1),ROWS(Tables!$A$260:$A$274)-1))+1)-INDEX(Tables!$B$260:$B$274,MAX(1,MIN(IFERROR(MATCH(U153,Tables!$A$260:$A$274,1),1),ROWS(Tables!$A$260:$A$274)-1))))/(INDEX(Tables!$A$260:$A$274,MAX(1,MIN(IFERROR(MATCH(U153,Tables!$A$260:$A$274,1),1),ROWS(Tables!$A$260:$A$274)-1))+1)-INDEX(Tables!$A$260:$A$274,MAX(1,MIN(IFERROR(MATCH(U153,Tables!$A$260:$A$274,1),1),ROWS(Tables!$A$260:$A$274)-1))))),IF(P153&lt;8,(INDEX(Tables!$D$260:$D$274,MAX(1,MIN(IFERROR(MATCH(U153,Tables!$C$260:$C$274,1),1),ROWS(Tables!$C$260:$C$274)-1)))+(U153-INDEX(Tables!$C$260:$C$274,MAX(1,MIN(IFERROR(MATCH(U153,Tables!$C$260:$C$274,1),1),ROWS(Tables!$C$260:$C$274)-1))))*(INDEX(Tables!$D$260:$D$274,MAX(1,MIN(IFERROR(MATCH(U153,Tables!$C$260:$C$274,1),1),ROWS(Tables!$C$260:$C$274)-1))+1)-INDEX(Tables!$D$260:$D$274,MAX(1,MIN(IFERROR(MATCH(U153,Tables!$C$260:$C$274,1),1),ROWS(Tables!$C$260:$C$274)-1))))/(INDEX(Tables!$C$260:$C$274,MAX(1,MIN(IFERROR(MATCH(U153,Tables!$C$260:$C$274,1),1),ROWS(Tables!$C$260:$C$274)-1))+1)-INDEX(Tables!$C$260:$C$274,MAX(1,MIN(IFERROR(MATCH(U153,Tables!$C$260:$C$274,1),1),ROWS(Tables!$C$260:$C$274)-1))))),IF(P153&lt;10,(INDEX(Tables!$F$260:$F$274,MAX(1,MIN(IFERROR(MATCH(U153,Tables!$E$260:$E$274,1),1),ROWS(Tables!$E$260:$E$274)-1)))+(U153-INDEX(Tables!$E$260:$E$274,MAX(1,MIN(IFERROR(MATCH(U153,Tables!$E$260:$E$274,1),1),ROWS(Tables!$E$260:$E$274)-1))))*(INDEX(Tables!$F$260:$F$274,MAX(1,MIN(IFERROR(MATCH(U153,Tables!$E$260:$E$274,1),1),ROWS(Tables!$E$260:$E$274)-1))+1)-INDEX(Tables!$F$260:$F$274,MAX(1,MIN(IFERROR(MATCH(U153,Tables!$E$260:$E$274,1),1),ROWS(Tables!$E$260:$E$274)-1))))/(INDEX(Tables!$E$260:$E$274,MAX(1,MIN(IFERROR(MATCH(U153,Tables!$E$260:$E$274,1),1),ROWS(Tables!$E$260:$E$274)-1))+1)-INDEX(Tables!$E$260:$E$274,MAX(1,MIN(IFERROR(MATCH(U153,Tables!$E$260:$E$274,1),1),ROWS(Tables!$E$260:$E$274)-1))))),(INDEX(Tables!$H$260:$H$274,MAX(1,MIN(IFERROR(MATCH(U153,Tables!$G$260:$G$274,1),1),ROWS(Tables!$G$260:$G$274)-1)))+(U153-INDEX(Tables!$G$260:$G$274,MAX(1,MIN(IFERROR(MATCH(U153,Tables!$G$260:$G$274,1),1),ROWS(Tables!$G$260:$G$274)-1))))*(INDEX(Tables!$H$260:$H$274,MAX(1,MIN(IFERROR(MATCH(U153,Tables!$G$260:$G$274,1),1),ROWS(Tables!$G$260:$G$274)-1))+1)-INDEX(Tables!$H$260:$H$274,MAX(1,MIN(IFERROR(MATCH(U153,Tables!$G$260:$G$274,1),1),ROWS(Tables!$G$260:$G$274)-1))))/(INDEX(Tables!$G$260:$G$274,MAX(1,MIN(IFERROR(MATCH(U153,Tables!$G$260:$G$274,1),1),ROWS(Tables!$G$260:$G$274)-1))+1)-INDEX(Tables!$G$260:$G$274,MAX(1,MIN(IFERROR(MATCH(U153,Tables!$G$260:$G$274,1),1),ROWS(Tables!$G$260:$G$274)-1))))))))</f>
        <v>0.64533333333333331</v>
      </c>
      <c r="AW153" s="181">
        <f t="shared" si="137"/>
        <v>827.13418147018967</v>
      </c>
      <c r="AX153" s="181">
        <f t="shared" si="138"/>
        <v>2085.2313167259781</v>
      </c>
      <c r="AY153" s="181">
        <f t="shared" si="139"/>
        <v>6682.4986469537789</v>
      </c>
      <c r="AZ153" s="181">
        <f t="shared" si="140"/>
        <v>2543.7039032042649</v>
      </c>
      <c r="BA153" s="181">
        <f t="shared" si="141"/>
        <v>-100</v>
      </c>
      <c r="BB153" s="181">
        <f t="shared" si="142"/>
        <v>5921.1941428497303</v>
      </c>
      <c r="BC153" s="181">
        <f t="shared" si="143"/>
        <v>46800</v>
      </c>
      <c r="BD153" s="181">
        <f>VLOOKUP(V153&amp;" "&amp;J153,Tables!$A$152:$E$239,4,FALSE)</f>
        <v>12000</v>
      </c>
      <c r="BE153" s="181">
        <f>VLOOKUP(V153&amp;" "&amp;J153,Tables!$A$152:$E$239,5,FALSE)</f>
        <v>23000</v>
      </c>
      <c r="BF153" s="181">
        <f t="shared" si="144"/>
        <v>8640</v>
      </c>
      <c r="BG153" s="181">
        <f t="shared" si="145"/>
        <v>16560</v>
      </c>
      <c r="BH153" s="181">
        <f t="shared" si="146"/>
        <v>2135.2313167259786</v>
      </c>
      <c r="BI153" s="181">
        <f t="shared" si="147"/>
        <v>46800</v>
      </c>
      <c r="BJ153" s="181">
        <f t="shared" si="148"/>
        <v>5921.1941428497303</v>
      </c>
      <c r="BK153" s="181">
        <f t="shared" si="149"/>
        <v>46800</v>
      </c>
      <c r="BL153" s="181">
        <f t="shared" si="150"/>
        <v>827.13418147018967</v>
      </c>
      <c r="BM153" s="181">
        <f t="shared" si="151"/>
        <v>8640</v>
      </c>
      <c r="BN153" s="181">
        <f t="shared" si="152"/>
        <v>960.59957450686204</v>
      </c>
      <c r="BO153" s="181">
        <f t="shared" si="153"/>
        <v>16560</v>
      </c>
      <c r="BP153" t="str">
        <f t="shared" si="154"/>
        <v>Pass</v>
      </c>
      <c r="BQ153" t="str">
        <f t="shared" si="155"/>
        <v>Pass</v>
      </c>
      <c r="BR153" t="str">
        <f t="shared" si="156"/>
        <v>Pass</v>
      </c>
      <c r="BS153" t="str">
        <f t="shared" si="157"/>
        <v>Pass</v>
      </c>
      <c r="BT153" t="str">
        <f t="shared" si="158"/>
        <v>Pass</v>
      </c>
      <c r="BU153" t="str">
        <f t="shared" si="159"/>
        <v>Effective Stress</v>
      </c>
    </row>
    <row r="154" spans="1:73">
      <c r="A154" t="s">
        <v>746</v>
      </c>
      <c r="B154" s="181">
        <v>152</v>
      </c>
      <c r="C154" t="s">
        <v>594</v>
      </c>
      <c r="D154" s="181">
        <v>36</v>
      </c>
      <c r="E154" s="181">
        <v>0.5</v>
      </c>
      <c r="F154" t="s">
        <v>117</v>
      </c>
      <c r="G154" t="s">
        <v>119</v>
      </c>
      <c r="H154" t="s">
        <v>122</v>
      </c>
      <c r="I154" s="181">
        <v>1</v>
      </c>
      <c r="J154" t="s">
        <v>126</v>
      </c>
      <c r="K154" t="s">
        <v>129</v>
      </c>
      <c r="L154" s="181">
        <v>70</v>
      </c>
      <c r="M154" s="181">
        <v>100</v>
      </c>
      <c r="N154" t="s">
        <v>388</v>
      </c>
      <c r="O154" s="181">
        <v>120</v>
      </c>
      <c r="P154" s="181">
        <v>14</v>
      </c>
      <c r="Q154" s="181">
        <v>38</v>
      </c>
      <c r="R154" t="s">
        <v>154</v>
      </c>
      <c r="S154" t="s">
        <v>156</v>
      </c>
      <c r="T154" s="181">
        <v>70</v>
      </c>
      <c r="U154" s="181">
        <f>HLOOKUP(D154,'Highway Loading'!$C$155:$AD$156,2,FALSE)</f>
        <v>36</v>
      </c>
      <c r="V154" s="181">
        <f>IF(ISBLANK(G154),"",INDEX('Highway Loading'!$C$216:$AG$216,1,MATCH(G154,'Highway Loading'!$C$215:$AG$215,0)))</f>
        <v>65000</v>
      </c>
      <c r="W154" s="181">
        <f>INDEX('Highway Loading'!$I$245:$L$253,MATCH(H154,'Highway Loading'!$H$245:$H$253,0),MATCH(I154,'Highway Loading'!$I$244:$L$244,0))</f>
        <v>0.72</v>
      </c>
      <c r="X154" s="181">
        <f t="shared" si="128"/>
        <v>1</v>
      </c>
      <c r="Y154" s="181">
        <f>VLOOKUP(K154,'Highway Loading'!$B$283:$E$292,2,FALSE)</f>
        <v>29000000</v>
      </c>
      <c r="Z154" s="181">
        <f>VLOOKUP(K154,'Highway Loading'!$B$283:$E$292,3,FALSE)</f>
        <v>0.3</v>
      </c>
      <c r="AA154" s="181">
        <f>VLOOKUP(K154,'Highway Loading'!$B$283:$E$292,4,FALSE)</f>
        <v>6.4999999999999996E-6</v>
      </c>
      <c r="AB154" s="181">
        <f t="shared" si="129"/>
        <v>1</v>
      </c>
      <c r="AC154" s="181">
        <f>VLOOKUP(N154,'Highway Loading'!$B$256:$D$261,2,FALSE)</f>
        <v>200</v>
      </c>
      <c r="AD154" s="181">
        <f>VLOOKUP(N154,'Highway Loading'!$B$256:$D$261,3,FALSE)</f>
        <v>5000</v>
      </c>
      <c r="AE154" s="181">
        <f>VLOOKUP(S154,'Highway Loading'!$B$340:$C$341,2,FALSE)</f>
        <v>10000</v>
      </c>
      <c r="AF154" s="181">
        <f t="shared" si="130"/>
        <v>1.3888888888888888E-2</v>
      </c>
      <c r="AG154" s="181">
        <f t="shared" si="131"/>
        <v>4.4210526315789478</v>
      </c>
      <c r="AH154" s="181">
        <f t="shared" si="132"/>
        <v>1.0555555555555556</v>
      </c>
      <c r="AI154" s="181">
        <f t="shared" si="133"/>
        <v>3600</v>
      </c>
      <c r="AJ154" s="181">
        <f t="shared" si="134"/>
        <v>46800</v>
      </c>
      <c r="AK154" s="181">
        <f>IF(AC154=200,(INDEX(Tables!$B$17:$B$38,MAX(1,MIN(IFERROR(MATCH(AF154,Tables!$A$17:$A$38,1),1),ROWS(Tables!$A$17:$A$38)-1)))+(AF154-INDEX(Tables!$A$17:$A$38,MAX(1,MIN(IFERROR(MATCH(AF154,Tables!$A$17:$A$38,1),1),ROWS(Tables!$A$17:$A$38)-1))))*(INDEX(Tables!$B$17:$B$38,MAX(1,MIN(IFERROR(MATCH(AF154,Tables!$A$17:$A$38,1),1),ROWS(Tables!$A$17:$A$38)-1))+1)-INDEX(Tables!$B$17:$B$38,MAX(1,MIN(IFERROR(MATCH(AF154,Tables!$A$17:$A$38,1),1),ROWS(Tables!$A$17:$A$38)-1))))/(INDEX(Tables!$A$17:$A$38,MAX(1,MIN(IFERROR(MATCH(AF154,Tables!$A$17:$A$38,1),1),ROWS(Tables!$A$17:$A$38)-1))+1)-INDEX(Tables!$A$17:$A$38,MAX(1,MIN(IFERROR(MATCH(AF154,Tables!$A$17:$A$38,1),1),ROWS(Tables!$A$17:$A$38)-1))))),IF(AC154=500,(INDEX(Tables!$D$17:$D$38,MAX(1,MIN(IFERROR(MATCH(AF154,Tables!$C$17:$C$38,1),1),ROWS(Tables!$C$17:$C$38)-1)))+(AF154-INDEX(Tables!$C$17:$C$38,MAX(1,MIN(IFERROR(MATCH(AF154,Tables!$C$17:$C$38,1),1),ROWS(Tables!$C$17:$C$38)-1))))*(INDEX(Tables!$D$17:$D$38,MAX(1,MIN(IFERROR(MATCH(AF154,Tables!$C$17:$C$38,1),1),ROWS(Tables!$C$17:$C$38)-1))+1)-INDEX(Tables!$D$17:$D$38,MAX(1,MIN(IFERROR(MATCH(AF154,Tables!$C$17:$C$38,1),1),ROWS(Tables!$C$17:$C$38)-1))))/(INDEX(Tables!$C$17:$C$38,MAX(1,MIN(IFERROR(MATCH(AF154,Tables!$C$17:$C$38,1),1),ROWS(Tables!$C$17:$C$38)-1))+1)-INDEX(Tables!$C$17:$C$38,MAX(1,MIN(IFERROR(MATCH(AF154,Tables!$C$17:$C$38,1),1),ROWS(Tables!$C$17:$C$38)-1))))),IF(AC154=1000,(INDEX(Tables!$F$17:$F$38,MAX(1,MIN(IFERROR(MATCH(AF154,Tables!$E$17:$E$38,1),1),ROWS(Tables!$E$17:$E$38)-1)))+(AF154-INDEX(Tables!$E$17:$E$38,MAX(1,MIN(IFERROR(MATCH(AF154,Tables!$E$17:$E$38,1),1),ROWS(Tables!$E$17:$E$38)-1))))*(INDEX(Tables!$F$17:$F$38,MAX(1,MIN(IFERROR(MATCH(AF154,Tables!$E$17:$E$38,1),1),ROWS(Tables!$E$17:$E$38)-1))+1)-INDEX(Tables!$F$17:$F$38,MAX(1,MIN(IFERROR(MATCH(AF154,Tables!$E$17:$E$38,1),1),ROWS(Tables!$E$17:$E$38)-1))))/(INDEX(Tables!$E$17:$E$38,MAX(1,MIN(IFERROR(MATCH(AF154,Tables!$E$17:$E$38,1),1),ROWS(Tables!$E$17:$E$38)-1))+1)-INDEX(Tables!$E$17:$E$38,MAX(1,MIN(IFERROR(MATCH(AF154,Tables!$E$17:$E$38,1),1),ROWS(Tables!$E$17:$E$38)-1))))),(INDEX(Tables!$H$17:$H$38,MAX(1,MIN(IFERROR(MATCH(AF154,Tables!$G$17:$G$38,1),1),ROWS(Tables!$G$17:$G$38)-1)))+(AF154-INDEX(Tables!$G$17:$G$38,MAX(1,MIN(IFERROR(MATCH(AF154,Tables!$G$17:$G$38,1),1),ROWS(Tables!$G$17:$G$38)-1))))*(INDEX(Tables!$H$17:$H$38,MAX(1,MIN(IFERROR(MATCH(AF154,Tables!$G$17:$G$38,1),1),ROWS(Tables!$G$17:$G$38)-1))+1)-INDEX(Tables!$H$17:$H$38,MAX(1,MIN(IFERROR(MATCH(AF154,Tables!$G$17:$G$38,1),1),ROWS(Tables!$G$17:$G$38)-1))))/(INDEX(Tables!$G$17:$G$38,MAX(1,MIN(IFERROR(MATCH(AF154,Tables!$G$17:$G$38,1),1),ROWS(Tables!$G$17:$G$38)-1))+1)-INDEX(Tables!$G$17:$G$38,MAX(1,MIN(IFERROR(MATCH(AF154,Tables!$G$17:$G$38,1),1),ROWS(Tables!$G$17:$G$38)-1))))))))</f>
        <v>5624.5555555555557</v>
      </c>
      <c r="AL154" s="181">
        <f>IF(AC154&lt;1000,(INDEX(Tables!$B$43:$B$76,MAX(1,MIN(IFERROR(MATCH(AG154,Tables!$A$43:$A$76,1),1),ROWS(Tables!$A$43:$A$76)-1)))+(AG154-INDEX(Tables!$A$43:$A$76,MAX(1,MIN(IFERROR(MATCH(AG154,Tables!$A$43:$A$76,1),1),ROWS(Tables!$A$43:$A$76)-1))))*(INDEX(Tables!$B$43:$B$76,MAX(1,MIN(IFERROR(MATCH(AG154,Tables!$A$43:$A$76,1),1),ROWS(Tables!$A$43:$A$76)-1))+1)-INDEX(Tables!$B$43:$B$76,MAX(1,MIN(IFERROR(MATCH(AG154,Tables!$A$43:$A$76,1),1),ROWS(Tables!$A$43:$A$76)-1))))/(INDEX(Tables!$A$43:$A$76,MAX(1,MIN(IFERROR(MATCH(AG154,Tables!$A$43:$A$76,1),1),ROWS(Tables!$A$43:$A$76)-1))+1)-INDEX(Tables!$A$43:$A$76,MAX(1,MIN(IFERROR(MATCH(AG154,Tables!$A$43:$A$76,1),1),ROWS(Tables!$A$43:$A$76)-1))))),(INDEX(Tables!$D$43:$D$76,MAX(1,MIN(IFERROR(MATCH(AG154,Tables!$C$43:$C$76,1),1),ROWS(Tables!$C$43:$C$76)-1)))+(AG154-INDEX(Tables!$C$43:$C$76,MAX(1,MIN(IFERROR(MATCH(AG154,Tables!$C$43:$C$76,1),1),ROWS(Tables!$C$43:$C$76)-1))))*(INDEX(Tables!$D$43:$D$76,MAX(1,MIN(IFERROR(MATCH(AG154,Tables!$C$43:$C$76,1),1),ROWS(Tables!$C$43:$C$76)-1))+1)-INDEX(Tables!$D$43:$D$76,MAX(1,MIN(IFERROR(MATCH(AG154,Tables!$C$43:$C$76,1),1),ROWS(Tables!$C$43:$C$76)-1))))/(INDEX(Tables!$C$43:$C$76,MAX(1,MIN(IFERROR(MATCH(AG154,Tables!$C$43:$C$76,1),1),ROWS(Tables!$C$43:$C$76)-1))+1)-INDEX(Tables!$C$43:$C$76,MAX(1,MIN(IFERROR(MATCH(AG154,Tables!$C$43:$C$76,1),1),ROWS(Tables!$C$43:$C$76)-1))))))</f>
        <v>1.022578947368421</v>
      </c>
      <c r="AM154" s="181">
        <f>(INDEX(Tables!$B$80:$B$87,MAX(1,MIN(IFERROR(MATCH(AH154,Tables!$A$80:$A$87,1),1),ROWS(Tables!$A$80:$A$87)-1)))+(AH154-INDEX(Tables!$A$80:$A$87,MAX(1,MIN(IFERROR(MATCH(AH154,Tables!$A$80:$A$87,1),1),ROWS(Tables!$A$80:$A$87)-1))))*(INDEX(Tables!$B$80:$B$87,MAX(1,MIN(IFERROR(MATCH(AH154,Tables!$A$80:$A$87,1),1),ROWS(Tables!$A$80:$A$87)-1))+1)-INDEX(Tables!$B$80:$B$87,MAX(1,MIN(IFERROR(MATCH(AH154,Tables!$A$80:$A$87,1),1),ROWS(Tables!$A$80:$A$87)-1))))/(INDEX(Tables!$A$80:$A$87,MAX(1,MIN(IFERROR(MATCH(AH154,Tables!$A$80:$A$87,1),1),ROWS(Tables!$A$80:$A$87)-1))+1)-INDEX(Tables!$A$80:$A$87,MAX(1,MIN(IFERROR(MATCH(AH154,Tables!$A$80:$A$87,1),1),ROWS(Tables!$A$80:$A$87)-1)))))</f>
        <v>0.91873333333333329</v>
      </c>
      <c r="AN154" s="181">
        <f t="shared" si="135"/>
        <v>13210.356580340158</v>
      </c>
      <c r="AO154" s="181">
        <f>(INDEX(Tables!$B$91:$B$94,MAX(1,MIN(IFERROR(MATCH(P154,Tables!$A$91:$A$94,1),1),ROWS(Tables!$A$91:$A$94)-1)))+(P154-INDEX(Tables!$A$91:$A$94,MAX(1,MIN(IFERROR(MATCH(P154,Tables!$A$91:$A$94,1),1),ROWS(Tables!$A$91:$A$94)-1))))*(INDEX(Tables!$B$91:$B$94,MAX(1,MIN(IFERROR(MATCH(P154,Tables!$A$91:$A$94,1),1),ROWS(Tables!$A$91:$A$94)-1))+1)-INDEX(Tables!$B$91:$B$94,MAX(1,MIN(IFERROR(MATCH(P154,Tables!$A$91:$A$94,1),1),ROWS(Tables!$A$91:$A$94)-1))))/(INDEX(Tables!$A$91:$A$94,MAX(1,MIN(IFERROR(MATCH(P154,Tables!$A$91:$A$94,1),1),ROWS(Tables!$A$91:$A$94)-1))+1)-INDEX(Tables!$A$91:$A$94,MAX(1,MIN(IFERROR(MATCH(P154,Tables!$A$91:$A$94,1),1),ROWS(Tables!$A$91:$A$94)-1)))))</f>
        <v>1.2323170731707318</v>
      </c>
      <c r="AP154" s="181">
        <f>IF(AD154=5000,(INDEX(Tables!$B$99:$B$118,MAX(1,MIN(IFERROR(MATCH(AF154,Tables!$A$99:$A$118,1),1),ROWS(Tables!$A$99:$A$118)-1)))+(AF154-INDEX(Tables!$A$99:$A$118,MAX(1,MIN(IFERROR(MATCH(AF154,Tables!$A$99:$A$118,1),1),ROWS(Tables!$A$99:$A$118)-1))))*(INDEX(Tables!$B$99:$B$118,MAX(1,MIN(IFERROR(MATCH(AF154,Tables!$A$99:$A$118,1),1),ROWS(Tables!$A$99:$A$118)-1))+1)-INDEX(Tables!$B$99:$B$118,MAX(1,MIN(IFERROR(MATCH(AF154,Tables!$A$99:$A$118,1),1),ROWS(Tables!$A$99:$A$118)-1))))/(INDEX(Tables!$A$99:$A$118,MAX(1,MIN(IFERROR(MATCH(AF154,Tables!$A$99:$A$118,1),1),ROWS(Tables!$A$99:$A$118)-1))+1)-INDEX(Tables!$A$99:$A$118,MAX(1,MIN(IFERROR(MATCH(AF154,Tables!$A$99:$A$118,1),1),ROWS(Tables!$A$99:$A$118)-1))))),IF(AD154=10000,(INDEX(Tables!$D$99:$D$118,MAX(1,MIN(IFERROR(MATCH(AF154,Tables!$C$99:$C$118,1),1),ROWS(Tables!$C$99:$C$118)-1)))+(AF154-INDEX(Tables!$C$99:$C$118,MAX(1,MIN(IFERROR(MATCH(AF154,Tables!$C$99:$C$118,1),1),ROWS(Tables!$C$99:$C$118)-1))))*(INDEX(Tables!$D$99:$D$118,MAX(1,MIN(IFERROR(MATCH(AF154,Tables!$C$99:$C$118,1),1),ROWS(Tables!$C$99:$C$118)-1))+1)-INDEX(Tables!$D$99:$D$118,MAX(1,MIN(IFERROR(MATCH(AF154,Tables!$C$99:$C$118,1),1),ROWS(Tables!$C$99:$C$118)-1))))/(INDEX(Tables!$C$99:$C$118,MAX(1,MIN(IFERROR(MATCH(AF154,Tables!$C$99:$C$118,1),1),ROWS(Tables!$C$99:$C$118)-1))+1)-INDEX(Tables!$C$99:$C$118,MAX(1,MIN(IFERROR(MATCH(AF154,Tables!$C$99:$C$118,1),1),ROWS(Tables!$C$99:$C$118)-1))))),(INDEX(Tables!$F$99:$F$118,MAX(1,MIN(IFERROR(MATCH(AF154,Tables!$E$99:$E$118,1),1),ROWS(Tables!$E$99:$E$118)-1)))+(AF154-INDEX(Tables!$E$99:$E$118,MAX(1,MIN(IFERROR(MATCH(AF154,Tables!$E$99:$E$118,1),1),ROWS(Tables!$E$99:$E$118)-1))))*(INDEX(Tables!$F$99:$F$118,MAX(1,MIN(IFERROR(MATCH(AF154,Tables!$E$99:$E$118,1),1),ROWS(Tables!$E$99:$E$118)-1))+1)-INDEX(Tables!$F$99:$F$118,MAX(1,MIN(IFERROR(MATCH(AF154,Tables!$E$99:$E$118,1),1),ROWS(Tables!$E$99:$E$118)-1))))/(INDEX(Tables!$E$99:$E$118,MAX(1,MIN(IFERROR(MATCH(AF154,Tables!$E$99:$E$118,1),1),ROWS(Tables!$E$99:$E$118)-1))+1)-INDEX(Tables!$E$99:$E$118,MAX(1,MIN(IFERROR(MATCH(AF154,Tables!$E$99:$E$118,1),1),ROWS(Tables!$E$99:$E$118)-1)))))))</f>
        <v>20.667621129326047</v>
      </c>
      <c r="AQ154" s="181">
        <f>IF(P154&lt;6,(INDEX(Tables!$B$123:$B$138,MAX(1,MIN(IFERROR(MATCH(U154,Tables!$A$123:$A$138,1),1),ROWS(Tables!$A$123:$A$138)-1)))+(U154-INDEX(Tables!$A$123:$A$138,MAX(1,MIN(IFERROR(MATCH(U154,Tables!$A$123:$A$138,1),1),ROWS(Tables!$A$123:$A$138)-1))))*(INDEX(Tables!$B$123:$B$138,MAX(1,MIN(IFERROR(MATCH(U154,Tables!$A$123:$A$138,1),1),ROWS(Tables!$A$123:$A$138)-1))+1)-INDEX(Tables!$B$123:$B$138,MAX(1,MIN(IFERROR(MATCH(U154,Tables!$A$123:$A$138,1),1),ROWS(Tables!$A$123:$A$138)-1))))/(INDEX(Tables!$A$123:$A$138,MAX(1,MIN(IFERROR(MATCH(U154,Tables!$A$123:$A$138,1),1),ROWS(Tables!$A$123:$A$138)-1))+1)-INDEX(Tables!$A$123:$A$138,MAX(1,MIN(IFERROR(MATCH(U154,Tables!$A$123:$A$138,1),1),ROWS(Tables!$A$123:$A$138)-1))))),IF(P154&lt;8,(INDEX(Tables!$D$123:$D$138,MAX(1,MIN(IFERROR(MATCH(U154,Tables!$C$123:$C$138,1),1),ROWS(Tables!$C$123:$C$138)-1)))+(U154-INDEX(Tables!$C$123:$C$138,MAX(1,MIN(IFERROR(MATCH(U154,Tables!$C$123:$C$138,1),1),ROWS(Tables!$C$123:$C$138)-1))))*(INDEX(Tables!$D$123:$D$138,MAX(1,MIN(IFERROR(MATCH(U154,Tables!$C$123:$C$138,1),1),ROWS(Tables!$C$123:$C$138)-1))+1)-INDEX(Tables!$D$123:$D$138,MAX(1,MIN(IFERROR(MATCH(U154,Tables!$C$123:$C$138,1),1),ROWS(Tables!$C$123:$C$138)-1))))/(INDEX(Tables!$C$123:$C$138,MAX(1,MIN(IFERROR(MATCH(U154,Tables!$C$123:$C$138,1),1),ROWS(Tables!$C$123:$C$138)-1))+1)-INDEX(Tables!$C$123:$C$138,MAX(1,MIN(IFERROR(MATCH(U154,Tables!$C$123:$C$138,1),1),ROWS(Tables!$C$123:$C$138)-1))))),IF(P154&lt;10,(INDEX(Tables!$F$123:$F$138,MAX(1,MIN(IFERROR(MATCH(U154,Tables!$E$123:$E$138,1),1),ROWS(Tables!$E$123:$E$138)-1)))+(U154-INDEX(Tables!$E$123:$E$138,MAX(1,MIN(IFERROR(MATCH(U154,Tables!$E$123:$E$138,1),1),ROWS(Tables!$E$123:$E$138)-1))))*(INDEX(Tables!$F$123:$F$138,MAX(1,MIN(IFERROR(MATCH(U154,Tables!$E$123:$E$138,1),1),ROWS(Tables!$E$123:$E$138)-1))+1)-INDEX(Tables!$F$123:$F$138,MAX(1,MIN(IFERROR(MATCH(U154,Tables!$E$123:$E$138,1),1),ROWS(Tables!$E$123:$E$138)-1))))/(INDEX(Tables!$E$123:$E$138,MAX(1,MIN(IFERROR(MATCH(U154,Tables!$E$123:$E$138,1),1),ROWS(Tables!$E$123:$E$138)-1))+1)-INDEX(Tables!$E$123:$E$138,MAX(1,MIN(IFERROR(MATCH(U154,Tables!$E$123:$E$138,1),1),ROWS(Tables!$E$123:$E$138)-1))))),(INDEX(Tables!$H$123:$H$138,MAX(1,MIN(IFERROR(MATCH(U154,Tables!$G$123:$G$138,1),1),ROWS(Tables!$G$123:$G$138)-1)))+(U154-INDEX(Tables!$G$123:$G$138,MAX(1,MIN(IFERROR(MATCH(U154,Tables!$G$123:$G$138,1),1),ROWS(Tables!$G$123:$G$138)-1))))*(INDEX(Tables!$H$123:$H$138,MAX(1,MIN(IFERROR(MATCH(U154,Tables!$G$123:$G$138,1),1),ROWS(Tables!$G$123:$G$138)-1))+1)-INDEX(Tables!$H$123:$H$138,MAX(1,MIN(IFERROR(MATCH(U154,Tables!$G$123:$G$138,1),1),ROWS(Tables!$G$123:$G$138)-1))))/(INDEX(Tables!$G$123:$G$138,MAX(1,MIN(IFERROR(MATCH(U154,Tables!$G$123:$G$138,1),1),ROWS(Tables!$G$123:$G$138)-1))+1)-INDEX(Tables!$G$123:$G$138,MAX(1,MIN(IFERROR(MATCH(U154,Tables!$G$123:$G$138,1),1),ROWS(Tables!$G$123:$G$138)-1))))))))</f>
        <v>0.50060000000000004</v>
      </c>
      <c r="AR154" s="181">
        <f>IF(OR(P154&gt;=4,U154&gt;12),VLOOKUP(R154&amp;" "&amp;S154,Tables!$D$143:$F$148,2,FALSE),VLOOKUP(R154&amp;" "&amp;S154,Tables!$A$143:$C$148,2,FALSE))</f>
        <v>1</v>
      </c>
      <c r="AS154" s="181">
        <f>IF(OR(P154&gt;=4,U154&gt;12),VLOOKUP(R154&amp;" "&amp;S154,Tables!$D$143:$F$148,3,FALSE),VLOOKUP(R154&amp;" "&amp;S154,Tables!$A$143:$C$148,3,FALSE))</f>
        <v>1</v>
      </c>
      <c r="AT154" s="181">
        <f t="shared" si="136"/>
        <v>885.40365466486264</v>
      </c>
      <c r="AU154" s="181">
        <f>IF(AD154=5000,(INDEX(Tables!$B$244:$B$263,MAX(1,MIN(IFERROR(MATCH(AF154,Tables!$A$244:$A$263,1),1),ROWS(Tables!$A$244:$A$263)-1)))+(AF154-INDEX(Tables!$A$244:$A$263,MAX(1,MIN(IFERROR(MATCH(AF154,Tables!$A$244:$A$263,1),1),ROWS(Tables!$A$244:$A$263)-1))))*(INDEX(Tables!$B$244:$B$263,MAX(1,MIN(IFERROR(MATCH(AF154,Tables!$A$244:$A$263,1),1),ROWS(Tables!$A$244:$A$263)-1))+1)-INDEX(Tables!$B$244:$B$263,MAX(1,MIN(IFERROR(MATCH(AF154,Tables!$A$244:$A$263,1),1),ROWS(Tables!$A$244:$A$263)-1))))/(INDEX(Tables!$A$244:$A$263,MAX(1,MIN(IFERROR(MATCH(AF154,Tables!$A$244:$A$263,1),1),ROWS(Tables!$A$244:$A$263)-1))+1)-INDEX(Tables!$A$244:$A$263,MAX(1,MIN(IFERROR(MATCH(AF154,Tables!$A$244:$A$263,1),1),ROWS(Tables!$A$244:$A$263)-1))))),IF(AD154=10000,(INDEX(Tables!$D$244:$D$263,MAX(1,MIN(IFERROR(MATCH(AF154,Tables!$C$244:$C$263,1),1),ROWS(Tables!$C$244:$C$263)-1)))+(AF154-INDEX(Tables!$C$244:$C$263,MAX(1,MIN(IFERROR(MATCH(AF154,Tables!$C$244:$C$263,1),1),ROWS(Tables!$C$244:$C$263)-1))))*(INDEX(Tables!$D$244:$D$263,MAX(1,MIN(IFERROR(MATCH(AF154,Tables!$C$244:$C$263,1),1),ROWS(Tables!$C$244:$C$263)-1))+1)-INDEX(Tables!$D$244:$D$263,MAX(1,MIN(IFERROR(MATCH(AF154,Tables!$C$244:$C$263,1),1),ROWS(Tables!$C$244:$C$263)-1))))/(INDEX(Tables!$C$244:$C$263,MAX(1,MIN(IFERROR(MATCH(AF154,Tables!$C$244:$C$263,1),1),ROWS(Tables!$C$244:$C$263)-1))+1)-INDEX(Tables!$C$244:$C$263,MAX(1,MIN(IFERROR(MATCH(AF154,Tables!$C$244:$C$263,1),1),ROWS(Tables!$C$244:$C$263)-1))))),(INDEX(Tables!$F$244:$F$263,MAX(1,MIN(IFERROR(MATCH(AF154,Tables!$E$244:$E$263,1),1),ROWS(Tables!$E$244:$E$263)-1)))+(AF154-INDEX(Tables!$E$244:$E$263,MAX(1,MIN(IFERROR(MATCH(AF154,Tables!$E$244:$E$263,1),1),ROWS(Tables!$E$244:$E$263)-1))))*(INDEX(Tables!$F$244:$F$263,MAX(1,MIN(IFERROR(MATCH(AF154,Tables!$E$244:$E$263,1),1),ROWS(Tables!$E$244:$E$263)-1))+1)-INDEX(Tables!$F$244:$F$263,MAX(1,MIN(IFERROR(MATCH(AF154,Tables!$E$244:$E$263,1),1),ROWS(Tables!$E$244:$E$263)-1))))/(INDEX(Tables!$E$244:$E$263,MAX(1,MIN(IFERROR(MATCH(AF154,Tables!$E$244:$E$263,1),1),ROWS(Tables!$E$244:$E$263)-1))+1)-INDEX(Tables!$E$244:$E$263,MAX(1,MIN(IFERROR(MATCH(AF154,Tables!$E$244:$E$263,1),1),ROWS(Tables!$E$244:$E$263)-1)))))))</f>
        <v>14.915802469135803</v>
      </c>
      <c r="AV154" s="181">
        <f>IF(P154&lt;6,(INDEX(Tables!$B$260:$B$274,MAX(1,MIN(IFERROR(MATCH(U154,Tables!$A$260:$A$274,1),1),ROWS(Tables!$A$260:$A$274)-1)))+(U154-INDEX(Tables!$A$260:$A$274,MAX(1,MIN(IFERROR(MATCH(U154,Tables!$A$260:$A$274,1),1),ROWS(Tables!$A$260:$A$274)-1))))*(INDEX(Tables!$B$260:$B$274,MAX(1,MIN(IFERROR(MATCH(U154,Tables!$A$260:$A$274,1),1),ROWS(Tables!$A$260:$A$274)-1))+1)-INDEX(Tables!$B$260:$B$274,MAX(1,MIN(IFERROR(MATCH(U154,Tables!$A$260:$A$274,1),1),ROWS(Tables!$A$260:$A$274)-1))))/(INDEX(Tables!$A$260:$A$274,MAX(1,MIN(IFERROR(MATCH(U154,Tables!$A$260:$A$274,1),1),ROWS(Tables!$A$260:$A$274)-1))+1)-INDEX(Tables!$A$260:$A$274,MAX(1,MIN(IFERROR(MATCH(U154,Tables!$A$260:$A$274,1),1),ROWS(Tables!$A$260:$A$274)-1))))),IF(P154&lt;8,(INDEX(Tables!$D$260:$D$274,MAX(1,MIN(IFERROR(MATCH(U154,Tables!$C$260:$C$274,1),1),ROWS(Tables!$C$260:$C$274)-1)))+(U154-INDEX(Tables!$C$260:$C$274,MAX(1,MIN(IFERROR(MATCH(U154,Tables!$C$260:$C$274,1),1),ROWS(Tables!$C$260:$C$274)-1))))*(INDEX(Tables!$D$260:$D$274,MAX(1,MIN(IFERROR(MATCH(U154,Tables!$C$260:$C$274,1),1),ROWS(Tables!$C$260:$C$274)-1))+1)-INDEX(Tables!$D$260:$D$274,MAX(1,MIN(IFERROR(MATCH(U154,Tables!$C$260:$C$274,1),1),ROWS(Tables!$C$260:$C$274)-1))))/(INDEX(Tables!$C$260:$C$274,MAX(1,MIN(IFERROR(MATCH(U154,Tables!$C$260:$C$274,1),1),ROWS(Tables!$C$260:$C$274)-1))+1)-INDEX(Tables!$C$260:$C$274,MAX(1,MIN(IFERROR(MATCH(U154,Tables!$C$260:$C$274,1),1),ROWS(Tables!$C$260:$C$274)-1))))),IF(P154&lt;10,(INDEX(Tables!$F$260:$F$274,MAX(1,MIN(IFERROR(MATCH(U154,Tables!$E$260:$E$274,1),1),ROWS(Tables!$E$260:$E$274)-1)))+(U154-INDEX(Tables!$E$260:$E$274,MAX(1,MIN(IFERROR(MATCH(U154,Tables!$E$260:$E$274,1),1),ROWS(Tables!$E$260:$E$274)-1))))*(INDEX(Tables!$F$260:$F$274,MAX(1,MIN(IFERROR(MATCH(U154,Tables!$E$260:$E$274,1),1),ROWS(Tables!$E$260:$E$274)-1))+1)-INDEX(Tables!$F$260:$F$274,MAX(1,MIN(IFERROR(MATCH(U154,Tables!$E$260:$E$274,1),1),ROWS(Tables!$E$260:$E$274)-1))))/(INDEX(Tables!$E$260:$E$274,MAX(1,MIN(IFERROR(MATCH(U154,Tables!$E$260:$E$274,1),1),ROWS(Tables!$E$260:$E$274)-1))+1)-INDEX(Tables!$E$260:$E$274,MAX(1,MIN(IFERROR(MATCH(U154,Tables!$E$260:$E$274,1),1),ROWS(Tables!$E$260:$E$274)-1))))),(INDEX(Tables!$H$260:$H$274,MAX(1,MIN(IFERROR(MATCH(U154,Tables!$G$260:$G$274,1),1),ROWS(Tables!$G$260:$G$274)-1)))+(U154-INDEX(Tables!$G$260:$G$274,MAX(1,MIN(IFERROR(MATCH(U154,Tables!$G$260:$G$274,1),1),ROWS(Tables!$G$260:$G$274)-1))))*(INDEX(Tables!$H$260:$H$274,MAX(1,MIN(IFERROR(MATCH(U154,Tables!$G$260:$G$274,1),1),ROWS(Tables!$G$260:$G$274)-1))+1)-INDEX(Tables!$H$260:$H$274,MAX(1,MIN(IFERROR(MATCH(U154,Tables!$G$260:$G$274,1),1),ROWS(Tables!$G$260:$G$274)-1))))/(INDEX(Tables!$G$260:$G$274,MAX(1,MIN(IFERROR(MATCH(U154,Tables!$G$260:$G$274,1),1),ROWS(Tables!$G$260:$G$274)-1))+1)-INDEX(Tables!$G$260:$G$274,MAX(1,MIN(IFERROR(MATCH(U154,Tables!$G$260:$G$274,1),1),ROWS(Tables!$G$260:$G$274)-1))))))))</f>
        <v>0.51828571428571424</v>
      </c>
      <c r="AW154" s="181">
        <f t="shared" si="137"/>
        <v>661.5700486024482</v>
      </c>
      <c r="AX154" s="181">
        <f t="shared" si="138"/>
        <v>3550</v>
      </c>
      <c r="AY154" s="181">
        <f t="shared" si="139"/>
        <v>17645.760235005022</v>
      </c>
      <c r="AZ154" s="181">
        <f t="shared" si="140"/>
        <v>5689.6770227044954</v>
      </c>
      <c r="BA154" s="181">
        <f t="shared" si="141"/>
        <v>-100</v>
      </c>
      <c r="BB154" s="181">
        <f t="shared" si="142"/>
        <v>15674.506246210314</v>
      </c>
      <c r="BC154" s="181">
        <f t="shared" si="143"/>
        <v>46800</v>
      </c>
      <c r="BD154" s="181">
        <f>VLOOKUP(V154&amp;" "&amp;J154,Tables!$A$152:$E$239,4,FALSE)</f>
        <v>12000</v>
      </c>
      <c r="BE154" s="181">
        <f>VLOOKUP(V154&amp;" "&amp;J154,Tables!$A$152:$E$239,5,FALSE)</f>
        <v>23000</v>
      </c>
      <c r="BF154" s="181">
        <f t="shared" si="144"/>
        <v>8640</v>
      </c>
      <c r="BG154" s="181">
        <f t="shared" si="145"/>
        <v>16560</v>
      </c>
      <c r="BH154" s="181">
        <f t="shared" si="146"/>
        <v>3600</v>
      </c>
      <c r="BI154" s="181">
        <f t="shared" si="147"/>
        <v>46800</v>
      </c>
      <c r="BJ154" s="181">
        <f t="shared" si="148"/>
        <v>15674.506246210314</v>
      </c>
      <c r="BK154" s="181">
        <f t="shared" si="149"/>
        <v>46800</v>
      </c>
      <c r="BL154" s="181">
        <f t="shared" si="150"/>
        <v>661.5700486024482</v>
      </c>
      <c r="BM154" s="181">
        <f t="shared" si="151"/>
        <v>8640</v>
      </c>
      <c r="BN154" s="181">
        <f t="shared" si="152"/>
        <v>885.40365466486264</v>
      </c>
      <c r="BO154" s="181">
        <f t="shared" si="153"/>
        <v>16560</v>
      </c>
      <c r="BP154" t="str">
        <f t="shared" si="154"/>
        <v>Pass</v>
      </c>
      <c r="BQ154" t="str">
        <f t="shared" si="155"/>
        <v>Pass</v>
      </c>
      <c r="BR154" t="str">
        <f t="shared" si="156"/>
        <v>Pass</v>
      </c>
      <c r="BS154" t="str">
        <f t="shared" si="157"/>
        <v>Pass</v>
      </c>
      <c r="BT154" t="str">
        <f t="shared" si="158"/>
        <v>Pass</v>
      </c>
      <c r="BU154" t="str">
        <f t="shared" si="159"/>
        <v>Effective Stress</v>
      </c>
    </row>
    <row r="155" spans="1:73">
      <c r="A155" t="s">
        <v>747</v>
      </c>
      <c r="B155" s="181">
        <v>153</v>
      </c>
      <c r="C155" t="s">
        <v>594</v>
      </c>
      <c r="D155" s="181">
        <v>48</v>
      </c>
      <c r="E155" s="181">
        <v>0.5</v>
      </c>
      <c r="F155" t="s">
        <v>117</v>
      </c>
      <c r="G155" t="s">
        <v>119</v>
      </c>
      <c r="H155" t="s">
        <v>122</v>
      </c>
      <c r="I155" s="181">
        <v>1</v>
      </c>
      <c r="J155" t="s">
        <v>126</v>
      </c>
      <c r="K155" t="s">
        <v>129</v>
      </c>
      <c r="L155" s="181">
        <v>70</v>
      </c>
      <c r="M155" s="181">
        <v>800</v>
      </c>
      <c r="N155" t="s">
        <v>388</v>
      </c>
      <c r="O155" s="181">
        <v>120</v>
      </c>
      <c r="P155" s="181">
        <v>30</v>
      </c>
      <c r="Q155" s="181">
        <v>50</v>
      </c>
      <c r="R155" t="s">
        <v>154</v>
      </c>
      <c r="S155" t="s">
        <v>156</v>
      </c>
      <c r="T155" s="181">
        <v>70</v>
      </c>
      <c r="U155" s="181">
        <f>HLOOKUP(D155,'Highway Loading'!$C$155:$AD$156,2,FALSE)</f>
        <v>48</v>
      </c>
      <c r="V155" s="181">
        <f>IF(ISBLANK(G155),"",INDEX('Highway Loading'!$C$216:$AG$216,1,MATCH(G155,'Highway Loading'!$C$215:$AG$215,0)))</f>
        <v>65000</v>
      </c>
      <c r="W155" s="181">
        <f>INDEX('Highway Loading'!$I$245:$L$253,MATCH(H155,'Highway Loading'!$H$245:$H$253,0),MATCH(I155,'Highway Loading'!$I$244:$L$244,0))</f>
        <v>0.72</v>
      </c>
      <c r="X155" s="181">
        <f t="shared" si="128"/>
        <v>1</v>
      </c>
      <c r="Y155" s="181">
        <f>VLOOKUP(K155,'Highway Loading'!$B$283:$E$292,2,FALSE)</f>
        <v>29000000</v>
      </c>
      <c r="Z155" s="181">
        <f>VLOOKUP(K155,'Highway Loading'!$B$283:$E$292,3,FALSE)</f>
        <v>0.3</v>
      </c>
      <c r="AA155" s="181">
        <f>VLOOKUP(K155,'Highway Loading'!$B$283:$E$292,4,FALSE)</f>
        <v>6.4999999999999996E-6</v>
      </c>
      <c r="AB155" s="181">
        <f t="shared" si="129"/>
        <v>1</v>
      </c>
      <c r="AC155" s="181">
        <f>VLOOKUP(N155,'Highway Loading'!$B$256:$D$261,2,FALSE)</f>
        <v>200</v>
      </c>
      <c r="AD155" s="181">
        <f>VLOOKUP(N155,'Highway Loading'!$B$256:$D$261,3,FALSE)</f>
        <v>5000</v>
      </c>
      <c r="AE155" s="181">
        <f>VLOOKUP(S155,'Highway Loading'!$B$340:$C$341,2,FALSE)</f>
        <v>10000</v>
      </c>
      <c r="AF155" s="181">
        <f t="shared" si="130"/>
        <v>1.0416666666666666E-2</v>
      </c>
      <c r="AG155" s="181">
        <f t="shared" si="131"/>
        <v>7.2</v>
      </c>
      <c r="AH155" s="181">
        <f t="shared" si="132"/>
        <v>1.0416666666666667</v>
      </c>
      <c r="AI155" s="181">
        <f t="shared" si="133"/>
        <v>38400</v>
      </c>
      <c r="AJ155" s="181">
        <f t="shared" si="134"/>
        <v>46800</v>
      </c>
      <c r="AK155" s="181">
        <f>IF(AC155=200,(INDEX(Tables!$B$17:$B$38,MAX(1,MIN(IFERROR(MATCH(AF155,Tables!$A$17:$A$38,1),1),ROWS(Tables!$A$17:$A$38)-1)))+(AF155-INDEX(Tables!$A$17:$A$38,MAX(1,MIN(IFERROR(MATCH(AF155,Tables!$A$17:$A$38,1),1),ROWS(Tables!$A$17:$A$38)-1))))*(INDEX(Tables!$B$17:$B$38,MAX(1,MIN(IFERROR(MATCH(AF155,Tables!$A$17:$A$38,1),1),ROWS(Tables!$A$17:$A$38)-1))+1)-INDEX(Tables!$B$17:$B$38,MAX(1,MIN(IFERROR(MATCH(AF155,Tables!$A$17:$A$38,1),1),ROWS(Tables!$A$17:$A$38)-1))))/(INDEX(Tables!$A$17:$A$38,MAX(1,MIN(IFERROR(MATCH(AF155,Tables!$A$17:$A$38,1),1),ROWS(Tables!$A$17:$A$38)-1))+1)-INDEX(Tables!$A$17:$A$38,MAX(1,MIN(IFERROR(MATCH(AF155,Tables!$A$17:$A$38,1),1),ROWS(Tables!$A$17:$A$38)-1))))),IF(AC155=500,(INDEX(Tables!$D$17:$D$38,MAX(1,MIN(IFERROR(MATCH(AF155,Tables!$C$17:$C$38,1),1),ROWS(Tables!$C$17:$C$38)-1)))+(AF155-INDEX(Tables!$C$17:$C$38,MAX(1,MIN(IFERROR(MATCH(AF155,Tables!$C$17:$C$38,1),1),ROWS(Tables!$C$17:$C$38)-1))))*(INDEX(Tables!$D$17:$D$38,MAX(1,MIN(IFERROR(MATCH(AF155,Tables!$C$17:$C$38,1),1),ROWS(Tables!$C$17:$C$38)-1))+1)-INDEX(Tables!$D$17:$D$38,MAX(1,MIN(IFERROR(MATCH(AF155,Tables!$C$17:$C$38,1),1),ROWS(Tables!$C$17:$C$38)-1))))/(INDEX(Tables!$C$17:$C$38,MAX(1,MIN(IFERROR(MATCH(AF155,Tables!$C$17:$C$38,1),1),ROWS(Tables!$C$17:$C$38)-1))+1)-INDEX(Tables!$C$17:$C$38,MAX(1,MIN(IFERROR(MATCH(AF155,Tables!$C$17:$C$38,1),1),ROWS(Tables!$C$17:$C$38)-1))))),IF(AC155=1000,(INDEX(Tables!$F$17:$F$38,MAX(1,MIN(IFERROR(MATCH(AF155,Tables!$E$17:$E$38,1),1),ROWS(Tables!$E$17:$E$38)-1)))+(AF155-INDEX(Tables!$E$17:$E$38,MAX(1,MIN(IFERROR(MATCH(AF155,Tables!$E$17:$E$38,1),1),ROWS(Tables!$E$17:$E$38)-1))))*(INDEX(Tables!$F$17:$F$38,MAX(1,MIN(IFERROR(MATCH(AF155,Tables!$E$17:$E$38,1),1),ROWS(Tables!$E$17:$E$38)-1))+1)-INDEX(Tables!$F$17:$F$38,MAX(1,MIN(IFERROR(MATCH(AF155,Tables!$E$17:$E$38,1),1),ROWS(Tables!$E$17:$E$38)-1))))/(INDEX(Tables!$E$17:$E$38,MAX(1,MIN(IFERROR(MATCH(AF155,Tables!$E$17:$E$38,1),1),ROWS(Tables!$E$17:$E$38)-1))+1)-INDEX(Tables!$E$17:$E$38,MAX(1,MIN(IFERROR(MATCH(AF155,Tables!$E$17:$E$38,1),1),ROWS(Tables!$E$17:$E$38)-1))))),(INDEX(Tables!$H$17:$H$38,MAX(1,MIN(IFERROR(MATCH(AF155,Tables!$G$17:$G$38,1),1),ROWS(Tables!$G$17:$G$38)-1)))+(AF155-INDEX(Tables!$G$17:$G$38,MAX(1,MIN(IFERROR(MATCH(AF155,Tables!$G$17:$G$38,1),1),ROWS(Tables!$G$17:$G$38)-1))))*(INDEX(Tables!$H$17:$H$38,MAX(1,MIN(IFERROR(MATCH(AF155,Tables!$G$17:$G$38,1),1),ROWS(Tables!$G$17:$G$38)-1))+1)-INDEX(Tables!$H$17:$H$38,MAX(1,MIN(IFERROR(MATCH(AF155,Tables!$G$17:$G$38,1),1),ROWS(Tables!$G$17:$G$38)-1))))/(INDEX(Tables!$G$17:$G$38,MAX(1,MIN(IFERROR(MATCH(AF155,Tables!$G$17:$G$38,1),1),ROWS(Tables!$G$17:$G$38)-1))+1)-INDEX(Tables!$G$17:$G$38,MAX(1,MIN(IFERROR(MATCH(AF155,Tables!$G$17:$G$38,1),1),ROWS(Tables!$G$17:$G$38)-1))))))))</f>
        <v>8220.6666666666679</v>
      </c>
      <c r="AL155" s="181">
        <f>IF(AC155&lt;1000,(INDEX(Tables!$B$43:$B$76,MAX(1,MIN(IFERROR(MATCH(AG155,Tables!$A$43:$A$76,1),1),ROWS(Tables!$A$43:$A$76)-1)))+(AG155-INDEX(Tables!$A$43:$A$76,MAX(1,MIN(IFERROR(MATCH(AG155,Tables!$A$43:$A$76,1),1),ROWS(Tables!$A$43:$A$76)-1))))*(INDEX(Tables!$B$43:$B$76,MAX(1,MIN(IFERROR(MATCH(AG155,Tables!$A$43:$A$76,1),1),ROWS(Tables!$A$43:$A$76)-1))+1)-INDEX(Tables!$B$43:$B$76,MAX(1,MIN(IFERROR(MATCH(AG155,Tables!$A$43:$A$76,1),1),ROWS(Tables!$A$43:$A$76)-1))))/(INDEX(Tables!$A$43:$A$76,MAX(1,MIN(IFERROR(MATCH(AG155,Tables!$A$43:$A$76,1),1),ROWS(Tables!$A$43:$A$76)-1))+1)-INDEX(Tables!$A$43:$A$76,MAX(1,MIN(IFERROR(MATCH(AG155,Tables!$A$43:$A$76,1),1),ROWS(Tables!$A$43:$A$76)-1))))),(INDEX(Tables!$D$43:$D$76,MAX(1,MIN(IFERROR(MATCH(AG155,Tables!$C$43:$C$76,1),1),ROWS(Tables!$C$43:$C$76)-1)))+(AG155-INDEX(Tables!$C$43:$C$76,MAX(1,MIN(IFERROR(MATCH(AG155,Tables!$C$43:$C$76,1),1),ROWS(Tables!$C$43:$C$76)-1))))*(INDEX(Tables!$D$43:$D$76,MAX(1,MIN(IFERROR(MATCH(AG155,Tables!$C$43:$C$76,1),1),ROWS(Tables!$C$43:$C$76)-1))+1)-INDEX(Tables!$D$43:$D$76,MAX(1,MIN(IFERROR(MATCH(AG155,Tables!$C$43:$C$76,1),1),ROWS(Tables!$C$43:$C$76)-1))))/(INDEX(Tables!$C$43:$C$76,MAX(1,MIN(IFERROR(MATCH(AG155,Tables!$C$43:$C$76,1),1),ROWS(Tables!$C$43:$C$76)-1))+1)-INDEX(Tables!$C$43:$C$76,MAX(1,MIN(IFERROR(MATCH(AG155,Tables!$C$43:$C$76,1),1),ROWS(Tables!$C$43:$C$76)-1))))))</f>
        <v>1.224</v>
      </c>
      <c r="AM155" s="181">
        <f>(INDEX(Tables!$B$80:$B$87,MAX(1,MIN(IFERROR(MATCH(AH155,Tables!$A$80:$A$87,1),1),ROWS(Tables!$A$80:$A$87)-1)))+(AH155-INDEX(Tables!$A$80:$A$87,MAX(1,MIN(IFERROR(MATCH(AH155,Tables!$A$80:$A$87,1),1),ROWS(Tables!$A$80:$A$87)-1))))*(INDEX(Tables!$B$80:$B$87,MAX(1,MIN(IFERROR(MATCH(AH155,Tables!$A$80:$A$87,1),1),ROWS(Tables!$A$80:$A$87)-1))+1)-INDEX(Tables!$B$80:$B$87,MAX(1,MIN(IFERROR(MATCH(AH155,Tables!$A$80:$A$87,1),1),ROWS(Tables!$A$80:$A$87)-1))))/(INDEX(Tables!$A$80:$A$87,MAX(1,MIN(IFERROR(MATCH(AH155,Tables!$A$80:$A$87,1),1),ROWS(Tables!$A$80:$A$87)-1))+1)-INDEX(Tables!$A$80:$A$87,MAX(1,MIN(IFERROR(MATCH(AH155,Tables!$A$80:$A$87,1),1),ROWS(Tables!$A$80:$A$87)-1)))))</f>
        <v>0.89595000000000002</v>
      </c>
      <c r="AN155" s="181">
        <f t="shared" si="135"/>
        <v>30050.449704000006</v>
      </c>
      <c r="AO155" s="181">
        <f>(INDEX(Tables!$B$91:$B$94,MAX(1,MIN(IFERROR(MATCH(P155,Tables!$A$91:$A$94,1),1),ROWS(Tables!$A$91:$A$94)-1)))+(P155-INDEX(Tables!$A$91:$A$94,MAX(1,MIN(IFERROR(MATCH(P155,Tables!$A$91:$A$94,1),1),ROWS(Tables!$A$91:$A$94)-1))))*(INDEX(Tables!$B$91:$B$94,MAX(1,MIN(IFERROR(MATCH(P155,Tables!$A$91:$A$94,1),1),ROWS(Tables!$A$91:$A$94)-1))+1)-INDEX(Tables!$B$91:$B$94,MAX(1,MIN(IFERROR(MATCH(P155,Tables!$A$91:$A$94,1),1),ROWS(Tables!$A$91:$A$94)-1))))/(INDEX(Tables!$A$91:$A$94,MAX(1,MIN(IFERROR(MATCH(P155,Tables!$A$91:$A$94,1),1),ROWS(Tables!$A$91:$A$94)-1))+1)-INDEX(Tables!$A$91:$A$94,MAX(1,MIN(IFERROR(MATCH(P155,Tables!$A$91:$A$94,1),1),ROWS(Tables!$A$91:$A$94)-1)))))</f>
        <v>1</v>
      </c>
      <c r="AP155" s="181">
        <f>IF(AD155=5000,(INDEX(Tables!$B$99:$B$118,MAX(1,MIN(IFERROR(MATCH(AF155,Tables!$A$99:$A$118,1),1),ROWS(Tables!$A$99:$A$118)-1)))+(AF155-INDEX(Tables!$A$99:$A$118,MAX(1,MIN(IFERROR(MATCH(AF155,Tables!$A$99:$A$118,1),1),ROWS(Tables!$A$99:$A$118)-1))))*(INDEX(Tables!$B$99:$B$118,MAX(1,MIN(IFERROR(MATCH(AF155,Tables!$A$99:$A$118,1),1),ROWS(Tables!$A$99:$A$118)-1))+1)-INDEX(Tables!$B$99:$B$118,MAX(1,MIN(IFERROR(MATCH(AF155,Tables!$A$99:$A$118,1),1),ROWS(Tables!$A$99:$A$118)-1))))/(INDEX(Tables!$A$99:$A$118,MAX(1,MIN(IFERROR(MATCH(AF155,Tables!$A$99:$A$118,1),1),ROWS(Tables!$A$99:$A$118)-1))+1)-INDEX(Tables!$A$99:$A$118,MAX(1,MIN(IFERROR(MATCH(AF155,Tables!$A$99:$A$118,1),1),ROWS(Tables!$A$99:$A$118)-1))))),IF(AD155=10000,(INDEX(Tables!$D$99:$D$118,MAX(1,MIN(IFERROR(MATCH(AF155,Tables!$C$99:$C$118,1),1),ROWS(Tables!$C$99:$C$118)-1)))+(AF155-INDEX(Tables!$C$99:$C$118,MAX(1,MIN(IFERROR(MATCH(AF155,Tables!$C$99:$C$118,1),1),ROWS(Tables!$C$99:$C$118)-1))))*(INDEX(Tables!$D$99:$D$118,MAX(1,MIN(IFERROR(MATCH(AF155,Tables!$C$99:$C$118,1),1),ROWS(Tables!$C$99:$C$118)-1))+1)-INDEX(Tables!$D$99:$D$118,MAX(1,MIN(IFERROR(MATCH(AF155,Tables!$C$99:$C$118,1),1),ROWS(Tables!$C$99:$C$118)-1))))/(INDEX(Tables!$C$99:$C$118,MAX(1,MIN(IFERROR(MATCH(AF155,Tables!$C$99:$C$118,1),1),ROWS(Tables!$C$99:$C$118)-1))+1)-INDEX(Tables!$C$99:$C$118,MAX(1,MIN(IFERROR(MATCH(AF155,Tables!$C$99:$C$118,1),1),ROWS(Tables!$C$99:$C$118)-1))))),(INDEX(Tables!$F$99:$F$118,MAX(1,MIN(IFERROR(MATCH(AF155,Tables!$E$99:$E$118,1),1),ROWS(Tables!$E$99:$E$118)-1)))+(AF155-INDEX(Tables!$E$99:$E$118,MAX(1,MIN(IFERROR(MATCH(AF155,Tables!$E$99:$E$118,1),1),ROWS(Tables!$E$99:$E$118)-1))))*(INDEX(Tables!$F$99:$F$118,MAX(1,MIN(IFERROR(MATCH(AF155,Tables!$E$99:$E$118,1),1),ROWS(Tables!$E$99:$E$118)-1))+1)-INDEX(Tables!$F$99:$F$118,MAX(1,MIN(IFERROR(MATCH(AF155,Tables!$E$99:$E$118,1),1),ROWS(Tables!$E$99:$E$118)-1))))/(INDEX(Tables!$E$99:$E$118,MAX(1,MIN(IFERROR(MATCH(AF155,Tables!$E$99:$E$118,1),1),ROWS(Tables!$E$99:$E$118)-1))+1)-INDEX(Tables!$E$99:$E$118,MAX(1,MIN(IFERROR(MATCH(AF155,Tables!$E$99:$E$118,1),1),ROWS(Tables!$E$99:$E$118)-1)))))))</f>
        <v>19.818999999999999</v>
      </c>
      <c r="AQ155" s="181">
        <f>IF(P155&lt;6,(INDEX(Tables!$B$123:$B$138,MAX(1,MIN(IFERROR(MATCH(U155,Tables!$A$123:$A$138,1),1),ROWS(Tables!$A$123:$A$138)-1)))+(U155-INDEX(Tables!$A$123:$A$138,MAX(1,MIN(IFERROR(MATCH(U155,Tables!$A$123:$A$138,1),1),ROWS(Tables!$A$123:$A$138)-1))))*(INDEX(Tables!$B$123:$B$138,MAX(1,MIN(IFERROR(MATCH(U155,Tables!$A$123:$A$138,1),1),ROWS(Tables!$A$123:$A$138)-1))+1)-INDEX(Tables!$B$123:$B$138,MAX(1,MIN(IFERROR(MATCH(U155,Tables!$A$123:$A$138,1),1),ROWS(Tables!$A$123:$A$138)-1))))/(INDEX(Tables!$A$123:$A$138,MAX(1,MIN(IFERROR(MATCH(U155,Tables!$A$123:$A$138,1),1),ROWS(Tables!$A$123:$A$138)-1))+1)-INDEX(Tables!$A$123:$A$138,MAX(1,MIN(IFERROR(MATCH(U155,Tables!$A$123:$A$138,1),1),ROWS(Tables!$A$123:$A$138)-1))))),IF(P155&lt;8,(INDEX(Tables!$D$123:$D$138,MAX(1,MIN(IFERROR(MATCH(U155,Tables!$C$123:$C$138,1),1),ROWS(Tables!$C$123:$C$138)-1)))+(U155-INDEX(Tables!$C$123:$C$138,MAX(1,MIN(IFERROR(MATCH(U155,Tables!$C$123:$C$138,1),1),ROWS(Tables!$C$123:$C$138)-1))))*(INDEX(Tables!$D$123:$D$138,MAX(1,MIN(IFERROR(MATCH(U155,Tables!$C$123:$C$138,1),1),ROWS(Tables!$C$123:$C$138)-1))+1)-INDEX(Tables!$D$123:$D$138,MAX(1,MIN(IFERROR(MATCH(U155,Tables!$C$123:$C$138,1),1),ROWS(Tables!$C$123:$C$138)-1))))/(INDEX(Tables!$C$123:$C$138,MAX(1,MIN(IFERROR(MATCH(U155,Tables!$C$123:$C$138,1),1),ROWS(Tables!$C$123:$C$138)-1))+1)-INDEX(Tables!$C$123:$C$138,MAX(1,MIN(IFERROR(MATCH(U155,Tables!$C$123:$C$138,1),1),ROWS(Tables!$C$123:$C$138)-1))))),IF(P155&lt;10,(INDEX(Tables!$F$123:$F$138,MAX(1,MIN(IFERROR(MATCH(U155,Tables!$E$123:$E$138,1),1),ROWS(Tables!$E$123:$E$138)-1)))+(U155-INDEX(Tables!$E$123:$E$138,MAX(1,MIN(IFERROR(MATCH(U155,Tables!$E$123:$E$138,1),1),ROWS(Tables!$E$123:$E$138)-1))))*(INDEX(Tables!$F$123:$F$138,MAX(1,MIN(IFERROR(MATCH(U155,Tables!$E$123:$E$138,1),1),ROWS(Tables!$E$123:$E$138)-1))+1)-INDEX(Tables!$F$123:$F$138,MAX(1,MIN(IFERROR(MATCH(U155,Tables!$E$123:$E$138,1),1),ROWS(Tables!$E$123:$E$138)-1))))/(INDEX(Tables!$E$123:$E$138,MAX(1,MIN(IFERROR(MATCH(U155,Tables!$E$123:$E$138,1),1),ROWS(Tables!$E$123:$E$138)-1))+1)-INDEX(Tables!$E$123:$E$138,MAX(1,MIN(IFERROR(MATCH(U155,Tables!$E$123:$E$138,1),1),ROWS(Tables!$E$123:$E$138)-1))))),(INDEX(Tables!$H$123:$H$138,MAX(1,MIN(IFERROR(MATCH(U155,Tables!$G$123:$G$138,1),1),ROWS(Tables!$G$123:$G$138)-1)))+(U155-INDEX(Tables!$G$123:$G$138,MAX(1,MIN(IFERROR(MATCH(U155,Tables!$G$123:$G$138,1),1),ROWS(Tables!$G$123:$G$138)-1))))*(INDEX(Tables!$H$123:$H$138,MAX(1,MIN(IFERROR(MATCH(U155,Tables!$G$123:$G$138,1),1),ROWS(Tables!$G$123:$G$138)-1))+1)-INDEX(Tables!$H$123:$H$138,MAX(1,MIN(IFERROR(MATCH(U155,Tables!$G$123:$G$138,1),1),ROWS(Tables!$G$123:$G$138)-1))))/(INDEX(Tables!$G$123:$G$138,MAX(1,MIN(IFERROR(MATCH(U155,Tables!$G$123:$G$138,1),1),ROWS(Tables!$G$123:$G$138)-1))+1)-INDEX(Tables!$G$123:$G$138,MAX(1,MIN(IFERROR(MATCH(U155,Tables!$G$123:$G$138,1),1),ROWS(Tables!$G$123:$G$138)-1))))))))</f>
        <v>0.46899999999999997</v>
      </c>
      <c r="AR155" s="181">
        <f>IF(OR(P155&gt;=4,U155&gt;12),VLOOKUP(R155&amp;" "&amp;S155,Tables!$D$143:$F$148,2,FALSE),VLOOKUP(R155&amp;" "&amp;S155,Tables!$A$143:$C$148,2,FALSE))</f>
        <v>1</v>
      </c>
      <c r="AS155" s="181">
        <f>IF(OR(P155&gt;=4,U155&gt;12),VLOOKUP(R155&amp;" "&amp;S155,Tables!$D$143:$F$148,3,FALSE),VLOOKUP(R155&amp;" "&amp;S155,Tables!$A$143:$C$148,3,FALSE))</f>
        <v>1</v>
      </c>
      <c r="AT155" s="181">
        <f t="shared" si="136"/>
        <v>645.4938194444444</v>
      </c>
      <c r="AU155" s="181">
        <f>IF(AD155=5000,(INDEX(Tables!$B$244:$B$263,MAX(1,MIN(IFERROR(MATCH(AF155,Tables!$A$244:$A$263,1),1),ROWS(Tables!$A$244:$A$263)-1)))+(AF155-INDEX(Tables!$A$244:$A$263,MAX(1,MIN(IFERROR(MATCH(AF155,Tables!$A$244:$A$263,1),1),ROWS(Tables!$A$244:$A$263)-1))))*(INDEX(Tables!$B$244:$B$263,MAX(1,MIN(IFERROR(MATCH(AF155,Tables!$A$244:$A$263,1),1),ROWS(Tables!$A$244:$A$263)-1))+1)-INDEX(Tables!$B$244:$B$263,MAX(1,MIN(IFERROR(MATCH(AF155,Tables!$A$244:$A$263,1),1),ROWS(Tables!$A$244:$A$263)-1))))/(INDEX(Tables!$A$244:$A$263,MAX(1,MIN(IFERROR(MATCH(AF155,Tables!$A$244:$A$263,1),1),ROWS(Tables!$A$244:$A$263)-1))+1)-INDEX(Tables!$A$244:$A$263,MAX(1,MIN(IFERROR(MATCH(AF155,Tables!$A$244:$A$263,1),1),ROWS(Tables!$A$244:$A$263)-1))))),IF(AD155=10000,(INDEX(Tables!$D$244:$D$263,MAX(1,MIN(IFERROR(MATCH(AF155,Tables!$C$244:$C$263,1),1),ROWS(Tables!$C$244:$C$263)-1)))+(AF155-INDEX(Tables!$C$244:$C$263,MAX(1,MIN(IFERROR(MATCH(AF155,Tables!$C$244:$C$263,1),1),ROWS(Tables!$C$244:$C$263)-1))))*(INDEX(Tables!$D$244:$D$263,MAX(1,MIN(IFERROR(MATCH(AF155,Tables!$C$244:$C$263,1),1),ROWS(Tables!$C$244:$C$263)-1))+1)-INDEX(Tables!$D$244:$D$263,MAX(1,MIN(IFERROR(MATCH(AF155,Tables!$C$244:$C$263,1),1),ROWS(Tables!$C$244:$C$263)-1))))/(INDEX(Tables!$C$244:$C$263,MAX(1,MIN(IFERROR(MATCH(AF155,Tables!$C$244:$C$263,1),1),ROWS(Tables!$C$244:$C$263)-1))+1)-INDEX(Tables!$C$244:$C$263,MAX(1,MIN(IFERROR(MATCH(AF155,Tables!$C$244:$C$263,1),1),ROWS(Tables!$C$244:$C$263)-1))))),(INDEX(Tables!$F$244:$F$263,MAX(1,MIN(IFERROR(MATCH(AF155,Tables!$E$244:$E$263,1),1),ROWS(Tables!$E$244:$E$263)-1)))+(AF155-INDEX(Tables!$E$244:$E$263,MAX(1,MIN(IFERROR(MATCH(AF155,Tables!$E$244:$E$263,1),1),ROWS(Tables!$E$244:$E$263)-1))))*(INDEX(Tables!$F$244:$F$263,MAX(1,MIN(IFERROR(MATCH(AF155,Tables!$E$244:$E$263,1),1),ROWS(Tables!$E$244:$E$263)-1))+1)-INDEX(Tables!$F$244:$F$263,MAX(1,MIN(IFERROR(MATCH(AF155,Tables!$E$244:$E$263,1),1),ROWS(Tables!$E$244:$E$263)-1))))/(INDEX(Tables!$E$244:$E$263,MAX(1,MIN(IFERROR(MATCH(AF155,Tables!$E$244:$E$263,1),1),ROWS(Tables!$E$244:$E$263)-1))+1)-INDEX(Tables!$E$244:$E$263,MAX(1,MIN(IFERROR(MATCH(AF155,Tables!$E$244:$E$263,1),1),ROWS(Tables!$E$244:$E$263)-1)))))))</f>
        <v>14.659000000000001</v>
      </c>
      <c r="AV155" s="181">
        <f>IF(P155&lt;6,(INDEX(Tables!$B$260:$B$274,MAX(1,MIN(IFERROR(MATCH(U155,Tables!$A$260:$A$274,1),1),ROWS(Tables!$A$260:$A$274)-1)))+(U155-INDEX(Tables!$A$260:$A$274,MAX(1,MIN(IFERROR(MATCH(U155,Tables!$A$260:$A$274,1),1),ROWS(Tables!$A$260:$A$274)-1))))*(INDEX(Tables!$B$260:$B$274,MAX(1,MIN(IFERROR(MATCH(U155,Tables!$A$260:$A$274,1),1),ROWS(Tables!$A$260:$A$274)-1))+1)-INDEX(Tables!$B$260:$B$274,MAX(1,MIN(IFERROR(MATCH(U155,Tables!$A$260:$A$274,1),1),ROWS(Tables!$A$260:$A$274)-1))))/(INDEX(Tables!$A$260:$A$274,MAX(1,MIN(IFERROR(MATCH(U155,Tables!$A$260:$A$274,1),1),ROWS(Tables!$A$260:$A$274)-1))+1)-INDEX(Tables!$A$260:$A$274,MAX(1,MIN(IFERROR(MATCH(U155,Tables!$A$260:$A$274,1),1),ROWS(Tables!$A$260:$A$274)-1))))),IF(P155&lt;8,(INDEX(Tables!$D$260:$D$274,MAX(1,MIN(IFERROR(MATCH(U155,Tables!$C$260:$C$274,1),1),ROWS(Tables!$C$260:$C$274)-1)))+(U155-INDEX(Tables!$C$260:$C$274,MAX(1,MIN(IFERROR(MATCH(U155,Tables!$C$260:$C$274,1),1),ROWS(Tables!$C$260:$C$274)-1))))*(INDEX(Tables!$D$260:$D$274,MAX(1,MIN(IFERROR(MATCH(U155,Tables!$C$260:$C$274,1),1),ROWS(Tables!$C$260:$C$274)-1))+1)-INDEX(Tables!$D$260:$D$274,MAX(1,MIN(IFERROR(MATCH(U155,Tables!$C$260:$C$274,1),1),ROWS(Tables!$C$260:$C$274)-1))))/(INDEX(Tables!$C$260:$C$274,MAX(1,MIN(IFERROR(MATCH(U155,Tables!$C$260:$C$274,1),1),ROWS(Tables!$C$260:$C$274)-1))+1)-INDEX(Tables!$C$260:$C$274,MAX(1,MIN(IFERROR(MATCH(U155,Tables!$C$260:$C$274,1),1),ROWS(Tables!$C$260:$C$274)-1))))),IF(P155&lt;10,(INDEX(Tables!$F$260:$F$274,MAX(1,MIN(IFERROR(MATCH(U155,Tables!$E$260:$E$274,1),1),ROWS(Tables!$E$260:$E$274)-1)))+(U155-INDEX(Tables!$E$260:$E$274,MAX(1,MIN(IFERROR(MATCH(U155,Tables!$E$260:$E$274,1),1),ROWS(Tables!$E$260:$E$274)-1))))*(INDEX(Tables!$F$260:$F$274,MAX(1,MIN(IFERROR(MATCH(U155,Tables!$E$260:$E$274,1),1),ROWS(Tables!$E$260:$E$274)-1))+1)-INDEX(Tables!$F$260:$F$274,MAX(1,MIN(IFERROR(MATCH(U155,Tables!$E$260:$E$274,1),1),ROWS(Tables!$E$260:$E$274)-1))))/(INDEX(Tables!$E$260:$E$274,MAX(1,MIN(IFERROR(MATCH(U155,Tables!$E$260:$E$274,1),1),ROWS(Tables!$E$260:$E$274)-1))+1)-INDEX(Tables!$E$260:$E$274,MAX(1,MIN(IFERROR(MATCH(U155,Tables!$E$260:$E$274,1),1),ROWS(Tables!$E$260:$E$274)-1))))),(INDEX(Tables!$H$260:$H$274,MAX(1,MIN(IFERROR(MATCH(U155,Tables!$G$260:$G$274,1),1),ROWS(Tables!$G$260:$G$274)-1)))+(U155-INDEX(Tables!$G$260:$G$274,MAX(1,MIN(IFERROR(MATCH(U155,Tables!$G$260:$G$274,1),1),ROWS(Tables!$G$260:$G$274)-1))))*(INDEX(Tables!$H$260:$H$274,MAX(1,MIN(IFERROR(MATCH(U155,Tables!$G$260:$G$274,1),1),ROWS(Tables!$G$260:$G$274)-1))+1)-INDEX(Tables!$H$260:$H$274,MAX(1,MIN(IFERROR(MATCH(U155,Tables!$G$260:$G$274,1),1),ROWS(Tables!$G$260:$G$274)-1))))/(INDEX(Tables!$G$260:$G$274,MAX(1,MIN(IFERROR(MATCH(U155,Tables!$G$260:$G$274,1),1),ROWS(Tables!$G$260:$G$274)-1))+1)-INDEX(Tables!$G$260:$G$274,MAX(1,MIN(IFERROR(MATCH(U155,Tables!$G$260:$G$274,1),1),ROWS(Tables!$G$260:$G$274)-1))))))))</f>
        <v>0.45700000000000002</v>
      </c>
      <c r="AW155" s="181">
        <f t="shared" si="137"/>
        <v>465.21965277777781</v>
      </c>
      <c r="AX155" s="181">
        <f t="shared" si="138"/>
        <v>38000</v>
      </c>
      <c r="AY155" s="181">
        <f t="shared" si="139"/>
        <v>68695.943523444454</v>
      </c>
      <c r="AZ155" s="181">
        <f t="shared" si="140"/>
        <v>20880.354563977777</v>
      </c>
      <c r="BA155" s="181">
        <f t="shared" si="141"/>
        <v>-800</v>
      </c>
      <c r="BB155" s="181">
        <f t="shared" si="142"/>
        <v>61587.557541171598</v>
      </c>
      <c r="BC155" s="181">
        <f t="shared" si="143"/>
        <v>46800</v>
      </c>
      <c r="BD155" s="181">
        <f>VLOOKUP(V155&amp;" "&amp;J155,Tables!$A$152:$E$239,4,FALSE)</f>
        <v>12000</v>
      </c>
      <c r="BE155" s="181">
        <f>VLOOKUP(V155&amp;" "&amp;J155,Tables!$A$152:$E$239,5,FALSE)</f>
        <v>23000</v>
      </c>
      <c r="BF155" s="181">
        <f t="shared" si="144"/>
        <v>8640</v>
      </c>
      <c r="BG155" s="181">
        <f t="shared" si="145"/>
        <v>16560</v>
      </c>
      <c r="BH155" s="181">
        <f t="shared" si="146"/>
        <v>38400</v>
      </c>
      <c r="BI155" s="181">
        <f t="shared" si="147"/>
        <v>46800</v>
      </c>
      <c r="BJ155" s="181">
        <f t="shared" si="148"/>
        <v>61587.557541171598</v>
      </c>
      <c r="BK155" s="181">
        <f t="shared" si="149"/>
        <v>46800</v>
      </c>
      <c r="BL155" s="181">
        <f t="shared" si="150"/>
        <v>465.21965277777781</v>
      </c>
      <c r="BM155" s="181">
        <f t="shared" si="151"/>
        <v>8640</v>
      </c>
      <c r="BN155" s="181">
        <f t="shared" si="152"/>
        <v>645.4938194444444</v>
      </c>
      <c r="BO155" s="181">
        <f t="shared" si="153"/>
        <v>16560</v>
      </c>
      <c r="BP155" t="str">
        <f t="shared" si="154"/>
        <v>Pass</v>
      </c>
      <c r="BQ155" t="str">
        <f t="shared" si="155"/>
        <v>Fail</v>
      </c>
      <c r="BR155" t="str">
        <f t="shared" si="156"/>
        <v>Pass</v>
      </c>
      <c r="BS155" t="str">
        <f t="shared" si="157"/>
        <v>Pass</v>
      </c>
      <c r="BT155" t="str">
        <f t="shared" si="158"/>
        <v>Fail</v>
      </c>
      <c r="BU155" t="str">
        <f t="shared" si="159"/>
        <v>Effective Stress</v>
      </c>
    </row>
    <row r="156" spans="1:73">
      <c r="A156" t="s">
        <v>748</v>
      </c>
      <c r="B156" s="181">
        <v>154</v>
      </c>
      <c r="C156" t="s">
        <v>594</v>
      </c>
      <c r="D156" s="181">
        <v>6</v>
      </c>
      <c r="E156" s="181">
        <v>0.86399999999999999</v>
      </c>
      <c r="F156" t="s">
        <v>117</v>
      </c>
      <c r="G156" t="s">
        <v>119</v>
      </c>
      <c r="H156" t="s">
        <v>122</v>
      </c>
      <c r="I156" s="181">
        <v>1</v>
      </c>
      <c r="J156" t="s">
        <v>126</v>
      </c>
      <c r="K156" t="s">
        <v>129</v>
      </c>
      <c r="L156" s="181">
        <v>70</v>
      </c>
      <c r="M156" s="181">
        <v>800</v>
      </c>
      <c r="N156" t="s">
        <v>388</v>
      </c>
      <c r="O156" s="181">
        <v>120</v>
      </c>
      <c r="P156" s="181">
        <v>1</v>
      </c>
      <c r="Q156" s="181">
        <v>8.625</v>
      </c>
      <c r="R156" t="s">
        <v>418</v>
      </c>
      <c r="S156" t="s">
        <v>420</v>
      </c>
      <c r="T156" s="181">
        <v>70</v>
      </c>
      <c r="U156" s="181">
        <f>HLOOKUP(D156,'Highway Loading'!$C$155:$AD$156,2,FALSE)</f>
        <v>6.625</v>
      </c>
      <c r="V156" s="181">
        <f>IF(ISBLANK(G156),"",INDEX('Highway Loading'!$C$216:$AG$216,1,MATCH(G156,'Highway Loading'!$C$215:$AG$215,0)))</f>
        <v>65000</v>
      </c>
      <c r="W156" s="181">
        <f>INDEX('Highway Loading'!$I$245:$L$253,MATCH(H156,'Highway Loading'!$H$245:$H$253,0),MATCH(I156,'Highway Loading'!$I$244:$L$244,0))</f>
        <v>0.72</v>
      </c>
      <c r="X156" s="181">
        <f t="shared" si="128"/>
        <v>1</v>
      </c>
      <c r="Y156" s="181">
        <f>VLOOKUP(K156,'Highway Loading'!$B$283:$E$292,2,FALSE)</f>
        <v>29000000</v>
      </c>
      <c r="Z156" s="181">
        <f>VLOOKUP(K156,'Highway Loading'!$B$283:$E$292,3,FALSE)</f>
        <v>0.3</v>
      </c>
      <c r="AA156" s="181">
        <f>VLOOKUP(K156,'Highway Loading'!$B$283:$E$292,4,FALSE)</f>
        <v>6.4999999999999996E-6</v>
      </c>
      <c r="AB156" s="181">
        <f t="shared" si="129"/>
        <v>1</v>
      </c>
      <c r="AC156" s="181">
        <f>VLOOKUP(N156,'Highway Loading'!$B$256:$D$261,2,FALSE)</f>
        <v>200</v>
      </c>
      <c r="AD156" s="181">
        <f>VLOOKUP(N156,'Highway Loading'!$B$256:$D$261,3,FALSE)</f>
        <v>5000</v>
      </c>
      <c r="AE156" s="181">
        <f>VLOOKUP(S156,'Highway Loading'!$B$340:$C$341,2,FALSE)</f>
        <v>12000</v>
      </c>
      <c r="AF156" s="181">
        <f t="shared" si="130"/>
        <v>0.13041509433962264</v>
      </c>
      <c r="AG156" s="181">
        <f t="shared" si="131"/>
        <v>1.3913043478260869</v>
      </c>
      <c r="AH156" s="181">
        <f t="shared" si="132"/>
        <v>1.3018867924528301</v>
      </c>
      <c r="AI156" s="181">
        <f t="shared" si="133"/>
        <v>3067.1296296296296</v>
      </c>
      <c r="AJ156" s="181">
        <f t="shared" si="134"/>
        <v>46800</v>
      </c>
      <c r="AK156" s="181">
        <f>IF(AC156=200,(INDEX(Tables!$B$17:$B$38,MAX(1,MIN(IFERROR(MATCH(AF156,Tables!$A$17:$A$38,1),1),ROWS(Tables!$A$17:$A$38)-1)))+(AF156-INDEX(Tables!$A$17:$A$38,MAX(1,MIN(IFERROR(MATCH(AF156,Tables!$A$17:$A$38,1),1),ROWS(Tables!$A$17:$A$38)-1))))*(INDEX(Tables!$B$17:$B$38,MAX(1,MIN(IFERROR(MATCH(AF156,Tables!$A$17:$A$38,1),1),ROWS(Tables!$A$17:$A$38)-1))+1)-INDEX(Tables!$B$17:$B$38,MAX(1,MIN(IFERROR(MATCH(AF156,Tables!$A$17:$A$38,1),1),ROWS(Tables!$A$17:$A$38)-1))))/(INDEX(Tables!$A$17:$A$38,MAX(1,MIN(IFERROR(MATCH(AF156,Tables!$A$17:$A$38,1),1),ROWS(Tables!$A$17:$A$38)-1))+1)-INDEX(Tables!$A$17:$A$38,MAX(1,MIN(IFERROR(MATCH(AF156,Tables!$A$17:$A$38,1),1),ROWS(Tables!$A$17:$A$38)-1))))),IF(AC156=500,(INDEX(Tables!$D$17:$D$38,MAX(1,MIN(IFERROR(MATCH(AF156,Tables!$C$17:$C$38,1),1),ROWS(Tables!$C$17:$C$38)-1)))+(AF156-INDEX(Tables!$C$17:$C$38,MAX(1,MIN(IFERROR(MATCH(AF156,Tables!$C$17:$C$38,1),1),ROWS(Tables!$C$17:$C$38)-1))))*(INDEX(Tables!$D$17:$D$38,MAX(1,MIN(IFERROR(MATCH(AF156,Tables!$C$17:$C$38,1),1),ROWS(Tables!$C$17:$C$38)-1))+1)-INDEX(Tables!$D$17:$D$38,MAX(1,MIN(IFERROR(MATCH(AF156,Tables!$C$17:$C$38,1),1),ROWS(Tables!$C$17:$C$38)-1))))/(INDEX(Tables!$C$17:$C$38,MAX(1,MIN(IFERROR(MATCH(AF156,Tables!$C$17:$C$38,1),1),ROWS(Tables!$C$17:$C$38)-1))+1)-INDEX(Tables!$C$17:$C$38,MAX(1,MIN(IFERROR(MATCH(AF156,Tables!$C$17:$C$38,1),1),ROWS(Tables!$C$17:$C$38)-1))))),IF(AC156=1000,(INDEX(Tables!$F$17:$F$38,MAX(1,MIN(IFERROR(MATCH(AF156,Tables!$E$17:$E$38,1),1),ROWS(Tables!$E$17:$E$38)-1)))+(AF156-INDEX(Tables!$E$17:$E$38,MAX(1,MIN(IFERROR(MATCH(AF156,Tables!$E$17:$E$38,1),1),ROWS(Tables!$E$17:$E$38)-1))))*(INDEX(Tables!$F$17:$F$38,MAX(1,MIN(IFERROR(MATCH(AF156,Tables!$E$17:$E$38,1),1),ROWS(Tables!$E$17:$E$38)-1))+1)-INDEX(Tables!$F$17:$F$38,MAX(1,MIN(IFERROR(MATCH(AF156,Tables!$E$17:$E$38,1),1),ROWS(Tables!$E$17:$E$38)-1))))/(INDEX(Tables!$E$17:$E$38,MAX(1,MIN(IFERROR(MATCH(AF156,Tables!$E$17:$E$38,1),1),ROWS(Tables!$E$17:$E$38)-1))+1)-INDEX(Tables!$E$17:$E$38,MAX(1,MIN(IFERROR(MATCH(AF156,Tables!$E$17:$E$38,1),1),ROWS(Tables!$E$17:$E$38)-1))))),(INDEX(Tables!$H$17:$H$38,MAX(1,MIN(IFERROR(MATCH(AF156,Tables!$G$17:$G$38,1),1),ROWS(Tables!$G$17:$G$38)-1)))+(AF156-INDEX(Tables!$G$17:$G$38,MAX(1,MIN(IFERROR(MATCH(AF156,Tables!$G$17:$G$38,1),1),ROWS(Tables!$G$17:$G$38)-1))))*(INDEX(Tables!$H$17:$H$38,MAX(1,MIN(IFERROR(MATCH(AF156,Tables!$G$17:$G$38,1),1),ROWS(Tables!$G$17:$G$38)-1))+1)-INDEX(Tables!$H$17:$H$38,MAX(1,MIN(IFERROR(MATCH(AF156,Tables!$G$17:$G$38,1),1),ROWS(Tables!$G$17:$G$38)-1))))/(INDEX(Tables!$G$17:$G$38,MAX(1,MIN(IFERROR(MATCH(AF156,Tables!$G$17:$G$38,1),1),ROWS(Tables!$G$17:$G$38)-1))+1)-INDEX(Tables!$G$17:$G$38,MAX(1,MIN(IFERROR(MATCH(AF156,Tables!$G$17:$G$38,1),1),ROWS(Tables!$G$17:$G$38)-1))))))))</f>
        <v>88</v>
      </c>
      <c r="AL156" s="181">
        <f>IF(AC156&lt;1000,(INDEX(Tables!$B$43:$B$76,MAX(1,MIN(IFERROR(MATCH(AG156,Tables!$A$43:$A$76,1),1),ROWS(Tables!$A$43:$A$76)-1)))+(AG156-INDEX(Tables!$A$43:$A$76,MAX(1,MIN(IFERROR(MATCH(AG156,Tables!$A$43:$A$76,1),1),ROWS(Tables!$A$43:$A$76)-1))))*(INDEX(Tables!$B$43:$B$76,MAX(1,MIN(IFERROR(MATCH(AG156,Tables!$A$43:$A$76,1),1),ROWS(Tables!$A$43:$A$76)-1))+1)-INDEX(Tables!$B$43:$B$76,MAX(1,MIN(IFERROR(MATCH(AG156,Tables!$A$43:$A$76,1),1),ROWS(Tables!$A$43:$A$76)-1))))/(INDEX(Tables!$A$43:$A$76,MAX(1,MIN(IFERROR(MATCH(AG156,Tables!$A$43:$A$76,1),1),ROWS(Tables!$A$43:$A$76)-1))+1)-INDEX(Tables!$A$43:$A$76,MAX(1,MIN(IFERROR(MATCH(AG156,Tables!$A$43:$A$76,1),1),ROWS(Tables!$A$43:$A$76)-1))))),(INDEX(Tables!$D$43:$D$76,MAX(1,MIN(IFERROR(MATCH(AG156,Tables!$C$43:$C$76,1),1),ROWS(Tables!$C$43:$C$76)-1)))+(AG156-INDEX(Tables!$C$43:$C$76,MAX(1,MIN(IFERROR(MATCH(AG156,Tables!$C$43:$C$76,1),1),ROWS(Tables!$C$43:$C$76)-1))))*(INDEX(Tables!$D$43:$D$76,MAX(1,MIN(IFERROR(MATCH(AG156,Tables!$C$43:$C$76,1),1),ROWS(Tables!$C$43:$C$76)-1))+1)-INDEX(Tables!$D$43:$D$76,MAX(1,MIN(IFERROR(MATCH(AG156,Tables!$C$43:$C$76,1),1),ROWS(Tables!$C$43:$C$76)-1))))/(INDEX(Tables!$C$43:$C$76,MAX(1,MIN(IFERROR(MATCH(AG156,Tables!$C$43:$C$76,1),1),ROWS(Tables!$C$43:$C$76)-1))+1)-INDEX(Tables!$C$43:$C$76,MAX(1,MIN(IFERROR(MATCH(AG156,Tables!$C$43:$C$76,1),1),ROWS(Tables!$C$43:$C$76)-1))))))</f>
        <v>0.44739130434782609</v>
      </c>
      <c r="AM156" s="181">
        <f>(INDEX(Tables!$B$80:$B$87,MAX(1,MIN(IFERROR(MATCH(AH156,Tables!$A$80:$A$87,1),1),ROWS(Tables!$A$80:$A$87)-1)))+(AH156-INDEX(Tables!$A$80:$A$87,MAX(1,MIN(IFERROR(MATCH(AH156,Tables!$A$80:$A$87,1),1),ROWS(Tables!$A$80:$A$87)-1))))*(INDEX(Tables!$B$80:$B$87,MAX(1,MIN(IFERROR(MATCH(AH156,Tables!$A$80:$A$87,1),1),ROWS(Tables!$A$80:$A$87)-1))+1)-INDEX(Tables!$B$80:$B$87,MAX(1,MIN(IFERROR(MATCH(AH156,Tables!$A$80:$A$87,1),1),ROWS(Tables!$A$80:$A$87)-1))))/(INDEX(Tables!$A$80:$A$87,MAX(1,MIN(IFERROR(MATCH(AH156,Tables!$A$80:$A$87,1),1),ROWS(Tables!$A$80:$A$87)-1))+1)-INDEX(Tables!$A$80:$A$87,MAX(1,MIN(IFERROR(MATCH(AH156,Tables!$A$80:$A$87,1),1),ROWS(Tables!$A$80:$A$87)-1)))))</f>
        <v>1.403996226415094</v>
      </c>
      <c r="AN156" s="181">
        <f t="shared" si="135"/>
        <v>25.430771865942024</v>
      </c>
      <c r="AO156" s="181">
        <f>(INDEX(Tables!$B$91:$B$94,MAX(1,MIN(IFERROR(MATCH(P156,Tables!$A$91:$A$94,1),1),ROWS(Tables!$A$91:$A$94)-1)))+(P156-INDEX(Tables!$A$91:$A$94,MAX(1,MIN(IFERROR(MATCH(P156,Tables!$A$91:$A$94,1),1),ROWS(Tables!$A$91:$A$94)-1))))*(INDEX(Tables!$B$91:$B$94,MAX(1,MIN(IFERROR(MATCH(P156,Tables!$A$91:$A$94,1),1),ROWS(Tables!$A$91:$A$94)-1))+1)-INDEX(Tables!$B$91:$B$94,MAX(1,MIN(IFERROR(MATCH(P156,Tables!$A$91:$A$94,1),1),ROWS(Tables!$A$91:$A$94)-1))))/(INDEX(Tables!$A$91:$A$94,MAX(1,MIN(IFERROR(MATCH(P156,Tables!$A$91:$A$94,1),1),ROWS(Tables!$A$91:$A$94)-1))+1)-INDEX(Tables!$A$91:$A$94,MAX(1,MIN(IFERROR(MATCH(P156,Tables!$A$91:$A$94,1),1),ROWS(Tables!$A$91:$A$94)-1)))))</f>
        <v>1.5</v>
      </c>
      <c r="AP156" s="181">
        <f>IF(AD156=5000,(INDEX(Tables!$B$99:$B$118,MAX(1,MIN(IFERROR(MATCH(AF156,Tables!$A$99:$A$118,1),1),ROWS(Tables!$A$99:$A$118)-1)))+(AF156-INDEX(Tables!$A$99:$A$118,MAX(1,MIN(IFERROR(MATCH(AF156,Tables!$A$99:$A$118,1),1),ROWS(Tables!$A$99:$A$118)-1))))*(INDEX(Tables!$B$99:$B$118,MAX(1,MIN(IFERROR(MATCH(AF156,Tables!$A$99:$A$118,1),1),ROWS(Tables!$A$99:$A$118)-1))+1)-INDEX(Tables!$B$99:$B$118,MAX(1,MIN(IFERROR(MATCH(AF156,Tables!$A$99:$A$118,1),1),ROWS(Tables!$A$99:$A$118)-1))))/(INDEX(Tables!$A$99:$A$118,MAX(1,MIN(IFERROR(MATCH(AF156,Tables!$A$99:$A$118,1),1),ROWS(Tables!$A$99:$A$118)-1))+1)-INDEX(Tables!$A$99:$A$118,MAX(1,MIN(IFERROR(MATCH(AF156,Tables!$A$99:$A$118,1),1),ROWS(Tables!$A$99:$A$118)-1))))),IF(AD156=10000,(INDEX(Tables!$D$99:$D$118,MAX(1,MIN(IFERROR(MATCH(AF156,Tables!$C$99:$C$118,1),1),ROWS(Tables!$C$99:$C$118)-1)))+(AF156-INDEX(Tables!$C$99:$C$118,MAX(1,MIN(IFERROR(MATCH(AF156,Tables!$C$99:$C$118,1),1),ROWS(Tables!$C$99:$C$118)-1))))*(INDEX(Tables!$D$99:$D$118,MAX(1,MIN(IFERROR(MATCH(AF156,Tables!$C$99:$C$118,1),1),ROWS(Tables!$C$99:$C$118)-1))+1)-INDEX(Tables!$D$99:$D$118,MAX(1,MIN(IFERROR(MATCH(AF156,Tables!$C$99:$C$118,1),1),ROWS(Tables!$C$99:$C$118)-1))))/(INDEX(Tables!$C$99:$C$118,MAX(1,MIN(IFERROR(MATCH(AF156,Tables!$C$99:$C$118,1),1),ROWS(Tables!$C$99:$C$118)-1))+1)-INDEX(Tables!$C$99:$C$118,MAX(1,MIN(IFERROR(MATCH(AF156,Tables!$C$99:$C$118,1),1),ROWS(Tables!$C$99:$C$118)-1))))),(INDEX(Tables!$F$99:$F$118,MAX(1,MIN(IFERROR(MATCH(AF156,Tables!$E$99:$E$118,1),1),ROWS(Tables!$E$99:$E$118)-1)))+(AF156-INDEX(Tables!$E$99:$E$118,MAX(1,MIN(IFERROR(MATCH(AF156,Tables!$E$99:$E$118,1),1),ROWS(Tables!$E$99:$E$118)-1))))*(INDEX(Tables!$F$99:$F$118,MAX(1,MIN(IFERROR(MATCH(AF156,Tables!$E$99:$E$118,1),1),ROWS(Tables!$E$99:$E$118)-1))+1)-INDEX(Tables!$F$99:$F$118,MAX(1,MIN(IFERROR(MATCH(AF156,Tables!$E$99:$E$118,1),1),ROWS(Tables!$E$99:$E$118)-1))))/(INDEX(Tables!$E$99:$E$118,MAX(1,MIN(IFERROR(MATCH(AF156,Tables!$E$99:$E$118,1),1),ROWS(Tables!$E$99:$E$118)-1))+1)-INDEX(Tables!$E$99:$E$118,MAX(1,MIN(IFERROR(MATCH(AF156,Tables!$E$99:$E$118,1),1),ROWS(Tables!$E$99:$E$118)-1)))))))</f>
        <v>1.9059999999999999</v>
      </c>
      <c r="AQ156" s="181">
        <f>IF(P156&lt;6,(INDEX(Tables!$B$123:$B$138,MAX(1,MIN(IFERROR(MATCH(U156,Tables!$A$123:$A$138,1),1),ROWS(Tables!$A$123:$A$138)-1)))+(U156-INDEX(Tables!$A$123:$A$138,MAX(1,MIN(IFERROR(MATCH(U156,Tables!$A$123:$A$138,1),1),ROWS(Tables!$A$123:$A$138)-1))))*(INDEX(Tables!$B$123:$B$138,MAX(1,MIN(IFERROR(MATCH(U156,Tables!$A$123:$A$138,1),1),ROWS(Tables!$A$123:$A$138)-1))+1)-INDEX(Tables!$B$123:$B$138,MAX(1,MIN(IFERROR(MATCH(U156,Tables!$A$123:$A$138,1),1),ROWS(Tables!$A$123:$A$138)-1))))/(INDEX(Tables!$A$123:$A$138,MAX(1,MIN(IFERROR(MATCH(U156,Tables!$A$123:$A$138,1),1),ROWS(Tables!$A$123:$A$138)-1))+1)-INDEX(Tables!$A$123:$A$138,MAX(1,MIN(IFERROR(MATCH(U156,Tables!$A$123:$A$138,1),1),ROWS(Tables!$A$123:$A$138)-1))))),IF(P156&lt;8,(INDEX(Tables!$D$123:$D$138,MAX(1,MIN(IFERROR(MATCH(U156,Tables!$C$123:$C$138,1),1),ROWS(Tables!$C$123:$C$138)-1)))+(U156-INDEX(Tables!$C$123:$C$138,MAX(1,MIN(IFERROR(MATCH(U156,Tables!$C$123:$C$138,1),1),ROWS(Tables!$C$123:$C$138)-1))))*(INDEX(Tables!$D$123:$D$138,MAX(1,MIN(IFERROR(MATCH(U156,Tables!$C$123:$C$138,1),1),ROWS(Tables!$C$123:$C$138)-1))+1)-INDEX(Tables!$D$123:$D$138,MAX(1,MIN(IFERROR(MATCH(U156,Tables!$C$123:$C$138,1),1),ROWS(Tables!$C$123:$C$138)-1))))/(INDEX(Tables!$C$123:$C$138,MAX(1,MIN(IFERROR(MATCH(U156,Tables!$C$123:$C$138,1),1),ROWS(Tables!$C$123:$C$138)-1))+1)-INDEX(Tables!$C$123:$C$138,MAX(1,MIN(IFERROR(MATCH(U156,Tables!$C$123:$C$138,1),1),ROWS(Tables!$C$123:$C$138)-1))))),IF(P156&lt;10,(INDEX(Tables!$F$123:$F$138,MAX(1,MIN(IFERROR(MATCH(U156,Tables!$E$123:$E$138,1),1),ROWS(Tables!$E$123:$E$138)-1)))+(U156-INDEX(Tables!$E$123:$E$138,MAX(1,MIN(IFERROR(MATCH(U156,Tables!$E$123:$E$138,1),1),ROWS(Tables!$E$123:$E$138)-1))))*(INDEX(Tables!$F$123:$F$138,MAX(1,MIN(IFERROR(MATCH(U156,Tables!$E$123:$E$138,1),1),ROWS(Tables!$E$123:$E$138)-1))+1)-INDEX(Tables!$F$123:$F$138,MAX(1,MIN(IFERROR(MATCH(U156,Tables!$E$123:$E$138,1),1),ROWS(Tables!$E$123:$E$138)-1))))/(INDEX(Tables!$E$123:$E$138,MAX(1,MIN(IFERROR(MATCH(U156,Tables!$E$123:$E$138,1),1),ROWS(Tables!$E$123:$E$138)-1))+1)-INDEX(Tables!$E$123:$E$138,MAX(1,MIN(IFERROR(MATCH(U156,Tables!$E$123:$E$138,1),1),ROWS(Tables!$E$123:$E$138)-1))))),(INDEX(Tables!$H$123:$H$138,MAX(1,MIN(IFERROR(MATCH(U156,Tables!$G$123:$G$138,1),1),ROWS(Tables!$G$123:$G$138)-1)))+(U156-INDEX(Tables!$G$123:$G$138,MAX(1,MIN(IFERROR(MATCH(U156,Tables!$G$123:$G$138,1),1),ROWS(Tables!$G$123:$G$138)-1))))*(INDEX(Tables!$H$123:$H$138,MAX(1,MIN(IFERROR(MATCH(U156,Tables!$G$123:$G$138,1),1),ROWS(Tables!$G$123:$G$138)-1))+1)-INDEX(Tables!$H$123:$H$138,MAX(1,MIN(IFERROR(MATCH(U156,Tables!$G$123:$G$138,1),1),ROWS(Tables!$G$123:$G$138)-1))))/(INDEX(Tables!$G$123:$G$138,MAX(1,MIN(IFERROR(MATCH(U156,Tables!$G$123:$G$138,1),1),ROWS(Tables!$G$123:$G$138)-1))+1)-INDEX(Tables!$G$123:$G$138,MAX(1,MIN(IFERROR(MATCH(U156,Tables!$G$123:$G$138,1),1),ROWS(Tables!$G$123:$G$138)-1))))))))</f>
        <v>1.4501250000000001</v>
      </c>
      <c r="AR156" s="181">
        <f>IF(OR(P156&gt;=4,U156&gt;12),VLOOKUP(R156&amp;" "&amp;S156,Tables!$D$143:$F$148,2,FALSE),VLOOKUP(R156&amp;" "&amp;S156,Tables!$A$143:$C$148,2,FALSE))</f>
        <v>0.9</v>
      </c>
      <c r="AS156" s="181">
        <f>IF(OR(P156&gt;=4,U156&gt;12),VLOOKUP(R156&amp;" "&amp;S156,Tables!$D$143:$F$148,3,FALSE),VLOOKUP(R156&amp;" "&amp;S156,Tables!$A$143:$C$148,3,FALSE))</f>
        <v>0.65</v>
      </c>
      <c r="AT156" s="181">
        <f t="shared" si="136"/>
        <v>202.11298453125005</v>
      </c>
      <c r="AU156" s="181">
        <f>IF(AD156=5000,(INDEX(Tables!$B$244:$B$263,MAX(1,MIN(IFERROR(MATCH(AF156,Tables!$A$244:$A$263,1),1),ROWS(Tables!$A$244:$A$263)-1)))+(AF156-INDEX(Tables!$A$244:$A$263,MAX(1,MIN(IFERROR(MATCH(AF156,Tables!$A$244:$A$263,1),1),ROWS(Tables!$A$244:$A$263)-1))))*(INDEX(Tables!$B$244:$B$263,MAX(1,MIN(IFERROR(MATCH(AF156,Tables!$A$244:$A$263,1),1),ROWS(Tables!$A$244:$A$263)-1))+1)-INDEX(Tables!$B$244:$B$263,MAX(1,MIN(IFERROR(MATCH(AF156,Tables!$A$244:$A$263,1),1),ROWS(Tables!$A$244:$A$263)-1))))/(INDEX(Tables!$A$244:$A$263,MAX(1,MIN(IFERROR(MATCH(AF156,Tables!$A$244:$A$263,1),1),ROWS(Tables!$A$244:$A$263)-1))+1)-INDEX(Tables!$A$244:$A$263,MAX(1,MIN(IFERROR(MATCH(AF156,Tables!$A$244:$A$263,1),1),ROWS(Tables!$A$244:$A$263)-1))))),IF(AD156=10000,(INDEX(Tables!$D$244:$D$263,MAX(1,MIN(IFERROR(MATCH(AF156,Tables!$C$244:$C$263,1),1),ROWS(Tables!$C$244:$C$263)-1)))+(AF156-INDEX(Tables!$C$244:$C$263,MAX(1,MIN(IFERROR(MATCH(AF156,Tables!$C$244:$C$263,1),1),ROWS(Tables!$C$244:$C$263)-1))))*(INDEX(Tables!$D$244:$D$263,MAX(1,MIN(IFERROR(MATCH(AF156,Tables!$C$244:$C$263,1),1),ROWS(Tables!$C$244:$C$263)-1))+1)-INDEX(Tables!$D$244:$D$263,MAX(1,MIN(IFERROR(MATCH(AF156,Tables!$C$244:$C$263,1),1),ROWS(Tables!$C$244:$C$263)-1))))/(INDEX(Tables!$C$244:$C$263,MAX(1,MIN(IFERROR(MATCH(AF156,Tables!$C$244:$C$263,1),1),ROWS(Tables!$C$244:$C$263)-1))+1)-INDEX(Tables!$C$244:$C$263,MAX(1,MIN(IFERROR(MATCH(AF156,Tables!$C$244:$C$263,1),1),ROWS(Tables!$C$244:$C$263)-1))))),(INDEX(Tables!$F$244:$F$263,MAX(1,MIN(IFERROR(MATCH(AF156,Tables!$E$244:$E$263,1),1),ROWS(Tables!$E$244:$E$263)-1)))+(AF156-INDEX(Tables!$E$244:$E$263,MAX(1,MIN(IFERROR(MATCH(AF156,Tables!$E$244:$E$263,1),1),ROWS(Tables!$E$244:$E$263)-1))))*(INDEX(Tables!$F$244:$F$263,MAX(1,MIN(IFERROR(MATCH(AF156,Tables!$E$244:$E$263,1),1),ROWS(Tables!$E$244:$E$263)-1))+1)-INDEX(Tables!$F$244:$F$263,MAX(1,MIN(IFERROR(MATCH(AF156,Tables!$E$244:$E$263,1),1),ROWS(Tables!$E$244:$E$263)-1))))/(INDEX(Tables!$E$244:$E$263,MAX(1,MIN(IFERROR(MATCH(AF156,Tables!$E$244:$E$263,1),1),ROWS(Tables!$E$244:$E$263)-1))+1)-INDEX(Tables!$E$244:$E$263,MAX(1,MIN(IFERROR(MATCH(AF156,Tables!$E$244:$E$263,1),1),ROWS(Tables!$E$244:$E$263)-1)))))))</f>
        <v>2.5920000000000001</v>
      </c>
      <c r="AV156" s="181">
        <f>IF(P156&lt;6,(INDEX(Tables!$B$260:$B$274,MAX(1,MIN(IFERROR(MATCH(U156,Tables!$A$260:$A$274,1),1),ROWS(Tables!$A$260:$A$274)-1)))+(U156-INDEX(Tables!$A$260:$A$274,MAX(1,MIN(IFERROR(MATCH(U156,Tables!$A$260:$A$274,1),1),ROWS(Tables!$A$260:$A$274)-1))))*(INDEX(Tables!$B$260:$B$274,MAX(1,MIN(IFERROR(MATCH(U156,Tables!$A$260:$A$274,1),1),ROWS(Tables!$A$260:$A$274)-1))+1)-INDEX(Tables!$B$260:$B$274,MAX(1,MIN(IFERROR(MATCH(U156,Tables!$A$260:$A$274,1),1),ROWS(Tables!$A$260:$A$274)-1))))/(INDEX(Tables!$A$260:$A$274,MAX(1,MIN(IFERROR(MATCH(U156,Tables!$A$260:$A$274,1),1),ROWS(Tables!$A$260:$A$274)-1))+1)-INDEX(Tables!$A$260:$A$274,MAX(1,MIN(IFERROR(MATCH(U156,Tables!$A$260:$A$274,1),1),ROWS(Tables!$A$260:$A$274)-1))))),IF(P156&lt;8,(INDEX(Tables!$D$260:$D$274,MAX(1,MIN(IFERROR(MATCH(U156,Tables!$C$260:$C$274,1),1),ROWS(Tables!$C$260:$C$274)-1)))+(U156-INDEX(Tables!$C$260:$C$274,MAX(1,MIN(IFERROR(MATCH(U156,Tables!$C$260:$C$274,1),1),ROWS(Tables!$C$260:$C$274)-1))))*(INDEX(Tables!$D$260:$D$274,MAX(1,MIN(IFERROR(MATCH(U156,Tables!$C$260:$C$274,1),1),ROWS(Tables!$C$260:$C$274)-1))+1)-INDEX(Tables!$D$260:$D$274,MAX(1,MIN(IFERROR(MATCH(U156,Tables!$C$260:$C$274,1),1),ROWS(Tables!$C$260:$C$274)-1))))/(INDEX(Tables!$C$260:$C$274,MAX(1,MIN(IFERROR(MATCH(U156,Tables!$C$260:$C$274,1),1),ROWS(Tables!$C$260:$C$274)-1))+1)-INDEX(Tables!$C$260:$C$274,MAX(1,MIN(IFERROR(MATCH(U156,Tables!$C$260:$C$274,1),1),ROWS(Tables!$C$260:$C$274)-1))))),IF(P156&lt;10,(INDEX(Tables!$F$260:$F$274,MAX(1,MIN(IFERROR(MATCH(U156,Tables!$E$260:$E$274,1),1),ROWS(Tables!$E$260:$E$274)-1)))+(U156-INDEX(Tables!$E$260:$E$274,MAX(1,MIN(IFERROR(MATCH(U156,Tables!$E$260:$E$274,1),1),ROWS(Tables!$E$260:$E$274)-1))))*(INDEX(Tables!$F$260:$F$274,MAX(1,MIN(IFERROR(MATCH(U156,Tables!$E$260:$E$274,1),1),ROWS(Tables!$E$260:$E$274)-1))+1)-INDEX(Tables!$F$260:$F$274,MAX(1,MIN(IFERROR(MATCH(U156,Tables!$E$260:$E$274,1),1),ROWS(Tables!$E$260:$E$274)-1))))/(INDEX(Tables!$E$260:$E$274,MAX(1,MIN(IFERROR(MATCH(U156,Tables!$E$260:$E$274,1),1),ROWS(Tables!$E$260:$E$274)-1))+1)-INDEX(Tables!$E$260:$E$274,MAX(1,MIN(IFERROR(MATCH(U156,Tables!$E$260:$E$274,1),1),ROWS(Tables!$E$260:$E$274)-1))))),(INDEX(Tables!$H$260:$H$274,MAX(1,MIN(IFERROR(MATCH(U156,Tables!$G$260:$G$274,1),1),ROWS(Tables!$G$260:$G$274)-1)))+(U156-INDEX(Tables!$G$260:$G$274,MAX(1,MIN(IFERROR(MATCH(U156,Tables!$G$260:$G$274,1),1),ROWS(Tables!$G$260:$G$274)-1))))*(INDEX(Tables!$H$260:$H$274,MAX(1,MIN(IFERROR(MATCH(U156,Tables!$G$260:$G$274,1),1),ROWS(Tables!$G$260:$G$274)-1))+1)-INDEX(Tables!$H$260:$H$274,MAX(1,MIN(IFERROR(MATCH(U156,Tables!$G$260:$G$274,1),1),ROWS(Tables!$G$260:$G$274)-1))))/(INDEX(Tables!$G$260:$G$274,MAX(1,MIN(IFERROR(MATCH(U156,Tables!$G$260:$G$274,1),1),ROWS(Tables!$G$260:$G$274)-1))+1)-INDEX(Tables!$G$260:$G$274,MAX(1,MIN(IFERROR(MATCH(U156,Tables!$G$260:$G$274,1),1),ROWS(Tables!$G$260:$G$274)-1))))))))</f>
        <v>1.4965000000000002</v>
      </c>
      <c r="AW156" s="181">
        <f t="shared" si="137"/>
        <v>283.64661000000007</v>
      </c>
      <c r="AX156" s="181">
        <f t="shared" si="138"/>
        <v>2667.1296296296296</v>
      </c>
      <c r="AY156" s="181">
        <f t="shared" si="139"/>
        <v>2894.6733860268218</v>
      </c>
      <c r="AZ156" s="181">
        <f t="shared" si="140"/>
        <v>1091.4147304486714</v>
      </c>
      <c r="BA156" s="181">
        <f t="shared" si="141"/>
        <v>-800</v>
      </c>
      <c r="BB156" s="181">
        <f t="shared" si="142"/>
        <v>3199.9846008137788</v>
      </c>
      <c r="BC156" s="181">
        <f t="shared" si="143"/>
        <v>46800</v>
      </c>
      <c r="BD156" s="181">
        <f>VLOOKUP(V156&amp;" "&amp;J156,Tables!$A$152:$E$239,4,FALSE)</f>
        <v>12000</v>
      </c>
      <c r="BE156" s="181">
        <f>VLOOKUP(V156&amp;" "&amp;J156,Tables!$A$152:$E$239,5,FALSE)</f>
        <v>23000</v>
      </c>
      <c r="BF156" s="181">
        <f t="shared" si="144"/>
        <v>8640</v>
      </c>
      <c r="BG156" s="181">
        <f t="shared" si="145"/>
        <v>16560</v>
      </c>
      <c r="BH156" s="181">
        <f t="shared" si="146"/>
        <v>3067.1296296296296</v>
      </c>
      <c r="BI156" s="181">
        <f t="shared" si="147"/>
        <v>46800</v>
      </c>
      <c r="BJ156" s="181">
        <f t="shared" si="148"/>
        <v>3199.9846008137788</v>
      </c>
      <c r="BK156" s="181">
        <f t="shared" si="149"/>
        <v>46800</v>
      </c>
      <c r="BL156" s="181">
        <f t="shared" si="150"/>
        <v>283.64661000000007</v>
      </c>
      <c r="BM156" s="181">
        <f t="shared" si="151"/>
        <v>8640</v>
      </c>
      <c r="BN156" s="181">
        <f t="shared" si="152"/>
        <v>202.11298453125005</v>
      </c>
      <c r="BO156" s="181">
        <f t="shared" si="153"/>
        <v>16560</v>
      </c>
      <c r="BP156" t="str">
        <f t="shared" si="154"/>
        <v>Pass</v>
      </c>
      <c r="BQ156" t="str">
        <f t="shared" si="155"/>
        <v>Pass</v>
      </c>
      <c r="BR156" t="str">
        <f t="shared" si="156"/>
        <v>Pass</v>
      </c>
      <c r="BS156" t="str">
        <f t="shared" si="157"/>
        <v>Pass</v>
      </c>
      <c r="BT156" t="str">
        <f t="shared" si="158"/>
        <v>Pass</v>
      </c>
      <c r="BU156" t="str">
        <f t="shared" si="159"/>
        <v>Effective Stress</v>
      </c>
    </row>
    <row r="157" spans="1:73">
      <c r="A157" t="s">
        <v>749</v>
      </c>
      <c r="B157" s="181">
        <v>155</v>
      </c>
      <c r="C157" t="s">
        <v>594</v>
      </c>
      <c r="D157" s="181">
        <v>8</v>
      </c>
      <c r="E157" s="181">
        <v>0.90600000000000003</v>
      </c>
      <c r="F157" t="s">
        <v>117</v>
      </c>
      <c r="G157" t="s">
        <v>119</v>
      </c>
      <c r="H157" t="s">
        <v>122</v>
      </c>
      <c r="I157" s="181">
        <v>1</v>
      </c>
      <c r="J157" t="s">
        <v>126</v>
      </c>
      <c r="K157" t="s">
        <v>129</v>
      </c>
      <c r="L157" s="181">
        <v>70</v>
      </c>
      <c r="M157" s="181">
        <v>800</v>
      </c>
      <c r="N157" t="s">
        <v>389</v>
      </c>
      <c r="O157" s="181">
        <v>120</v>
      </c>
      <c r="P157" s="181">
        <v>3</v>
      </c>
      <c r="Q157" s="181">
        <v>10.625</v>
      </c>
      <c r="R157" t="s">
        <v>418</v>
      </c>
      <c r="S157" t="s">
        <v>420</v>
      </c>
      <c r="T157" s="181">
        <v>70</v>
      </c>
      <c r="U157" s="181">
        <f>HLOOKUP(D157,'Highway Loading'!$C$155:$AD$156,2,FALSE)</f>
        <v>8.625</v>
      </c>
      <c r="V157" s="181">
        <f>IF(ISBLANK(G157),"",INDEX('Highway Loading'!$C$216:$AG$216,1,MATCH(G157,'Highway Loading'!$C$215:$AG$215,0)))</f>
        <v>65000</v>
      </c>
      <c r="W157" s="181">
        <f>INDEX('Highway Loading'!$I$245:$L$253,MATCH(H157,'Highway Loading'!$H$245:$H$253,0),MATCH(I157,'Highway Loading'!$I$244:$L$244,0))</f>
        <v>0.72</v>
      </c>
      <c r="X157" s="181">
        <f t="shared" si="128"/>
        <v>1</v>
      </c>
      <c r="Y157" s="181">
        <f>VLOOKUP(K157,'Highway Loading'!$B$283:$E$292,2,FALSE)</f>
        <v>29000000</v>
      </c>
      <c r="Z157" s="181">
        <f>VLOOKUP(K157,'Highway Loading'!$B$283:$E$292,3,FALSE)</f>
        <v>0.3</v>
      </c>
      <c r="AA157" s="181">
        <f>VLOOKUP(K157,'Highway Loading'!$B$283:$E$292,4,FALSE)</f>
        <v>6.4999999999999996E-6</v>
      </c>
      <c r="AB157" s="181">
        <f t="shared" si="129"/>
        <v>1</v>
      </c>
      <c r="AC157" s="181">
        <f>VLOOKUP(N157,'Highway Loading'!$B$256:$D$261,2,FALSE)</f>
        <v>500</v>
      </c>
      <c r="AD157" s="181">
        <f>VLOOKUP(N157,'Highway Loading'!$B$256:$D$261,3,FALSE)</f>
        <v>5000</v>
      </c>
      <c r="AE157" s="181">
        <f>VLOOKUP(S157,'Highway Loading'!$B$340:$C$341,2,FALSE)</f>
        <v>12000</v>
      </c>
      <c r="AF157" s="181">
        <f t="shared" si="130"/>
        <v>0.10504347826086957</v>
      </c>
      <c r="AG157" s="181">
        <f t="shared" si="131"/>
        <v>3.388235294117647</v>
      </c>
      <c r="AH157" s="181">
        <f t="shared" si="132"/>
        <v>1.2318840579710144</v>
      </c>
      <c r="AI157" s="181">
        <f t="shared" si="133"/>
        <v>3807.9470198675494</v>
      </c>
      <c r="AJ157" s="181">
        <f t="shared" si="134"/>
        <v>46800</v>
      </c>
      <c r="AK157" s="181">
        <f>IF(AC157=200,(INDEX(Tables!$B$17:$B$38,MAX(1,MIN(IFERROR(MATCH(AF157,Tables!$A$17:$A$38,1),1),ROWS(Tables!$A$17:$A$38)-1)))+(AF157-INDEX(Tables!$A$17:$A$38,MAX(1,MIN(IFERROR(MATCH(AF157,Tables!$A$17:$A$38,1),1),ROWS(Tables!$A$17:$A$38)-1))))*(INDEX(Tables!$B$17:$B$38,MAX(1,MIN(IFERROR(MATCH(AF157,Tables!$A$17:$A$38,1),1),ROWS(Tables!$A$17:$A$38)-1))+1)-INDEX(Tables!$B$17:$B$38,MAX(1,MIN(IFERROR(MATCH(AF157,Tables!$A$17:$A$38,1),1),ROWS(Tables!$A$17:$A$38)-1))))/(INDEX(Tables!$A$17:$A$38,MAX(1,MIN(IFERROR(MATCH(AF157,Tables!$A$17:$A$38,1),1),ROWS(Tables!$A$17:$A$38)-1))+1)-INDEX(Tables!$A$17:$A$38,MAX(1,MIN(IFERROR(MATCH(AF157,Tables!$A$17:$A$38,1),1),ROWS(Tables!$A$17:$A$38)-1))))),IF(AC157=500,(INDEX(Tables!$D$17:$D$38,MAX(1,MIN(IFERROR(MATCH(AF157,Tables!$C$17:$C$38,1),1),ROWS(Tables!$C$17:$C$38)-1)))+(AF157-INDEX(Tables!$C$17:$C$38,MAX(1,MIN(IFERROR(MATCH(AF157,Tables!$C$17:$C$38,1),1),ROWS(Tables!$C$17:$C$38)-1))))*(INDEX(Tables!$D$17:$D$38,MAX(1,MIN(IFERROR(MATCH(AF157,Tables!$C$17:$C$38,1),1),ROWS(Tables!$C$17:$C$38)-1))+1)-INDEX(Tables!$D$17:$D$38,MAX(1,MIN(IFERROR(MATCH(AF157,Tables!$C$17:$C$38,1),1),ROWS(Tables!$C$17:$C$38)-1))))/(INDEX(Tables!$C$17:$C$38,MAX(1,MIN(IFERROR(MATCH(AF157,Tables!$C$17:$C$38,1),1),ROWS(Tables!$C$17:$C$38)-1))+1)-INDEX(Tables!$C$17:$C$38,MAX(1,MIN(IFERROR(MATCH(AF157,Tables!$C$17:$C$38,1),1),ROWS(Tables!$C$17:$C$38)-1))))),IF(AC157=1000,(INDEX(Tables!$F$17:$F$38,MAX(1,MIN(IFERROR(MATCH(AF157,Tables!$E$17:$E$38,1),1),ROWS(Tables!$E$17:$E$38)-1)))+(AF157-INDEX(Tables!$E$17:$E$38,MAX(1,MIN(IFERROR(MATCH(AF157,Tables!$E$17:$E$38,1),1),ROWS(Tables!$E$17:$E$38)-1))))*(INDEX(Tables!$F$17:$F$38,MAX(1,MIN(IFERROR(MATCH(AF157,Tables!$E$17:$E$38,1),1),ROWS(Tables!$E$17:$E$38)-1))+1)-INDEX(Tables!$F$17:$F$38,MAX(1,MIN(IFERROR(MATCH(AF157,Tables!$E$17:$E$38,1),1),ROWS(Tables!$E$17:$E$38)-1))))/(INDEX(Tables!$E$17:$E$38,MAX(1,MIN(IFERROR(MATCH(AF157,Tables!$E$17:$E$38,1),1),ROWS(Tables!$E$17:$E$38)-1))+1)-INDEX(Tables!$E$17:$E$38,MAX(1,MIN(IFERROR(MATCH(AF157,Tables!$E$17:$E$38,1),1),ROWS(Tables!$E$17:$E$38)-1))))),(INDEX(Tables!$H$17:$H$38,MAX(1,MIN(IFERROR(MATCH(AF157,Tables!$G$17:$G$38,1),1),ROWS(Tables!$G$17:$G$38)-1)))+(AF157-INDEX(Tables!$G$17:$G$38,MAX(1,MIN(IFERROR(MATCH(AF157,Tables!$G$17:$G$38,1),1),ROWS(Tables!$G$17:$G$38)-1))))*(INDEX(Tables!$H$17:$H$38,MAX(1,MIN(IFERROR(MATCH(AF157,Tables!$G$17:$G$38,1),1),ROWS(Tables!$G$17:$G$38)-1))+1)-INDEX(Tables!$H$17:$H$38,MAX(1,MIN(IFERROR(MATCH(AF157,Tables!$G$17:$G$38,1),1),ROWS(Tables!$G$17:$G$38)-1))))/(INDEX(Tables!$G$17:$G$38,MAX(1,MIN(IFERROR(MATCH(AF157,Tables!$G$17:$G$38,1),1),ROWS(Tables!$G$17:$G$38)-1))+1)-INDEX(Tables!$G$17:$G$38,MAX(1,MIN(IFERROR(MATCH(AF157,Tables!$G$17:$G$38,1),1),ROWS(Tables!$G$17:$G$38)-1))))))))</f>
        <v>88</v>
      </c>
      <c r="AL157" s="181">
        <f>IF(AC157&lt;1000,(INDEX(Tables!$B$43:$B$76,MAX(1,MIN(IFERROR(MATCH(AG157,Tables!$A$43:$A$76,1),1),ROWS(Tables!$A$43:$A$76)-1)))+(AG157-INDEX(Tables!$A$43:$A$76,MAX(1,MIN(IFERROR(MATCH(AG157,Tables!$A$43:$A$76,1),1),ROWS(Tables!$A$43:$A$76)-1))))*(INDEX(Tables!$B$43:$B$76,MAX(1,MIN(IFERROR(MATCH(AG157,Tables!$A$43:$A$76,1),1),ROWS(Tables!$A$43:$A$76)-1))+1)-INDEX(Tables!$B$43:$B$76,MAX(1,MIN(IFERROR(MATCH(AG157,Tables!$A$43:$A$76,1),1),ROWS(Tables!$A$43:$A$76)-1))))/(INDEX(Tables!$A$43:$A$76,MAX(1,MIN(IFERROR(MATCH(AG157,Tables!$A$43:$A$76,1),1),ROWS(Tables!$A$43:$A$76)-1))+1)-INDEX(Tables!$A$43:$A$76,MAX(1,MIN(IFERROR(MATCH(AG157,Tables!$A$43:$A$76,1),1),ROWS(Tables!$A$43:$A$76)-1))))),(INDEX(Tables!$D$43:$D$76,MAX(1,MIN(IFERROR(MATCH(AG157,Tables!$C$43:$C$76,1),1),ROWS(Tables!$C$43:$C$76)-1)))+(AG157-INDEX(Tables!$C$43:$C$76,MAX(1,MIN(IFERROR(MATCH(AG157,Tables!$C$43:$C$76,1),1),ROWS(Tables!$C$43:$C$76)-1))))*(INDEX(Tables!$D$43:$D$76,MAX(1,MIN(IFERROR(MATCH(AG157,Tables!$C$43:$C$76,1),1),ROWS(Tables!$C$43:$C$76)-1))+1)-INDEX(Tables!$D$43:$D$76,MAX(1,MIN(IFERROR(MATCH(AG157,Tables!$C$43:$C$76,1),1),ROWS(Tables!$C$43:$C$76)-1))))/(INDEX(Tables!$C$43:$C$76,MAX(1,MIN(IFERROR(MATCH(AG157,Tables!$C$43:$C$76,1),1),ROWS(Tables!$C$43:$C$76)-1))+1)-INDEX(Tables!$C$43:$C$76,MAX(1,MIN(IFERROR(MATCH(AG157,Tables!$C$43:$C$76,1),1),ROWS(Tables!$C$43:$C$76)-1))))))</f>
        <v>0.89796470588235289</v>
      </c>
      <c r="AM157" s="181">
        <f>(INDEX(Tables!$B$80:$B$87,MAX(1,MIN(IFERROR(MATCH(AH157,Tables!$A$80:$A$87,1),1),ROWS(Tables!$A$80:$A$87)-1)))+(AH157-INDEX(Tables!$A$80:$A$87,MAX(1,MIN(IFERROR(MATCH(AH157,Tables!$A$80:$A$87,1),1),ROWS(Tables!$A$80:$A$87)-1))))*(INDEX(Tables!$B$80:$B$87,MAX(1,MIN(IFERROR(MATCH(AH157,Tables!$A$80:$A$87,1),1),ROWS(Tables!$A$80:$A$87)-1))+1)-INDEX(Tables!$B$80:$B$87,MAX(1,MIN(IFERROR(MATCH(AH157,Tables!$A$80:$A$87,1),1),ROWS(Tables!$A$80:$A$87)-1))))/(INDEX(Tables!$A$80:$A$87,MAX(1,MIN(IFERROR(MATCH(AH157,Tables!$A$80:$A$87,1),1),ROWS(Tables!$A$80:$A$87)-1))+1)-INDEX(Tables!$A$80:$A$87,MAX(1,MIN(IFERROR(MATCH(AH157,Tables!$A$80:$A$87,1),1),ROWS(Tables!$A$80:$A$87)-1)))))</f>
        <v>1.2567086956521738</v>
      </c>
      <c r="AN157" s="181">
        <f t="shared" si="135"/>
        <v>59.480302860539219</v>
      </c>
      <c r="AO157" s="181">
        <f>(INDEX(Tables!$B$91:$B$94,MAX(1,MIN(IFERROR(MATCH(P157,Tables!$A$91:$A$94,1),1),ROWS(Tables!$A$91:$A$94)-1)))+(P157-INDEX(Tables!$A$91:$A$94,MAX(1,MIN(IFERROR(MATCH(P157,Tables!$A$91:$A$94,1),1),ROWS(Tables!$A$91:$A$94)-1))))*(INDEX(Tables!$B$91:$B$94,MAX(1,MIN(IFERROR(MATCH(P157,Tables!$A$91:$A$94,1),1),ROWS(Tables!$A$91:$A$94)-1))+1)-INDEX(Tables!$B$91:$B$94,MAX(1,MIN(IFERROR(MATCH(P157,Tables!$A$91:$A$94,1),1),ROWS(Tables!$A$91:$A$94)-1))))/(INDEX(Tables!$A$91:$A$94,MAX(1,MIN(IFERROR(MATCH(P157,Tables!$A$91:$A$94,1),1),ROWS(Tables!$A$91:$A$94)-1))+1)-INDEX(Tables!$A$91:$A$94,MAX(1,MIN(IFERROR(MATCH(P157,Tables!$A$91:$A$94,1),1),ROWS(Tables!$A$91:$A$94)-1)))))</f>
        <v>1.5</v>
      </c>
      <c r="AP157" s="181">
        <f>IF(AD157=5000,(INDEX(Tables!$B$99:$B$118,MAX(1,MIN(IFERROR(MATCH(AF157,Tables!$A$99:$A$118,1),1),ROWS(Tables!$A$99:$A$118)-1)))+(AF157-INDEX(Tables!$A$99:$A$118,MAX(1,MIN(IFERROR(MATCH(AF157,Tables!$A$99:$A$118,1),1),ROWS(Tables!$A$99:$A$118)-1))))*(INDEX(Tables!$B$99:$B$118,MAX(1,MIN(IFERROR(MATCH(AF157,Tables!$A$99:$A$118,1),1),ROWS(Tables!$A$99:$A$118)-1))+1)-INDEX(Tables!$B$99:$B$118,MAX(1,MIN(IFERROR(MATCH(AF157,Tables!$A$99:$A$118,1),1),ROWS(Tables!$A$99:$A$118)-1))))/(INDEX(Tables!$A$99:$A$118,MAX(1,MIN(IFERROR(MATCH(AF157,Tables!$A$99:$A$118,1),1),ROWS(Tables!$A$99:$A$118)-1))+1)-INDEX(Tables!$A$99:$A$118,MAX(1,MIN(IFERROR(MATCH(AF157,Tables!$A$99:$A$118,1),1),ROWS(Tables!$A$99:$A$118)-1))))),IF(AD157=10000,(INDEX(Tables!$D$99:$D$118,MAX(1,MIN(IFERROR(MATCH(AF157,Tables!$C$99:$C$118,1),1),ROWS(Tables!$C$99:$C$118)-1)))+(AF157-INDEX(Tables!$C$99:$C$118,MAX(1,MIN(IFERROR(MATCH(AF157,Tables!$C$99:$C$118,1),1),ROWS(Tables!$C$99:$C$118)-1))))*(INDEX(Tables!$D$99:$D$118,MAX(1,MIN(IFERROR(MATCH(AF157,Tables!$C$99:$C$118,1),1),ROWS(Tables!$C$99:$C$118)-1))+1)-INDEX(Tables!$D$99:$D$118,MAX(1,MIN(IFERROR(MATCH(AF157,Tables!$C$99:$C$118,1),1),ROWS(Tables!$C$99:$C$118)-1))))/(INDEX(Tables!$C$99:$C$118,MAX(1,MIN(IFERROR(MATCH(AF157,Tables!$C$99:$C$118,1),1),ROWS(Tables!$C$99:$C$118)-1))+1)-INDEX(Tables!$C$99:$C$118,MAX(1,MIN(IFERROR(MATCH(AF157,Tables!$C$99:$C$118,1),1),ROWS(Tables!$C$99:$C$118)-1))))),(INDEX(Tables!$F$99:$F$118,MAX(1,MIN(IFERROR(MATCH(AF157,Tables!$E$99:$E$118,1),1),ROWS(Tables!$E$99:$E$118)-1)))+(AF157-INDEX(Tables!$E$99:$E$118,MAX(1,MIN(IFERROR(MATCH(AF157,Tables!$E$99:$E$118,1),1),ROWS(Tables!$E$99:$E$118)-1))))*(INDEX(Tables!$F$99:$F$118,MAX(1,MIN(IFERROR(MATCH(AF157,Tables!$E$99:$E$118,1),1),ROWS(Tables!$E$99:$E$118)-1))+1)-INDEX(Tables!$F$99:$F$118,MAX(1,MIN(IFERROR(MATCH(AF157,Tables!$E$99:$E$118,1),1),ROWS(Tables!$E$99:$E$118)-1))))/(INDEX(Tables!$E$99:$E$118,MAX(1,MIN(IFERROR(MATCH(AF157,Tables!$E$99:$E$118,1),1),ROWS(Tables!$E$99:$E$118)-1))+1)-INDEX(Tables!$E$99:$E$118,MAX(1,MIN(IFERROR(MATCH(AF157,Tables!$E$99:$E$118,1),1),ROWS(Tables!$E$99:$E$118)-1)))))))</f>
        <v>1.9059999999999999</v>
      </c>
      <c r="AQ157" s="181">
        <f>IF(P157&lt;6,(INDEX(Tables!$B$123:$B$138,MAX(1,MIN(IFERROR(MATCH(U157,Tables!$A$123:$A$138,1),1),ROWS(Tables!$A$123:$A$138)-1)))+(U157-INDEX(Tables!$A$123:$A$138,MAX(1,MIN(IFERROR(MATCH(U157,Tables!$A$123:$A$138,1),1),ROWS(Tables!$A$123:$A$138)-1))))*(INDEX(Tables!$B$123:$B$138,MAX(1,MIN(IFERROR(MATCH(U157,Tables!$A$123:$A$138,1),1),ROWS(Tables!$A$123:$A$138)-1))+1)-INDEX(Tables!$B$123:$B$138,MAX(1,MIN(IFERROR(MATCH(U157,Tables!$A$123:$A$138,1),1),ROWS(Tables!$A$123:$A$138)-1))))/(INDEX(Tables!$A$123:$A$138,MAX(1,MIN(IFERROR(MATCH(U157,Tables!$A$123:$A$138,1),1),ROWS(Tables!$A$123:$A$138)-1))+1)-INDEX(Tables!$A$123:$A$138,MAX(1,MIN(IFERROR(MATCH(U157,Tables!$A$123:$A$138,1),1),ROWS(Tables!$A$123:$A$138)-1))))),IF(P157&lt;8,(INDEX(Tables!$D$123:$D$138,MAX(1,MIN(IFERROR(MATCH(U157,Tables!$C$123:$C$138,1),1),ROWS(Tables!$C$123:$C$138)-1)))+(U157-INDEX(Tables!$C$123:$C$138,MAX(1,MIN(IFERROR(MATCH(U157,Tables!$C$123:$C$138,1),1),ROWS(Tables!$C$123:$C$138)-1))))*(INDEX(Tables!$D$123:$D$138,MAX(1,MIN(IFERROR(MATCH(U157,Tables!$C$123:$C$138,1),1),ROWS(Tables!$C$123:$C$138)-1))+1)-INDEX(Tables!$D$123:$D$138,MAX(1,MIN(IFERROR(MATCH(U157,Tables!$C$123:$C$138,1),1),ROWS(Tables!$C$123:$C$138)-1))))/(INDEX(Tables!$C$123:$C$138,MAX(1,MIN(IFERROR(MATCH(U157,Tables!$C$123:$C$138,1),1),ROWS(Tables!$C$123:$C$138)-1))+1)-INDEX(Tables!$C$123:$C$138,MAX(1,MIN(IFERROR(MATCH(U157,Tables!$C$123:$C$138,1),1),ROWS(Tables!$C$123:$C$138)-1))))),IF(P157&lt;10,(INDEX(Tables!$F$123:$F$138,MAX(1,MIN(IFERROR(MATCH(U157,Tables!$E$123:$E$138,1),1),ROWS(Tables!$E$123:$E$138)-1)))+(U157-INDEX(Tables!$E$123:$E$138,MAX(1,MIN(IFERROR(MATCH(U157,Tables!$E$123:$E$138,1),1),ROWS(Tables!$E$123:$E$138)-1))))*(INDEX(Tables!$F$123:$F$138,MAX(1,MIN(IFERROR(MATCH(U157,Tables!$E$123:$E$138,1),1),ROWS(Tables!$E$123:$E$138)-1))+1)-INDEX(Tables!$F$123:$F$138,MAX(1,MIN(IFERROR(MATCH(U157,Tables!$E$123:$E$138,1),1),ROWS(Tables!$E$123:$E$138)-1))))/(INDEX(Tables!$E$123:$E$138,MAX(1,MIN(IFERROR(MATCH(U157,Tables!$E$123:$E$138,1),1),ROWS(Tables!$E$123:$E$138)-1))+1)-INDEX(Tables!$E$123:$E$138,MAX(1,MIN(IFERROR(MATCH(U157,Tables!$E$123:$E$138,1),1),ROWS(Tables!$E$123:$E$138)-1))))),(INDEX(Tables!$H$123:$H$138,MAX(1,MIN(IFERROR(MATCH(U157,Tables!$G$123:$G$138,1),1),ROWS(Tables!$G$123:$G$138)-1)))+(U157-INDEX(Tables!$G$123:$G$138,MAX(1,MIN(IFERROR(MATCH(U157,Tables!$G$123:$G$138,1),1),ROWS(Tables!$G$123:$G$138)-1))))*(INDEX(Tables!$H$123:$H$138,MAX(1,MIN(IFERROR(MATCH(U157,Tables!$G$123:$G$138,1),1),ROWS(Tables!$G$123:$G$138)-1))+1)-INDEX(Tables!$H$123:$H$138,MAX(1,MIN(IFERROR(MATCH(U157,Tables!$G$123:$G$138,1),1),ROWS(Tables!$G$123:$G$138)-1))))/(INDEX(Tables!$G$123:$G$138,MAX(1,MIN(IFERROR(MATCH(U157,Tables!$G$123:$G$138,1),1),ROWS(Tables!$G$123:$G$138)-1))+1)-INDEX(Tables!$G$123:$G$138,MAX(1,MIN(IFERROR(MATCH(U157,Tables!$G$123:$G$138,1),1),ROWS(Tables!$G$123:$G$138)-1))))))))</f>
        <v>1.389875</v>
      </c>
      <c r="AR157" s="181">
        <f>IF(OR(P157&gt;=4,U157&gt;12),VLOOKUP(R157&amp;" "&amp;S157,Tables!$D$143:$F$148,2,FALSE),VLOOKUP(R157&amp;" "&amp;S157,Tables!$A$143:$C$148,2,FALSE))</f>
        <v>0.9</v>
      </c>
      <c r="AS157" s="181">
        <f>IF(OR(P157&gt;=4,U157&gt;12),VLOOKUP(R157&amp;" "&amp;S157,Tables!$D$143:$F$148,3,FALSE),VLOOKUP(R157&amp;" "&amp;S157,Tables!$A$143:$C$148,3,FALSE))</f>
        <v>0.65</v>
      </c>
      <c r="AT157" s="181">
        <f t="shared" si="136"/>
        <v>193.71556546875001</v>
      </c>
      <c r="AU157" s="181">
        <f>IF(AD157=5000,(INDEX(Tables!$B$244:$B$263,MAX(1,MIN(IFERROR(MATCH(AF157,Tables!$A$244:$A$263,1),1),ROWS(Tables!$A$244:$A$263)-1)))+(AF157-INDEX(Tables!$A$244:$A$263,MAX(1,MIN(IFERROR(MATCH(AF157,Tables!$A$244:$A$263,1),1),ROWS(Tables!$A$244:$A$263)-1))))*(INDEX(Tables!$B$244:$B$263,MAX(1,MIN(IFERROR(MATCH(AF157,Tables!$A$244:$A$263,1),1),ROWS(Tables!$A$244:$A$263)-1))+1)-INDEX(Tables!$B$244:$B$263,MAX(1,MIN(IFERROR(MATCH(AF157,Tables!$A$244:$A$263,1),1),ROWS(Tables!$A$244:$A$263)-1))))/(INDEX(Tables!$A$244:$A$263,MAX(1,MIN(IFERROR(MATCH(AF157,Tables!$A$244:$A$263,1),1),ROWS(Tables!$A$244:$A$263)-1))+1)-INDEX(Tables!$A$244:$A$263,MAX(1,MIN(IFERROR(MATCH(AF157,Tables!$A$244:$A$263,1),1),ROWS(Tables!$A$244:$A$263)-1))))),IF(AD157=10000,(INDEX(Tables!$D$244:$D$263,MAX(1,MIN(IFERROR(MATCH(AF157,Tables!$C$244:$C$263,1),1),ROWS(Tables!$C$244:$C$263)-1)))+(AF157-INDEX(Tables!$C$244:$C$263,MAX(1,MIN(IFERROR(MATCH(AF157,Tables!$C$244:$C$263,1),1),ROWS(Tables!$C$244:$C$263)-1))))*(INDEX(Tables!$D$244:$D$263,MAX(1,MIN(IFERROR(MATCH(AF157,Tables!$C$244:$C$263,1),1),ROWS(Tables!$C$244:$C$263)-1))+1)-INDEX(Tables!$D$244:$D$263,MAX(1,MIN(IFERROR(MATCH(AF157,Tables!$C$244:$C$263,1),1),ROWS(Tables!$C$244:$C$263)-1))))/(INDEX(Tables!$C$244:$C$263,MAX(1,MIN(IFERROR(MATCH(AF157,Tables!$C$244:$C$263,1),1),ROWS(Tables!$C$244:$C$263)-1))+1)-INDEX(Tables!$C$244:$C$263,MAX(1,MIN(IFERROR(MATCH(AF157,Tables!$C$244:$C$263,1),1),ROWS(Tables!$C$244:$C$263)-1))))),(INDEX(Tables!$F$244:$F$263,MAX(1,MIN(IFERROR(MATCH(AF157,Tables!$E$244:$E$263,1),1),ROWS(Tables!$E$244:$E$263)-1)))+(AF157-INDEX(Tables!$E$244:$E$263,MAX(1,MIN(IFERROR(MATCH(AF157,Tables!$E$244:$E$263,1),1),ROWS(Tables!$E$244:$E$263)-1))))*(INDEX(Tables!$F$244:$F$263,MAX(1,MIN(IFERROR(MATCH(AF157,Tables!$E$244:$E$263,1),1),ROWS(Tables!$E$244:$E$263)-1))+1)-INDEX(Tables!$F$244:$F$263,MAX(1,MIN(IFERROR(MATCH(AF157,Tables!$E$244:$E$263,1),1),ROWS(Tables!$E$244:$E$263)-1))))/(INDEX(Tables!$E$244:$E$263,MAX(1,MIN(IFERROR(MATCH(AF157,Tables!$E$244:$E$263,1),1),ROWS(Tables!$E$244:$E$263)-1))+1)-INDEX(Tables!$E$244:$E$263,MAX(1,MIN(IFERROR(MATCH(AF157,Tables!$E$244:$E$263,1),1),ROWS(Tables!$E$244:$E$263)-1)))))))</f>
        <v>2.5920000000000001</v>
      </c>
      <c r="AV157" s="181">
        <f>IF(P157&lt;6,(INDEX(Tables!$B$260:$B$274,MAX(1,MIN(IFERROR(MATCH(U157,Tables!$A$260:$A$274,1),1),ROWS(Tables!$A$260:$A$274)-1)))+(U157-INDEX(Tables!$A$260:$A$274,MAX(1,MIN(IFERROR(MATCH(U157,Tables!$A$260:$A$274,1),1),ROWS(Tables!$A$260:$A$274)-1))))*(INDEX(Tables!$B$260:$B$274,MAX(1,MIN(IFERROR(MATCH(U157,Tables!$A$260:$A$274,1),1),ROWS(Tables!$A$260:$A$274)-1))+1)-INDEX(Tables!$B$260:$B$274,MAX(1,MIN(IFERROR(MATCH(U157,Tables!$A$260:$A$274,1),1),ROWS(Tables!$A$260:$A$274)-1))))/(INDEX(Tables!$A$260:$A$274,MAX(1,MIN(IFERROR(MATCH(U157,Tables!$A$260:$A$274,1),1),ROWS(Tables!$A$260:$A$274)-1))+1)-INDEX(Tables!$A$260:$A$274,MAX(1,MIN(IFERROR(MATCH(U157,Tables!$A$260:$A$274,1),1),ROWS(Tables!$A$260:$A$274)-1))))),IF(P157&lt;8,(INDEX(Tables!$D$260:$D$274,MAX(1,MIN(IFERROR(MATCH(U157,Tables!$C$260:$C$274,1),1),ROWS(Tables!$C$260:$C$274)-1)))+(U157-INDEX(Tables!$C$260:$C$274,MAX(1,MIN(IFERROR(MATCH(U157,Tables!$C$260:$C$274,1),1),ROWS(Tables!$C$260:$C$274)-1))))*(INDEX(Tables!$D$260:$D$274,MAX(1,MIN(IFERROR(MATCH(U157,Tables!$C$260:$C$274,1),1),ROWS(Tables!$C$260:$C$274)-1))+1)-INDEX(Tables!$D$260:$D$274,MAX(1,MIN(IFERROR(MATCH(U157,Tables!$C$260:$C$274,1),1),ROWS(Tables!$C$260:$C$274)-1))))/(INDEX(Tables!$C$260:$C$274,MAX(1,MIN(IFERROR(MATCH(U157,Tables!$C$260:$C$274,1),1),ROWS(Tables!$C$260:$C$274)-1))+1)-INDEX(Tables!$C$260:$C$274,MAX(1,MIN(IFERROR(MATCH(U157,Tables!$C$260:$C$274,1),1),ROWS(Tables!$C$260:$C$274)-1))))),IF(P157&lt;10,(INDEX(Tables!$F$260:$F$274,MAX(1,MIN(IFERROR(MATCH(U157,Tables!$E$260:$E$274,1),1),ROWS(Tables!$E$260:$E$274)-1)))+(U157-INDEX(Tables!$E$260:$E$274,MAX(1,MIN(IFERROR(MATCH(U157,Tables!$E$260:$E$274,1),1),ROWS(Tables!$E$260:$E$274)-1))))*(INDEX(Tables!$F$260:$F$274,MAX(1,MIN(IFERROR(MATCH(U157,Tables!$E$260:$E$274,1),1),ROWS(Tables!$E$260:$E$274)-1))+1)-INDEX(Tables!$F$260:$F$274,MAX(1,MIN(IFERROR(MATCH(U157,Tables!$E$260:$E$274,1),1),ROWS(Tables!$E$260:$E$274)-1))))/(INDEX(Tables!$E$260:$E$274,MAX(1,MIN(IFERROR(MATCH(U157,Tables!$E$260:$E$274,1),1),ROWS(Tables!$E$260:$E$274)-1))+1)-INDEX(Tables!$E$260:$E$274,MAX(1,MIN(IFERROR(MATCH(U157,Tables!$E$260:$E$274,1),1),ROWS(Tables!$E$260:$E$274)-1))))),(INDEX(Tables!$H$260:$H$274,MAX(1,MIN(IFERROR(MATCH(U157,Tables!$G$260:$G$274,1),1),ROWS(Tables!$G$260:$G$274)-1)))+(U157-INDEX(Tables!$G$260:$G$274,MAX(1,MIN(IFERROR(MATCH(U157,Tables!$G$260:$G$274,1),1),ROWS(Tables!$G$260:$G$274)-1))))*(INDEX(Tables!$H$260:$H$274,MAX(1,MIN(IFERROR(MATCH(U157,Tables!$G$260:$G$274,1),1),ROWS(Tables!$G$260:$G$274)-1))+1)-INDEX(Tables!$H$260:$H$274,MAX(1,MIN(IFERROR(MATCH(U157,Tables!$G$260:$G$274,1),1),ROWS(Tables!$G$260:$G$274)-1))))/(INDEX(Tables!$G$260:$G$274,MAX(1,MIN(IFERROR(MATCH(U157,Tables!$G$260:$G$274,1),1),ROWS(Tables!$G$260:$G$274)-1))+1)-INDEX(Tables!$G$260:$G$274,MAX(1,MIN(IFERROR(MATCH(U157,Tables!$G$260:$G$274,1),1),ROWS(Tables!$G$260:$G$274)-1))))))))</f>
        <v>1.3123750000000001</v>
      </c>
      <c r="AW157" s="181">
        <f t="shared" si="137"/>
        <v>248.74755750000003</v>
      </c>
      <c r="AX157" s="181">
        <f t="shared" si="138"/>
        <v>3407.9470198675494</v>
      </c>
      <c r="AY157" s="181">
        <f t="shared" si="139"/>
        <v>3661.1428881968386</v>
      </c>
      <c r="AZ157" s="181">
        <f t="shared" si="140"/>
        <v>1288.9757543184267</v>
      </c>
      <c r="BA157" s="181">
        <f t="shared" si="141"/>
        <v>-800</v>
      </c>
      <c r="BB157" s="181">
        <f t="shared" si="142"/>
        <v>3866.0569371190327</v>
      </c>
      <c r="BC157" s="181">
        <f t="shared" si="143"/>
        <v>46800</v>
      </c>
      <c r="BD157" s="181">
        <f>VLOOKUP(V157&amp;" "&amp;J157,Tables!$A$152:$E$239,4,FALSE)</f>
        <v>12000</v>
      </c>
      <c r="BE157" s="181">
        <f>VLOOKUP(V157&amp;" "&amp;J157,Tables!$A$152:$E$239,5,FALSE)</f>
        <v>23000</v>
      </c>
      <c r="BF157" s="181">
        <f t="shared" si="144"/>
        <v>8640</v>
      </c>
      <c r="BG157" s="181">
        <f t="shared" si="145"/>
        <v>16560</v>
      </c>
      <c r="BH157" s="181">
        <f t="shared" si="146"/>
        <v>3807.9470198675494</v>
      </c>
      <c r="BI157" s="181">
        <f t="shared" si="147"/>
        <v>46800</v>
      </c>
      <c r="BJ157" s="181">
        <f t="shared" si="148"/>
        <v>3866.0569371190327</v>
      </c>
      <c r="BK157" s="181">
        <f t="shared" si="149"/>
        <v>46800</v>
      </c>
      <c r="BL157" s="181">
        <f t="shared" si="150"/>
        <v>248.74755750000003</v>
      </c>
      <c r="BM157" s="181">
        <f t="shared" si="151"/>
        <v>8640</v>
      </c>
      <c r="BN157" s="181">
        <f t="shared" si="152"/>
        <v>193.71556546875001</v>
      </c>
      <c r="BO157" s="181">
        <f t="shared" si="153"/>
        <v>16560</v>
      </c>
      <c r="BP157" t="str">
        <f t="shared" si="154"/>
        <v>Pass</v>
      </c>
      <c r="BQ157" t="str">
        <f t="shared" si="155"/>
        <v>Pass</v>
      </c>
      <c r="BR157" t="str">
        <f t="shared" si="156"/>
        <v>Pass</v>
      </c>
      <c r="BS157" t="str">
        <f t="shared" si="157"/>
        <v>Pass</v>
      </c>
      <c r="BT157" t="str">
        <f t="shared" si="158"/>
        <v>Pass</v>
      </c>
      <c r="BU157" t="str">
        <f t="shared" si="159"/>
        <v>Effective Stress</v>
      </c>
    </row>
    <row r="158" spans="1:73">
      <c r="A158" t="s">
        <v>750</v>
      </c>
      <c r="B158" s="181">
        <v>156</v>
      </c>
      <c r="C158" t="s">
        <v>594</v>
      </c>
      <c r="D158" s="181">
        <v>12</v>
      </c>
      <c r="E158" s="181">
        <v>1.3120000000000001</v>
      </c>
      <c r="F158" t="s">
        <v>117</v>
      </c>
      <c r="G158" t="s">
        <v>119</v>
      </c>
      <c r="H158" t="s">
        <v>122</v>
      </c>
      <c r="I158" s="181">
        <v>1</v>
      </c>
      <c r="J158" t="s">
        <v>126</v>
      </c>
      <c r="K158" t="s">
        <v>129</v>
      </c>
      <c r="L158" s="181">
        <v>70</v>
      </c>
      <c r="M158" s="181">
        <v>1000</v>
      </c>
      <c r="N158" t="s">
        <v>389</v>
      </c>
      <c r="O158" s="181">
        <v>120</v>
      </c>
      <c r="P158" s="181">
        <v>6</v>
      </c>
      <c r="Q158" s="181">
        <v>14.75</v>
      </c>
      <c r="R158" t="s">
        <v>418</v>
      </c>
      <c r="S158" t="s">
        <v>420</v>
      </c>
      <c r="T158" s="181">
        <v>70</v>
      </c>
      <c r="U158" s="181">
        <f>HLOOKUP(D158,'Highway Loading'!$C$155:$AD$156,2,FALSE)</f>
        <v>12.75</v>
      </c>
      <c r="V158" s="181">
        <f>IF(ISBLANK(G158),"",INDEX('Highway Loading'!$C$216:$AG$216,1,MATCH(G158,'Highway Loading'!$C$215:$AG$215,0)))</f>
        <v>65000</v>
      </c>
      <c r="W158" s="181">
        <f>INDEX('Highway Loading'!$I$245:$L$253,MATCH(H158,'Highway Loading'!$H$245:$H$253,0),MATCH(I158,'Highway Loading'!$I$244:$L$244,0))</f>
        <v>0.72</v>
      </c>
      <c r="X158" s="181">
        <f t="shared" si="128"/>
        <v>1</v>
      </c>
      <c r="Y158" s="181">
        <f>VLOOKUP(K158,'Highway Loading'!$B$283:$E$292,2,FALSE)</f>
        <v>29000000</v>
      </c>
      <c r="Z158" s="181">
        <f>VLOOKUP(K158,'Highway Loading'!$B$283:$E$292,3,FALSE)</f>
        <v>0.3</v>
      </c>
      <c r="AA158" s="181">
        <f>VLOOKUP(K158,'Highway Loading'!$B$283:$E$292,4,FALSE)</f>
        <v>6.4999999999999996E-6</v>
      </c>
      <c r="AB158" s="181">
        <f t="shared" si="129"/>
        <v>1</v>
      </c>
      <c r="AC158" s="181">
        <f>VLOOKUP(N158,'Highway Loading'!$B$256:$D$261,2,FALSE)</f>
        <v>500</v>
      </c>
      <c r="AD158" s="181">
        <f>VLOOKUP(N158,'Highway Loading'!$B$256:$D$261,3,FALSE)</f>
        <v>5000</v>
      </c>
      <c r="AE158" s="181">
        <f>VLOOKUP(S158,'Highway Loading'!$B$340:$C$341,2,FALSE)</f>
        <v>12000</v>
      </c>
      <c r="AF158" s="181">
        <f t="shared" si="130"/>
        <v>0.10290196078431373</v>
      </c>
      <c r="AG158" s="181">
        <f t="shared" si="131"/>
        <v>4.8813559322033901</v>
      </c>
      <c r="AH158" s="181">
        <f t="shared" si="132"/>
        <v>1.1568627450980393</v>
      </c>
      <c r="AI158" s="181">
        <f t="shared" si="133"/>
        <v>4858.9939024390242</v>
      </c>
      <c r="AJ158" s="181">
        <f t="shared" si="134"/>
        <v>46800</v>
      </c>
      <c r="AK158" s="181">
        <f>IF(AC158=200,(INDEX(Tables!$B$17:$B$38,MAX(1,MIN(IFERROR(MATCH(AF158,Tables!$A$17:$A$38,1),1),ROWS(Tables!$A$17:$A$38)-1)))+(AF158-INDEX(Tables!$A$17:$A$38,MAX(1,MIN(IFERROR(MATCH(AF158,Tables!$A$17:$A$38,1),1),ROWS(Tables!$A$17:$A$38)-1))))*(INDEX(Tables!$B$17:$B$38,MAX(1,MIN(IFERROR(MATCH(AF158,Tables!$A$17:$A$38,1),1),ROWS(Tables!$A$17:$A$38)-1))+1)-INDEX(Tables!$B$17:$B$38,MAX(1,MIN(IFERROR(MATCH(AF158,Tables!$A$17:$A$38,1),1),ROWS(Tables!$A$17:$A$38)-1))))/(INDEX(Tables!$A$17:$A$38,MAX(1,MIN(IFERROR(MATCH(AF158,Tables!$A$17:$A$38,1),1),ROWS(Tables!$A$17:$A$38)-1))+1)-INDEX(Tables!$A$17:$A$38,MAX(1,MIN(IFERROR(MATCH(AF158,Tables!$A$17:$A$38,1),1),ROWS(Tables!$A$17:$A$38)-1))))),IF(AC158=500,(INDEX(Tables!$D$17:$D$38,MAX(1,MIN(IFERROR(MATCH(AF158,Tables!$C$17:$C$38,1),1),ROWS(Tables!$C$17:$C$38)-1)))+(AF158-INDEX(Tables!$C$17:$C$38,MAX(1,MIN(IFERROR(MATCH(AF158,Tables!$C$17:$C$38,1),1),ROWS(Tables!$C$17:$C$38)-1))))*(INDEX(Tables!$D$17:$D$38,MAX(1,MIN(IFERROR(MATCH(AF158,Tables!$C$17:$C$38,1),1),ROWS(Tables!$C$17:$C$38)-1))+1)-INDEX(Tables!$D$17:$D$38,MAX(1,MIN(IFERROR(MATCH(AF158,Tables!$C$17:$C$38,1),1),ROWS(Tables!$C$17:$C$38)-1))))/(INDEX(Tables!$C$17:$C$38,MAX(1,MIN(IFERROR(MATCH(AF158,Tables!$C$17:$C$38,1),1),ROWS(Tables!$C$17:$C$38)-1))+1)-INDEX(Tables!$C$17:$C$38,MAX(1,MIN(IFERROR(MATCH(AF158,Tables!$C$17:$C$38,1),1),ROWS(Tables!$C$17:$C$38)-1))))),IF(AC158=1000,(INDEX(Tables!$F$17:$F$38,MAX(1,MIN(IFERROR(MATCH(AF158,Tables!$E$17:$E$38,1),1),ROWS(Tables!$E$17:$E$38)-1)))+(AF158-INDEX(Tables!$E$17:$E$38,MAX(1,MIN(IFERROR(MATCH(AF158,Tables!$E$17:$E$38,1),1),ROWS(Tables!$E$17:$E$38)-1))))*(INDEX(Tables!$F$17:$F$38,MAX(1,MIN(IFERROR(MATCH(AF158,Tables!$E$17:$E$38,1),1),ROWS(Tables!$E$17:$E$38)-1))+1)-INDEX(Tables!$F$17:$F$38,MAX(1,MIN(IFERROR(MATCH(AF158,Tables!$E$17:$E$38,1),1),ROWS(Tables!$E$17:$E$38)-1))))/(INDEX(Tables!$E$17:$E$38,MAX(1,MIN(IFERROR(MATCH(AF158,Tables!$E$17:$E$38,1),1),ROWS(Tables!$E$17:$E$38)-1))+1)-INDEX(Tables!$E$17:$E$38,MAX(1,MIN(IFERROR(MATCH(AF158,Tables!$E$17:$E$38,1),1),ROWS(Tables!$E$17:$E$38)-1))))),(INDEX(Tables!$H$17:$H$38,MAX(1,MIN(IFERROR(MATCH(AF158,Tables!$G$17:$G$38,1),1),ROWS(Tables!$G$17:$G$38)-1)))+(AF158-INDEX(Tables!$G$17:$G$38,MAX(1,MIN(IFERROR(MATCH(AF158,Tables!$G$17:$G$38,1),1),ROWS(Tables!$G$17:$G$38)-1))))*(INDEX(Tables!$H$17:$H$38,MAX(1,MIN(IFERROR(MATCH(AF158,Tables!$G$17:$G$38,1),1),ROWS(Tables!$G$17:$G$38)-1))+1)-INDEX(Tables!$H$17:$H$38,MAX(1,MIN(IFERROR(MATCH(AF158,Tables!$G$17:$G$38,1),1),ROWS(Tables!$G$17:$G$38)-1))))/(INDEX(Tables!$G$17:$G$38,MAX(1,MIN(IFERROR(MATCH(AF158,Tables!$G$17:$G$38,1),1),ROWS(Tables!$G$17:$G$38)-1))+1)-INDEX(Tables!$G$17:$G$38,MAX(1,MIN(IFERROR(MATCH(AF158,Tables!$G$17:$G$38,1),1),ROWS(Tables!$G$17:$G$38)-1))))))))</f>
        <v>88</v>
      </c>
      <c r="AL158" s="181">
        <f>IF(AC158&lt;1000,(INDEX(Tables!$B$43:$B$76,MAX(1,MIN(IFERROR(MATCH(AG158,Tables!$A$43:$A$76,1),1),ROWS(Tables!$A$43:$A$76)-1)))+(AG158-INDEX(Tables!$A$43:$A$76,MAX(1,MIN(IFERROR(MATCH(AG158,Tables!$A$43:$A$76,1),1),ROWS(Tables!$A$43:$A$76)-1))))*(INDEX(Tables!$B$43:$B$76,MAX(1,MIN(IFERROR(MATCH(AG158,Tables!$A$43:$A$76,1),1),ROWS(Tables!$A$43:$A$76)-1))+1)-INDEX(Tables!$B$43:$B$76,MAX(1,MIN(IFERROR(MATCH(AG158,Tables!$A$43:$A$76,1),1),ROWS(Tables!$A$43:$A$76)-1))))/(INDEX(Tables!$A$43:$A$76,MAX(1,MIN(IFERROR(MATCH(AG158,Tables!$A$43:$A$76,1),1),ROWS(Tables!$A$43:$A$76)-1))+1)-INDEX(Tables!$A$43:$A$76,MAX(1,MIN(IFERROR(MATCH(AG158,Tables!$A$43:$A$76,1),1),ROWS(Tables!$A$43:$A$76)-1))))),(INDEX(Tables!$D$43:$D$76,MAX(1,MIN(IFERROR(MATCH(AG158,Tables!$C$43:$C$76,1),1),ROWS(Tables!$C$43:$C$76)-1)))+(AG158-INDEX(Tables!$C$43:$C$76,MAX(1,MIN(IFERROR(MATCH(AG158,Tables!$C$43:$C$76,1),1),ROWS(Tables!$C$43:$C$76)-1))))*(INDEX(Tables!$D$43:$D$76,MAX(1,MIN(IFERROR(MATCH(AG158,Tables!$C$43:$C$76,1),1),ROWS(Tables!$C$43:$C$76)-1))+1)-INDEX(Tables!$D$43:$D$76,MAX(1,MIN(IFERROR(MATCH(AG158,Tables!$C$43:$C$76,1),1),ROWS(Tables!$C$43:$C$76)-1))))/(INDEX(Tables!$C$43:$C$76,MAX(1,MIN(IFERROR(MATCH(AG158,Tables!$C$43:$C$76,1),1),ROWS(Tables!$C$43:$C$76)-1))+1)-INDEX(Tables!$C$43:$C$76,MAX(1,MIN(IFERROR(MATCH(AG158,Tables!$C$43:$C$76,1),1),ROWS(Tables!$C$43:$C$76)-1))))))</f>
        <v>1.0658474576271186</v>
      </c>
      <c r="AM158" s="181">
        <f>(INDEX(Tables!$B$80:$B$87,MAX(1,MIN(IFERROR(MATCH(AH158,Tables!$A$80:$A$87,1),1),ROWS(Tables!$A$80:$A$87)-1)))+(AH158-INDEX(Tables!$A$80:$A$87,MAX(1,MIN(IFERROR(MATCH(AH158,Tables!$A$80:$A$87,1),1),ROWS(Tables!$A$80:$A$87)-1))))*(INDEX(Tables!$B$80:$B$87,MAX(1,MIN(IFERROR(MATCH(AH158,Tables!$A$80:$A$87,1),1),ROWS(Tables!$A$80:$A$87)-1))+1)-INDEX(Tables!$B$80:$B$87,MAX(1,MIN(IFERROR(MATCH(AH158,Tables!$A$80:$A$87,1),1),ROWS(Tables!$A$80:$A$87)-1))))/(INDEX(Tables!$A$80:$A$87,MAX(1,MIN(IFERROR(MATCH(AH158,Tables!$A$80:$A$87,1),1),ROWS(Tables!$A$80:$A$87)-1))+1)-INDEX(Tables!$A$80:$A$87,MAX(1,MIN(IFERROR(MATCH(AH158,Tables!$A$80:$A$87,1),1),ROWS(Tables!$A$80:$A$87)-1)))))</f>
        <v>1.1041078431372553</v>
      </c>
      <c r="AN158" s="181">
        <f t="shared" si="135"/>
        <v>91.693154384416232</v>
      </c>
      <c r="AO158" s="181">
        <f>(INDEX(Tables!$B$91:$B$94,MAX(1,MIN(IFERROR(MATCH(P158,Tables!$A$91:$A$94,1),1),ROWS(Tables!$A$91:$A$94)-1)))+(P158-INDEX(Tables!$A$91:$A$94,MAX(1,MIN(IFERROR(MATCH(P158,Tables!$A$91:$A$94,1),1),ROWS(Tables!$A$91:$A$94)-1))))*(INDEX(Tables!$B$91:$B$94,MAX(1,MIN(IFERROR(MATCH(P158,Tables!$A$91:$A$94,1),1),ROWS(Tables!$A$91:$A$94)-1))+1)-INDEX(Tables!$B$91:$B$94,MAX(1,MIN(IFERROR(MATCH(P158,Tables!$A$91:$A$94,1),1),ROWS(Tables!$A$91:$A$94)-1))))/(INDEX(Tables!$A$91:$A$94,MAX(1,MIN(IFERROR(MATCH(P158,Tables!$A$91:$A$94,1),1),ROWS(Tables!$A$91:$A$94)-1))+1)-INDEX(Tables!$A$91:$A$94,MAX(1,MIN(IFERROR(MATCH(P158,Tables!$A$91:$A$94,1),1),ROWS(Tables!$A$91:$A$94)-1)))))</f>
        <v>1.476219512195122</v>
      </c>
      <c r="AP158" s="181">
        <f>IF(AD158=5000,(INDEX(Tables!$B$99:$B$118,MAX(1,MIN(IFERROR(MATCH(AF158,Tables!$A$99:$A$118,1),1),ROWS(Tables!$A$99:$A$118)-1)))+(AF158-INDEX(Tables!$A$99:$A$118,MAX(1,MIN(IFERROR(MATCH(AF158,Tables!$A$99:$A$118,1),1),ROWS(Tables!$A$99:$A$118)-1))))*(INDEX(Tables!$B$99:$B$118,MAX(1,MIN(IFERROR(MATCH(AF158,Tables!$A$99:$A$118,1),1),ROWS(Tables!$A$99:$A$118)-1))+1)-INDEX(Tables!$B$99:$B$118,MAX(1,MIN(IFERROR(MATCH(AF158,Tables!$A$99:$A$118,1),1),ROWS(Tables!$A$99:$A$118)-1))))/(INDEX(Tables!$A$99:$A$118,MAX(1,MIN(IFERROR(MATCH(AF158,Tables!$A$99:$A$118,1),1),ROWS(Tables!$A$99:$A$118)-1))+1)-INDEX(Tables!$A$99:$A$118,MAX(1,MIN(IFERROR(MATCH(AF158,Tables!$A$99:$A$118,1),1),ROWS(Tables!$A$99:$A$118)-1))))),IF(AD158=10000,(INDEX(Tables!$D$99:$D$118,MAX(1,MIN(IFERROR(MATCH(AF158,Tables!$C$99:$C$118,1),1),ROWS(Tables!$C$99:$C$118)-1)))+(AF158-INDEX(Tables!$C$99:$C$118,MAX(1,MIN(IFERROR(MATCH(AF158,Tables!$C$99:$C$118,1),1),ROWS(Tables!$C$99:$C$118)-1))))*(INDEX(Tables!$D$99:$D$118,MAX(1,MIN(IFERROR(MATCH(AF158,Tables!$C$99:$C$118,1),1),ROWS(Tables!$C$99:$C$118)-1))+1)-INDEX(Tables!$D$99:$D$118,MAX(1,MIN(IFERROR(MATCH(AF158,Tables!$C$99:$C$118,1),1),ROWS(Tables!$C$99:$C$118)-1))))/(INDEX(Tables!$C$99:$C$118,MAX(1,MIN(IFERROR(MATCH(AF158,Tables!$C$99:$C$118,1),1),ROWS(Tables!$C$99:$C$118)-1))+1)-INDEX(Tables!$C$99:$C$118,MAX(1,MIN(IFERROR(MATCH(AF158,Tables!$C$99:$C$118,1),1),ROWS(Tables!$C$99:$C$118)-1))))),(INDEX(Tables!$F$99:$F$118,MAX(1,MIN(IFERROR(MATCH(AF158,Tables!$E$99:$E$118,1),1),ROWS(Tables!$E$99:$E$118)-1)))+(AF158-INDEX(Tables!$E$99:$E$118,MAX(1,MIN(IFERROR(MATCH(AF158,Tables!$E$99:$E$118,1),1),ROWS(Tables!$E$99:$E$118)-1))))*(INDEX(Tables!$F$99:$F$118,MAX(1,MIN(IFERROR(MATCH(AF158,Tables!$E$99:$E$118,1),1),ROWS(Tables!$E$99:$E$118)-1))+1)-INDEX(Tables!$F$99:$F$118,MAX(1,MIN(IFERROR(MATCH(AF158,Tables!$E$99:$E$118,1),1),ROWS(Tables!$E$99:$E$118)-1))))/(INDEX(Tables!$E$99:$E$118,MAX(1,MIN(IFERROR(MATCH(AF158,Tables!$E$99:$E$118,1),1),ROWS(Tables!$E$99:$E$118)-1))+1)-INDEX(Tables!$E$99:$E$118,MAX(1,MIN(IFERROR(MATCH(AF158,Tables!$E$99:$E$118,1),1),ROWS(Tables!$E$99:$E$118)-1)))))))</f>
        <v>1.9059999999999999</v>
      </c>
      <c r="AQ158" s="181">
        <f>IF(P158&lt;6,(INDEX(Tables!$B$123:$B$138,MAX(1,MIN(IFERROR(MATCH(U158,Tables!$A$123:$A$138,1),1),ROWS(Tables!$A$123:$A$138)-1)))+(U158-INDEX(Tables!$A$123:$A$138,MAX(1,MIN(IFERROR(MATCH(U158,Tables!$A$123:$A$138,1),1),ROWS(Tables!$A$123:$A$138)-1))))*(INDEX(Tables!$B$123:$B$138,MAX(1,MIN(IFERROR(MATCH(U158,Tables!$A$123:$A$138,1),1),ROWS(Tables!$A$123:$A$138)-1))+1)-INDEX(Tables!$B$123:$B$138,MAX(1,MIN(IFERROR(MATCH(U158,Tables!$A$123:$A$138,1),1),ROWS(Tables!$A$123:$A$138)-1))))/(INDEX(Tables!$A$123:$A$138,MAX(1,MIN(IFERROR(MATCH(U158,Tables!$A$123:$A$138,1),1),ROWS(Tables!$A$123:$A$138)-1))+1)-INDEX(Tables!$A$123:$A$138,MAX(1,MIN(IFERROR(MATCH(U158,Tables!$A$123:$A$138,1),1),ROWS(Tables!$A$123:$A$138)-1))))),IF(P158&lt;8,(INDEX(Tables!$D$123:$D$138,MAX(1,MIN(IFERROR(MATCH(U158,Tables!$C$123:$C$138,1),1),ROWS(Tables!$C$123:$C$138)-1)))+(U158-INDEX(Tables!$C$123:$C$138,MAX(1,MIN(IFERROR(MATCH(U158,Tables!$C$123:$C$138,1),1),ROWS(Tables!$C$123:$C$138)-1))))*(INDEX(Tables!$D$123:$D$138,MAX(1,MIN(IFERROR(MATCH(U158,Tables!$C$123:$C$138,1),1),ROWS(Tables!$C$123:$C$138)-1))+1)-INDEX(Tables!$D$123:$D$138,MAX(1,MIN(IFERROR(MATCH(U158,Tables!$C$123:$C$138,1),1),ROWS(Tables!$C$123:$C$138)-1))))/(INDEX(Tables!$C$123:$C$138,MAX(1,MIN(IFERROR(MATCH(U158,Tables!$C$123:$C$138,1),1),ROWS(Tables!$C$123:$C$138)-1))+1)-INDEX(Tables!$C$123:$C$138,MAX(1,MIN(IFERROR(MATCH(U158,Tables!$C$123:$C$138,1),1),ROWS(Tables!$C$123:$C$138)-1))))),IF(P158&lt;10,(INDEX(Tables!$F$123:$F$138,MAX(1,MIN(IFERROR(MATCH(U158,Tables!$E$123:$E$138,1),1),ROWS(Tables!$E$123:$E$138)-1)))+(U158-INDEX(Tables!$E$123:$E$138,MAX(1,MIN(IFERROR(MATCH(U158,Tables!$E$123:$E$138,1),1),ROWS(Tables!$E$123:$E$138)-1))))*(INDEX(Tables!$F$123:$F$138,MAX(1,MIN(IFERROR(MATCH(U158,Tables!$E$123:$E$138,1),1),ROWS(Tables!$E$123:$E$138)-1))+1)-INDEX(Tables!$F$123:$F$138,MAX(1,MIN(IFERROR(MATCH(U158,Tables!$E$123:$E$138,1),1),ROWS(Tables!$E$123:$E$138)-1))))/(INDEX(Tables!$E$123:$E$138,MAX(1,MIN(IFERROR(MATCH(U158,Tables!$E$123:$E$138,1),1),ROWS(Tables!$E$123:$E$138)-1))+1)-INDEX(Tables!$E$123:$E$138,MAX(1,MIN(IFERROR(MATCH(U158,Tables!$E$123:$E$138,1),1),ROWS(Tables!$E$123:$E$138)-1))))),(INDEX(Tables!$H$123:$H$138,MAX(1,MIN(IFERROR(MATCH(U158,Tables!$G$123:$G$138,1),1),ROWS(Tables!$G$123:$G$138)-1)))+(U158-INDEX(Tables!$G$123:$G$138,MAX(1,MIN(IFERROR(MATCH(U158,Tables!$G$123:$G$138,1),1),ROWS(Tables!$G$123:$G$138)-1))))*(INDEX(Tables!$H$123:$H$138,MAX(1,MIN(IFERROR(MATCH(U158,Tables!$G$123:$G$138,1),1),ROWS(Tables!$G$123:$G$138)-1))+1)-INDEX(Tables!$H$123:$H$138,MAX(1,MIN(IFERROR(MATCH(U158,Tables!$G$123:$G$138,1),1),ROWS(Tables!$G$123:$G$138)-1))))/(INDEX(Tables!$G$123:$G$138,MAX(1,MIN(IFERROR(MATCH(U158,Tables!$G$123:$G$138,1),1),ROWS(Tables!$G$123:$G$138)-1))+1)-INDEX(Tables!$G$123:$G$138,MAX(1,MIN(IFERROR(MATCH(U158,Tables!$G$123:$G$138,1),1),ROWS(Tables!$G$123:$G$138)-1))))))))</f>
        <v>1.01675</v>
      </c>
      <c r="AR158" s="181">
        <f>IF(OR(P158&gt;=4,U158&gt;12),VLOOKUP(R158&amp;" "&amp;S158,Tables!$D$143:$F$148,2,FALSE),VLOOKUP(R158&amp;" "&amp;S158,Tables!$A$143:$C$148,2,FALSE))</f>
        <v>0.9</v>
      </c>
      <c r="AS158" s="181">
        <f>IF(OR(P158&gt;=4,U158&gt;12),VLOOKUP(R158&amp;" "&amp;S158,Tables!$D$143:$F$148,3,FALSE),VLOOKUP(R158&amp;" "&amp;S158,Tables!$A$143:$C$148,3,FALSE))</f>
        <v>0.65</v>
      </c>
      <c r="AT158" s="181">
        <f t="shared" si="136"/>
        <v>139.4641675186738</v>
      </c>
      <c r="AU158" s="181">
        <f>IF(AD158=5000,(INDEX(Tables!$B$244:$B$263,MAX(1,MIN(IFERROR(MATCH(AF158,Tables!$A$244:$A$263,1),1),ROWS(Tables!$A$244:$A$263)-1)))+(AF158-INDEX(Tables!$A$244:$A$263,MAX(1,MIN(IFERROR(MATCH(AF158,Tables!$A$244:$A$263,1),1),ROWS(Tables!$A$244:$A$263)-1))))*(INDEX(Tables!$B$244:$B$263,MAX(1,MIN(IFERROR(MATCH(AF158,Tables!$A$244:$A$263,1),1),ROWS(Tables!$A$244:$A$263)-1))+1)-INDEX(Tables!$B$244:$B$263,MAX(1,MIN(IFERROR(MATCH(AF158,Tables!$A$244:$A$263,1),1),ROWS(Tables!$A$244:$A$263)-1))))/(INDEX(Tables!$A$244:$A$263,MAX(1,MIN(IFERROR(MATCH(AF158,Tables!$A$244:$A$263,1),1),ROWS(Tables!$A$244:$A$263)-1))+1)-INDEX(Tables!$A$244:$A$263,MAX(1,MIN(IFERROR(MATCH(AF158,Tables!$A$244:$A$263,1),1),ROWS(Tables!$A$244:$A$263)-1))))),IF(AD158=10000,(INDEX(Tables!$D$244:$D$263,MAX(1,MIN(IFERROR(MATCH(AF158,Tables!$C$244:$C$263,1),1),ROWS(Tables!$C$244:$C$263)-1)))+(AF158-INDEX(Tables!$C$244:$C$263,MAX(1,MIN(IFERROR(MATCH(AF158,Tables!$C$244:$C$263,1),1),ROWS(Tables!$C$244:$C$263)-1))))*(INDEX(Tables!$D$244:$D$263,MAX(1,MIN(IFERROR(MATCH(AF158,Tables!$C$244:$C$263,1),1),ROWS(Tables!$C$244:$C$263)-1))+1)-INDEX(Tables!$D$244:$D$263,MAX(1,MIN(IFERROR(MATCH(AF158,Tables!$C$244:$C$263,1),1),ROWS(Tables!$C$244:$C$263)-1))))/(INDEX(Tables!$C$244:$C$263,MAX(1,MIN(IFERROR(MATCH(AF158,Tables!$C$244:$C$263,1),1),ROWS(Tables!$C$244:$C$263)-1))+1)-INDEX(Tables!$C$244:$C$263,MAX(1,MIN(IFERROR(MATCH(AF158,Tables!$C$244:$C$263,1),1),ROWS(Tables!$C$244:$C$263)-1))))),(INDEX(Tables!$F$244:$F$263,MAX(1,MIN(IFERROR(MATCH(AF158,Tables!$E$244:$E$263,1),1),ROWS(Tables!$E$244:$E$263)-1)))+(AF158-INDEX(Tables!$E$244:$E$263,MAX(1,MIN(IFERROR(MATCH(AF158,Tables!$E$244:$E$263,1),1),ROWS(Tables!$E$244:$E$263)-1))))*(INDEX(Tables!$F$244:$F$263,MAX(1,MIN(IFERROR(MATCH(AF158,Tables!$E$244:$E$263,1),1),ROWS(Tables!$E$244:$E$263)-1))+1)-INDEX(Tables!$F$244:$F$263,MAX(1,MIN(IFERROR(MATCH(AF158,Tables!$E$244:$E$263,1),1),ROWS(Tables!$E$244:$E$263)-1))))/(INDEX(Tables!$E$244:$E$263,MAX(1,MIN(IFERROR(MATCH(AF158,Tables!$E$244:$E$263,1),1),ROWS(Tables!$E$244:$E$263)-1))+1)-INDEX(Tables!$E$244:$E$263,MAX(1,MIN(IFERROR(MATCH(AF158,Tables!$E$244:$E$263,1),1),ROWS(Tables!$E$244:$E$263)-1)))))))</f>
        <v>2.5920000000000001</v>
      </c>
      <c r="AV158" s="181">
        <f>IF(P158&lt;6,(INDEX(Tables!$B$260:$B$274,MAX(1,MIN(IFERROR(MATCH(U158,Tables!$A$260:$A$274,1),1),ROWS(Tables!$A$260:$A$274)-1)))+(U158-INDEX(Tables!$A$260:$A$274,MAX(1,MIN(IFERROR(MATCH(U158,Tables!$A$260:$A$274,1),1),ROWS(Tables!$A$260:$A$274)-1))))*(INDEX(Tables!$B$260:$B$274,MAX(1,MIN(IFERROR(MATCH(U158,Tables!$A$260:$A$274,1),1),ROWS(Tables!$A$260:$A$274)-1))+1)-INDEX(Tables!$B$260:$B$274,MAX(1,MIN(IFERROR(MATCH(U158,Tables!$A$260:$A$274,1),1),ROWS(Tables!$A$260:$A$274)-1))))/(INDEX(Tables!$A$260:$A$274,MAX(1,MIN(IFERROR(MATCH(U158,Tables!$A$260:$A$274,1),1),ROWS(Tables!$A$260:$A$274)-1))+1)-INDEX(Tables!$A$260:$A$274,MAX(1,MIN(IFERROR(MATCH(U158,Tables!$A$260:$A$274,1),1),ROWS(Tables!$A$260:$A$274)-1))))),IF(P158&lt;8,(INDEX(Tables!$D$260:$D$274,MAX(1,MIN(IFERROR(MATCH(U158,Tables!$C$260:$C$274,1),1),ROWS(Tables!$C$260:$C$274)-1)))+(U158-INDEX(Tables!$C$260:$C$274,MAX(1,MIN(IFERROR(MATCH(U158,Tables!$C$260:$C$274,1),1),ROWS(Tables!$C$260:$C$274)-1))))*(INDEX(Tables!$D$260:$D$274,MAX(1,MIN(IFERROR(MATCH(U158,Tables!$C$260:$C$274,1),1),ROWS(Tables!$C$260:$C$274)-1))+1)-INDEX(Tables!$D$260:$D$274,MAX(1,MIN(IFERROR(MATCH(U158,Tables!$C$260:$C$274,1),1),ROWS(Tables!$C$260:$C$274)-1))))/(INDEX(Tables!$C$260:$C$274,MAX(1,MIN(IFERROR(MATCH(U158,Tables!$C$260:$C$274,1),1),ROWS(Tables!$C$260:$C$274)-1))+1)-INDEX(Tables!$C$260:$C$274,MAX(1,MIN(IFERROR(MATCH(U158,Tables!$C$260:$C$274,1),1),ROWS(Tables!$C$260:$C$274)-1))))),IF(P158&lt;10,(INDEX(Tables!$F$260:$F$274,MAX(1,MIN(IFERROR(MATCH(U158,Tables!$E$260:$E$274,1),1),ROWS(Tables!$E$260:$E$274)-1)))+(U158-INDEX(Tables!$E$260:$E$274,MAX(1,MIN(IFERROR(MATCH(U158,Tables!$E$260:$E$274,1),1),ROWS(Tables!$E$260:$E$274)-1))))*(INDEX(Tables!$F$260:$F$274,MAX(1,MIN(IFERROR(MATCH(U158,Tables!$E$260:$E$274,1),1),ROWS(Tables!$E$260:$E$274)-1))+1)-INDEX(Tables!$F$260:$F$274,MAX(1,MIN(IFERROR(MATCH(U158,Tables!$E$260:$E$274,1),1),ROWS(Tables!$E$260:$E$274)-1))))/(INDEX(Tables!$E$260:$E$274,MAX(1,MIN(IFERROR(MATCH(U158,Tables!$E$260:$E$274,1),1),ROWS(Tables!$E$260:$E$274)-1))+1)-INDEX(Tables!$E$260:$E$274,MAX(1,MIN(IFERROR(MATCH(U158,Tables!$E$260:$E$274,1),1),ROWS(Tables!$E$260:$E$274)-1))))),(INDEX(Tables!$H$260:$H$274,MAX(1,MIN(IFERROR(MATCH(U158,Tables!$G$260:$G$274,1),1),ROWS(Tables!$G$260:$G$274)-1)))+(U158-INDEX(Tables!$G$260:$G$274,MAX(1,MIN(IFERROR(MATCH(U158,Tables!$G$260:$G$274,1),1),ROWS(Tables!$G$260:$G$274)-1))))*(INDEX(Tables!$H$260:$H$274,MAX(1,MIN(IFERROR(MATCH(U158,Tables!$G$260:$G$274,1),1),ROWS(Tables!$G$260:$G$274)-1))+1)-INDEX(Tables!$H$260:$H$274,MAX(1,MIN(IFERROR(MATCH(U158,Tables!$G$260:$G$274,1),1),ROWS(Tables!$G$260:$G$274)-1))))/(INDEX(Tables!$G$260:$G$274,MAX(1,MIN(IFERROR(MATCH(U158,Tables!$G$260:$G$274,1),1),ROWS(Tables!$G$260:$G$274)-1))+1)-INDEX(Tables!$G$260:$G$274,MAX(1,MIN(IFERROR(MATCH(U158,Tables!$G$260:$G$274,1),1),ROWS(Tables!$G$260:$G$274)-1))))))))</f>
        <v>1.0024999999999999</v>
      </c>
      <c r="AW158" s="181">
        <f t="shared" si="137"/>
        <v>187.00143530487807</v>
      </c>
      <c r="AX158" s="181">
        <f t="shared" si="138"/>
        <v>4358.9939024390242</v>
      </c>
      <c r="AY158" s="181">
        <f t="shared" si="139"/>
        <v>4590.1512243421139</v>
      </c>
      <c r="AZ158" s="181">
        <f t="shared" si="140"/>
        <v>1522.2075523519102</v>
      </c>
      <c r="BA158" s="181">
        <f t="shared" si="141"/>
        <v>-1000</v>
      </c>
      <c r="BB158" s="181">
        <f t="shared" si="142"/>
        <v>4848.8967829115199</v>
      </c>
      <c r="BC158" s="181">
        <f t="shared" si="143"/>
        <v>46800</v>
      </c>
      <c r="BD158" s="181">
        <f>VLOOKUP(V158&amp;" "&amp;J158,Tables!$A$152:$E$239,4,FALSE)</f>
        <v>12000</v>
      </c>
      <c r="BE158" s="181">
        <f>VLOOKUP(V158&amp;" "&amp;J158,Tables!$A$152:$E$239,5,FALSE)</f>
        <v>23000</v>
      </c>
      <c r="BF158" s="181">
        <f t="shared" si="144"/>
        <v>8640</v>
      </c>
      <c r="BG158" s="181">
        <f t="shared" si="145"/>
        <v>16560</v>
      </c>
      <c r="BH158" s="181">
        <f t="shared" si="146"/>
        <v>4858.9939024390242</v>
      </c>
      <c r="BI158" s="181">
        <f t="shared" si="147"/>
        <v>46800</v>
      </c>
      <c r="BJ158" s="181">
        <f t="shared" si="148"/>
        <v>4848.8967829115199</v>
      </c>
      <c r="BK158" s="181">
        <f t="shared" si="149"/>
        <v>46800</v>
      </c>
      <c r="BL158" s="181">
        <f t="shared" si="150"/>
        <v>187.00143530487807</v>
      </c>
      <c r="BM158" s="181">
        <f t="shared" si="151"/>
        <v>8640</v>
      </c>
      <c r="BN158" s="181">
        <f t="shared" si="152"/>
        <v>139.4641675186738</v>
      </c>
      <c r="BO158" s="181">
        <f t="shared" si="153"/>
        <v>16560</v>
      </c>
      <c r="BP158" t="str">
        <f t="shared" si="154"/>
        <v>Pass</v>
      </c>
      <c r="BQ158" t="str">
        <f t="shared" si="155"/>
        <v>Pass</v>
      </c>
      <c r="BR158" t="str">
        <f t="shared" si="156"/>
        <v>Pass</v>
      </c>
      <c r="BS158" t="str">
        <f t="shared" si="157"/>
        <v>Pass</v>
      </c>
      <c r="BT158" t="str">
        <f t="shared" si="158"/>
        <v>Pass</v>
      </c>
      <c r="BU158" t="str">
        <f t="shared" si="159"/>
        <v>Barlow Stress</v>
      </c>
    </row>
    <row r="159" spans="1:73">
      <c r="A159" t="s">
        <v>751</v>
      </c>
      <c r="B159" s="181">
        <v>157</v>
      </c>
      <c r="C159" t="s">
        <v>594</v>
      </c>
      <c r="D159" s="181">
        <v>16</v>
      </c>
      <c r="E159" s="181">
        <v>1.9690000000000001</v>
      </c>
      <c r="F159" t="s">
        <v>117</v>
      </c>
      <c r="G159" t="s">
        <v>119</v>
      </c>
      <c r="H159" t="s">
        <v>122</v>
      </c>
      <c r="I159" s="181">
        <v>1</v>
      </c>
      <c r="J159" t="s">
        <v>126</v>
      </c>
      <c r="K159" t="s">
        <v>129</v>
      </c>
      <c r="L159" s="181">
        <v>70</v>
      </c>
      <c r="M159" s="181">
        <v>1000</v>
      </c>
      <c r="N159" t="s">
        <v>389</v>
      </c>
      <c r="O159" s="181">
        <v>120</v>
      </c>
      <c r="P159" s="181">
        <v>8</v>
      </c>
      <c r="Q159" s="181">
        <v>18</v>
      </c>
      <c r="R159" t="s">
        <v>418</v>
      </c>
      <c r="S159" t="s">
        <v>420</v>
      </c>
      <c r="T159" s="181">
        <v>70</v>
      </c>
      <c r="U159" s="181">
        <f>HLOOKUP(D159,'Highway Loading'!$C$155:$AD$156,2,FALSE)</f>
        <v>16</v>
      </c>
      <c r="V159" s="181">
        <f>IF(ISBLANK(G159),"",INDEX('Highway Loading'!$C$216:$AG$216,1,MATCH(G159,'Highway Loading'!$C$215:$AG$215,0)))</f>
        <v>65000</v>
      </c>
      <c r="W159" s="181">
        <f>INDEX('Highway Loading'!$I$245:$L$253,MATCH(H159,'Highway Loading'!$H$245:$H$253,0),MATCH(I159,'Highway Loading'!$I$244:$L$244,0))</f>
        <v>0.72</v>
      </c>
      <c r="X159" s="181">
        <f t="shared" si="128"/>
        <v>1</v>
      </c>
      <c r="Y159" s="181">
        <f>VLOOKUP(K159,'Highway Loading'!$B$283:$E$292,2,FALSE)</f>
        <v>29000000</v>
      </c>
      <c r="Z159" s="181">
        <f>VLOOKUP(K159,'Highway Loading'!$B$283:$E$292,3,FALSE)</f>
        <v>0.3</v>
      </c>
      <c r="AA159" s="181">
        <f>VLOOKUP(K159,'Highway Loading'!$B$283:$E$292,4,FALSE)</f>
        <v>6.4999999999999996E-6</v>
      </c>
      <c r="AB159" s="181">
        <f t="shared" si="129"/>
        <v>1</v>
      </c>
      <c r="AC159" s="181">
        <f>VLOOKUP(N159,'Highway Loading'!$B$256:$D$261,2,FALSE)</f>
        <v>500</v>
      </c>
      <c r="AD159" s="181">
        <f>VLOOKUP(N159,'Highway Loading'!$B$256:$D$261,3,FALSE)</f>
        <v>5000</v>
      </c>
      <c r="AE159" s="181">
        <f>VLOOKUP(S159,'Highway Loading'!$B$340:$C$341,2,FALSE)</f>
        <v>12000</v>
      </c>
      <c r="AF159" s="181">
        <f t="shared" si="130"/>
        <v>0.12306250000000001</v>
      </c>
      <c r="AG159" s="181">
        <f t="shared" si="131"/>
        <v>5.333333333333333</v>
      </c>
      <c r="AH159" s="181">
        <f t="shared" si="132"/>
        <v>1.125</v>
      </c>
      <c r="AI159" s="181">
        <f t="shared" si="133"/>
        <v>4062.9761300152359</v>
      </c>
      <c r="AJ159" s="181">
        <f t="shared" si="134"/>
        <v>46800</v>
      </c>
      <c r="AK159" s="181">
        <f>IF(AC159=200,(INDEX(Tables!$B$17:$B$38,MAX(1,MIN(IFERROR(MATCH(AF159,Tables!$A$17:$A$38,1),1),ROWS(Tables!$A$17:$A$38)-1)))+(AF159-INDEX(Tables!$A$17:$A$38,MAX(1,MIN(IFERROR(MATCH(AF159,Tables!$A$17:$A$38,1),1),ROWS(Tables!$A$17:$A$38)-1))))*(INDEX(Tables!$B$17:$B$38,MAX(1,MIN(IFERROR(MATCH(AF159,Tables!$A$17:$A$38,1),1),ROWS(Tables!$A$17:$A$38)-1))+1)-INDEX(Tables!$B$17:$B$38,MAX(1,MIN(IFERROR(MATCH(AF159,Tables!$A$17:$A$38,1),1),ROWS(Tables!$A$17:$A$38)-1))))/(INDEX(Tables!$A$17:$A$38,MAX(1,MIN(IFERROR(MATCH(AF159,Tables!$A$17:$A$38,1),1),ROWS(Tables!$A$17:$A$38)-1))+1)-INDEX(Tables!$A$17:$A$38,MAX(1,MIN(IFERROR(MATCH(AF159,Tables!$A$17:$A$38,1),1),ROWS(Tables!$A$17:$A$38)-1))))),IF(AC159=500,(INDEX(Tables!$D$17:$D$38,MAX(1,MIN(IFERROR(MATCH(AF159,Tables!$C$17:$C$38,1),1),ROWS(Tables!$C$17:$C$38)-1)))+(AF159-INDEX(Tables!$C$17:$C$38,MAX(1,MIN(IFERROR(MATCH(AF159,Tables!$C$17:$C$38,1),1),ROWS(Tables!$C$17:$C$38)-1))))*(INDEX(Tables!$D$17:$D$38,MAX(1,MIN(IFERROR(MATCH(AF159,Tables!$C$17:$C$38,1),1),ROWS(Tables!$C$17:$C$38)-1))+1)-INDEX(Tables!$D$17:$D$38,MAX(1,MIN(IFERROR(MATCH(AF159,Tables!$C$17:$C$38,1),1),ROWS(Tables!$C$17:$C$38)-1))))/(INDEX(Tables!$C$17:$C$38,MAX(1,MIN(IFERROR(MATCH(AF159,Tables!$C$17:$C$38,1),1),ROWS(Tables!$C$17:$C$38)-1))+1)-INDEX(Tables!$C$17:$C$38,MAX(1,MIN(IFERROR(MATCH(AF159,Tables!$C$17:$C$38,1),1),ROWS(Tables!$C$17:$C$38)-1))))),IF(AC159=1000,(INDEX(Tables!$F$17:$F$38,MAX(1,MIN(IFERROR(MATCH(AF159,Tables!$E$17:$E$38,1),1),ROWS(Tables!$E$17:$E$38)-1)))+(AF159-INDEX(Tables!$E$17:$E$38,MAX(1,MIN(IFERROR(MATCH(AF159,Tables!$E$17:$E$38,1),1),ROWS(Tables!$E$17:$E$38)-1))))*(INDEX(Tables!$F$17:$F$38,MAX(1,MIN(IFERROR(MATCH(AF159,Tables!$E$17:$E$38,1),1),ROWS(Tables!$E$17:$E$38)-1))+1)-INDEX(Tables!$F$17:$F$38,MAX(1,MIN(IFERROR(MATCH(AF159,Tables!$E$17:$E$38,1),1),ROWS(Tables!$E$17:$E$38)-1))))/(INDEX(Tables!$E$17:$E$38,MAX(1,MIN(IFERROR(MATCH(AF159,Tables!$E$17:$E$38,1),1),ROWS(Tables!$E$17:$E$38)-1))+1)-INDEX(Tables!$E$17:$E$38,MAX(1,MIN(IFERROR(MATCH(AF159,Tables!$E$17:$E$38,1),1),ROWS(Tables!$E$17:$E$38)-1))))),(INDEX(Tables!$H$17:$H$38,MAX(1,MIN(IFERROR(MATCH(AF159,Tables!$G$17:$G$38,1),1),ROWS(Tables!$G$17:$G$38)-1)))+(AF159-INDEX(Tables!$G$17:$G$38,MAX(1,MIN(IFERROR(MATCH(AF159,Tables!$G$17:$G$38,1),1),ROWS(Tables!$G$17:$G$38)-1))))*(INDEX(Tables!$H$17:$H$38,MAX(1,MIN(IFERROR(MATCH(AF159,Tables!$G$17:$G$38,1),1),ROWS(Tables!$G$17:$G$38)-1))+1)-INDEX(Tables!$H$17:$H$38,MAX(1,MIN(IFERROR(MATCH(AF159,Tables!$G$17:$G$38,1),1),ROWS(Tables!$G$17:$G$38)-1))))/(INDEX(Tables!$G$17:$G$38,MAX(1,MIN(IFERROR(MATCH(AF159,Tables!$G$17:$G$38,1),1),ROWS(Tables!$G$17:$G$38)-1))+1)-INDEX(Tables!$G$17:$G$38,MAX(1,MIN(IFERROR(MATCH(AF159,Tables!$G$17:$G$38,1),1),ROWS(Tables!$G$17:$G$38)-1))))))))</f>
        <v>88</v>
      </c>
      <c r="AL159" s="181">
        <f>IF(AC159&lt;1000,(INDEX(Tables!$B$43:$B$76,MAX(1,MIN(IFERROR(MATCH(AG159,Tables!$A$43:$A$76,1),1),ROWS(Tables!$A$43:$A$76)-1)))+(AG159-INDEX(Tables!$A$43:$A$76,MAX(1,MIN(IFERROR(MATCH(AG159,Tables!$A$43:$A$76,1),1),ROWS(Tables!$A$43:$A$76)-1))))*(INDEX(Tables!$B$43:$B$76,MAX(1,MIN(IFERROR(MATCH(AG159,Tables!$A$43:$A$76,1),1),ROWS(Tables!$A$43:$A$76)-1))+1)-INDEX(Tables!$B$43:$B$76,MAX(1,MIN(IFERROR(MATCH(AG159,Tables!$A$43:$A$76,1),1),ROWS(Tables!$A$43:$A$76)-1))))/(INDEX(Tables!$A$43:$A$76,MAX(1,MIN(IFERROR(MATCH(AG159,Tables!$A$43:$A$76,1),1),ROWS(Tables!$A$43:$A$76)-1))+1)-INDEX(Tables!$A$43:$A$76,MAX(1,MIN(IFERROR(MATCH(AG159,Tables!$A$43:$A$76,1),1),ROWS(Tables!$A$43:$A$76)-1))))),(INDEX(Tables!$D$43:$D$76,MAX(1,MIN(IFERROR(MATCH(AG159,Tables!$C$43:$C$76,1),1),ROWS(Tables!$C$43:$C$76)-1)))+(AG159-INDEX(Tables!$C$43:$C$76,MAX(1,MIN(IFERROR(MATCH(AG159,Tables!$C$43:$C$76,1),1),ROWS(Tables!$C$43:$C$76)-1))))*(INDEX(Tables!$D$43:$D$76,MAX(1,MIN(IFERROR(MATCH(AG159,Tables!$C$43:$C$76,1),1),ROWS(Tables!$C$43:$C$76)-1))+1)-INDEX(Tables!$D$43:$D$76,MAX(1,MIN(IFERROR(MATCH(AG159,Tables!$C$43:$C$76,1),1),ROWS(Tables!$C$43:$C$76)-1))))/(INDEX(Tables!$C$43:$C$76,MAX(1,MIN(IFERROR(MATCH(AG159,Tables!$C$43:$C$76,1),1),ROWS(Tables!$C$43:$C$76)-1))+1)-INDEX(Tables!$C$43:$C$76,MAX(1,MIN(IFERROR(MATCH(AG159,Tables!$C$43:$C$76,1),1),ROWS(Tables!$C$43:$C$76)-1))))))</f>
        <v>1.1053333333333333</v>
      </c>
      <c r="AM159" s="181">
        <f>(INDEX(Tables!$B$80:$B$87,MAX(1,MIN(IFERROR(MATCH(AH159,Tables!$A$80:$A$87,1),1),ROWS(Tables!$A$80:$A$87)-1)))+(AH159-INDEX(Tables!$A$80:$A$87,MAX(1,MIN(IFERROR(MATCH(AH159,Tables!$A$80:$A$87,1),1),ROWS(Tables!$A$80:$A$87)-1))))*(INDEX(Tables!$B$80:$B$87,MAX(1,MIN(IFERROR(MATCH(AH159,Tables!$A$80:$A$87,1),1),ROWS(Tables!$A$80:$A$87)-1))+1)-INDEX(Tables!$B$80:$B$87,MAX(1,MIN(IFERROR(MATCH(AH159,Tables!$A$80:$A$87,1),1),ROWS(Tables!$A$80:$A$87)-1))))/(INDEX(Tables!$A$80:$A$87,MAX(1,MIN(IFERROR(MATCH(AH159,Tables!$A$80:$A$87,1),1),ROWS(Tables!$A$80:$A$87)-1))+1)-INDEX(Tables!$A$80:$A$87,MAX(1,MIN(IFERROR(MATCH(AH159,Tables!$A$80:$A$87,1),1),ROWS(Tables!$A$80:$A$87)-1)))))</f>
        <v>1.04345</v>
      </c>
      <c r="AN159" s="181">
        <f t="shared" si="135"/>
        <v>112.77298429629629</v>
      </c>
      <c r="AO159" s="181">
        <f>(INDEX(Tables!$B$91:$B$94,MAX(1,MIN(IFERROR(MATCH(P159,Tables!$A$91:$A$94,1),1),ROWS(Tables!$A$91:$A$94)-1)))+(P159-INDEX(Tables!$A$91:$A$94,MAX(1,MIN(IFERROR(MATCH(P159,Tables!$A$91:$A$94,1),1),ROWS(Tables!$A$91:$A$94)-1))))*(INDEX(Tables!$B$91:$B$94,MAX(1,MIN(IFERROR(MATCH(P159,Tables!$A$91:$A$94,1),1),ROWS(Tables!$A$91:$A$94)-1))+1)-INDEX(Tables!$B$91:$B$94,MAX(1,MIN(IFERROR(MATCH(P159,Tables!$A$91:$A$94,1),1),ROWS(Tables!$A$91:$A$94)-1))))/(INDEX(Tables!$A$91:$A$94,MAX(1,MIN(IFERROR(MATCH(P159,Tables!$A$91:$A$94,1),1),ROWS(Tables!$A$91:$A$94)-1))+1)-INDEX(Tables!$A$91:$A$94,MAX(1,MIN(IFERROR(MATCH(P159,Tables!$A$91:$A$94,1),1),ROWS(Tables!$A$91:$A$94)-1)))))</f>
        <v>1.4152439024390244</v>
      </c>
      <c r="AP159" s="181">
        <f>IF(AD159=5000,(INDEX(Tables!$B$99:$B$118,MAX(1,MIN(IFERROR(MATCH(AF159,Tables!$A$99:$A$118,1),1),ROWS(Tables!$A$99:$A$118)-1)))+(AF159-INDEX(Tables!$A$99:$A$118,MAX(1,MIN(IFERROR(MATCH(AF159,Tables!$A$99:$A$118,1),1),ROWS(Tables!$A$99:$A$118)-1))))*(INDEX(Tables!$B$99:$B$118,MAX(1,MIN(IFERROR(MATCH(AF159,Tables!$A$99:$A$118,1),1),ROWS(Tables!$A$99:$A$118)-1))+1)-INDEX(Tables!$B$99:$B$118,MAX(1,MIN(IFERROR(MATCH(AF159,Tables!$A$99:$A$118,1),1),ROWS(Tables!$A$99:$A$118)-1))))/(INDEX(Tables!$A$99:$A$118,MAX(1,MIN(IFERROR(MATCH(AF159,Tables!$A$99:$A$118,1),1),ROWS(Tables!$A$99:$A$118)-1))+1)-INDEX(Tables!$A$99:$A$118,MAX(1,MIN(IFERROR(MATCH(AF159,Tables!$A$99:$A$118,1),1),ROWS(Tables!$A$99:$A$118)-1))))),IF(AD159=10000,(INDEX(Tables!$D$99:$D$118,MAX(1,MIN(IFERROR(MATCH(AF159,Tables!$C$99:$C$118,1),1),ROWS(Tables!$C$99:$C$118)-1)))+(AF159-INDEX(Tables!$C$99:$C$118,MAX(1,MIN(IFERROR(MATCH(AF159,Tables!$C$99:$C$118,1),1),ROWS(Tables!$C$99:$C$118)-1))))*(INDEX(Tables!$D$99:$D$118,MAX(1,MIN(IFERROR(MATCH(AF159,Tables!$C$99:$C$118,1),1),ROWS(Tables!$C$99:$C$118)-1))+1)-INDEX(Tables!$D$99:$D$118,MAX(1,MIN(IFERROR(MATCH(AF159,Tables!$C$99:$C$118,1),1),ROWS(Tables!$C$99:$C$118)-1))))/(INDEX(Tables!$C$99:$C$118,MAX(1,MIN(IFERROR(MATCH(AF159,Tables!$C$99:$C$118,1),1),ROWS(Tables!$C$99:$C$118)-1))+1)-INDEX(Tables!$C$99:$C$118,MAX(1,MIN(IFERROR(MATCH(AF159,Tables!$C$99:$C$118,1),1),ROWS(Tables!$C$99:$C$118)-1))))),(INDEX(Tables!$F$99:$F$118,MAX(1,MIN(IFERROR(MATCH(AF159,Tables!$E$99:$E$118,1),1),ROWS(Tables!$E$99:$E$118)-1)))+(AF159-INDEX(Tables!$E$99:$E$118,MAX(1,MIN(IFERROR(MATCH(AF159,Tables!$E$99:$E$118,1),1),ROWS(Tables!$E$99:$E$118)-1))))*(INDEX(Tables!$F$99:$F$118,MAX(1,MIN(IFERROR(MATCH(AF159,Tables!$E$99:$E$118,1),1),ROWS(Tables!$E$99:$E$118)-1))+1)-INDEX(Tables!$F$99:$F$118,MAX(1,MIN(IFERROR(MATCH(AF159,Tables!$E$99:$E$118,1),1),ROWS(Tables!$E$99:$E$118)-1))))/(INDEX(Tables!$E$99:$E$118,MAX(1,MIN(IFERROR(MATCH(AF159,Tables!$E$99:$E$118,1),1),ROWS(Tables!$E$99:$E$118)-1))+1)-INDEX(Tables!$E$99:$E$118,MAX(1,MIN(IFERROR(MATCH(AF159,Tables!$E$99:$E$118,1),1),ROWS(Tables!$E$99:$E$118)-1)))))))</f>
        <v>1.9059999999999999</v>
      </c>
      <c r="AQ159" s="181">
        <f>IF(P159&lt;6,(INDEX(Tables!$B$123:$B$138,MAX(1,MIN(IFERROR(MATCH(U159,Tables!$A$123:$A$138,1),1),ROWS(Tables!$A$123:$A$138)-1)))+(U159-INDEX(Tables!$A$123:$A$138,MAX(1,MIN(IFERROR(MATCH(U159,Tables!$A$123:$A$138,1),1),ROWS(Tables!$A$123:$A$138)-1))))*(INDEX(Tables!$B$123:$B$138,MAX(1,MIN(IFERROR(MATCH(U159,Tables!$A$123:$A$138,1),1),ROWS(Tables!$A$123:$A$138)-1))+1)-INDEX(Tables!$B$123:$B$138,MAX(1,MIN(IFERROR(MATCH(U159,Tables!$A$123:$A$138,1),1),ROWS(Tables!$A$123:$A$138)-1))))/(INDEX(Tables!$A$123:$A$138,MAX(1,MIN(IFERROR(MATCH(U159,Tables!$A$123:$A$138,1),1),ROWS(Tables!$A$123:$A$138)-1))+1)-INDEX(Tables!$A$123:$A$138,MAX(1,MIN(IFERROR(MATCH(U159,Tables!$A$123:$A$138,1),1),ROWS(Tables!$A$123:$A$138)-1))))),IF(P159&lt;8,(INDEX(Tables!$D$123:$D$138,MAX(1,MIN(IFERROR(MATCH(U159,Tables!$C$123:$C$138,1),1),ROWS(Tables!$C$123:$C$138)-1)))+(U159-INDEX(Tables!$C$123:$C$138,MAX(1,MIN(IFERROR(MATCH(U159,Tables!$C$123:$C$138,1),1),ROWS(Tables!$C$123:$C$138)-1))))*(INDEX(Tables!$D$123:$D$138,MAX(1,MIN(IFERROR(MATCH(U159,Tables!$C$123:$C$138,1),1),ROWS(Tables!$C$123:$C$138)-1))+1)-INDEX(Tables!$D$123:$D$138,MAX(1,MIN(IFERROR(MATCH(U159,Tables!$C$123:$C$138,1),1),ROWS(Tables!$C$123:$C$138)-1))))/(INDEX(Tables!$C$123:$C$138,MAX(1,MIN(IFERROR(MATCH(U159,Tables!$C$123:$C$138,1),1),ROWS(Tables!$C$123:$C$138)-1))+1)-INDEX(Tables!$C$123:$C$138,MAX(1,MIN(IFERROR(MATCH(U159,Tables!$C$123:$C$138,1),1),ROWS(Tables!$C$123:$C$138)-1))))),IF(P159&lt;10,(INDEX(Tables!$F$123:$F$138,MAX(1,MIN(IFERROR(MATCH(U159,Tables!$E$123:$E$138,1),1),ROWS(Tables!$E$123:$E$138)-1)))+(U159-INDEX(Tables!$E$123:$E$138,MAX(1,MIN(IFERROR(MATCH(U159,Tables!$E$123:$E$138,1),1),ROWS(Tables!$E$123:$E$138)-1))))*(INDEX(Tables!$F$123:$F$138,MAX(1,MIN(IFERROR(MATCH(U159,Tables!$E$123:$E$138,1),1),ROWS(Tables!$E$123:$E$138)-1))+1)-INDEX(Tables!$F$123:$F$138,MAX(1,MIN(IFERROR(MATCH(U159,Tables!$E$123:$E$138,1),1),ROWS(Tables!$E$123:$E$138)-1))))/(INDEX(Tables!$E$123:$E$138,MAX(1,MIN(IFERROR(MATCH(U159,Tables!$E$123:$E$138,1),1),ROWS(Tables!$E$123:$E$138)-1))+1)-INDEX(Tables!$E$123:$E$138,MAX(1,MIN(IFERROR(MATCH(U159,Tables!$E$123:$E$138,1),1),ROWS(Tables!$E$123:$E$138)-1))))),(INDEX(Tables!$H$123:$H$138,MAX(1,MIN(IFERROR(MATCH(U159,Tables!$G$123:$G$138,1),1),ROWS(Tables!$G$123:$G$138)-1)))+(U159-INDEX(Tables!$G$123:$G$138,MAX(1,MIN(IFERROR(MATCH(U159,Tables!$G$123:$G$138,1),1),ROWS(Tables!$G$123:$G$138)-1))))*(INDEX(Tables!$H$123:$H$138,MAX(1,MIN(IFERROR(MATCH(U159,Tables!$G$123:$G$138,1),1),ROWS(Tables!$G$123:$G$138)-1))+1)-INDEX(Tables!$H$123:$H$138,MAX(1,MIN(IFERROR(MATCH(U159,Tables!$G$123:$G$138,1),1),ROWS(Tables!$G$123:$G$138)-1))))/(INDEX(Tables!$G$123:$G$138,MAX(1,MIN(IFERROR(MATCH(U159,Tables!$G$123:$G$138,1),1),ROWS(Tables!$G$123:$G$138)-1))+1)-INDEX(Tables!$G$123:$G$138,MAX(1,MIN(IFERROR(MATCH(U159,Tables!$G$123:$G$138,1),1),ROWS(Tables!$G$123:$G$138)-1))))))))</f>
        <v>0.79200000000000004</v>
      </c>
      <c r="AR159" s="181">
        <f>IF(OR(P159&gt;=4,U159&gt;12),VLOOKUP(R159&amp;" "&amp;S159,Tables!$D$143:$F$148,2,FALSE),VLOOKUP(R159&amp;" "&amp;S159,Tables!$A$143:$C$148,2,FALSE))</f>
        <v>0.9</v>
      </c>
      <c r="AS159" s="181">
        <f>IF(OR(P159&gt;=4,U159&gt;12),VLOOKUP(R159&amp;" "&amp;S159,Tables!$D$143:$F$148,3,FALSE),VLOOKUP(R159&amp;" "&amp;S159,Tables!$A$143:$C$148,3,FALSE))</f>
        <v>0.65</v>
      </c>
      <c r="AT159" s="181">
        <f t="shared" si="136"/>
        <v>104.14873284146341</v>
      </c>
      <c r="AU159" s="181">
        <f>IF(AD159=5000,(INDEX(Tables!$B$244:$B$263,MAX(1,MIN(IFERROR(MATCH(AF159,Tables!$A$244:$A$263,1),1),ROWS(Tables!$A$244:$A$263)-1)))+(AF159-INDEX(Tables!$A$244:$A$263,MAX(1,MIN(IFERROR(MATCH(AF159,Tables!$A$244:$A$263,1),1),ROWS(Tables!$A$244:$A$263)-1))))*(INDEX(Tables!$B$244:$B$263,MAX(1,MIN(IFERROR(MATCH(AF159,Tables!$A$244:$A$263,1),1),ROWS(Tables!$A$244:$A$263)-1))+1)-INDEX(Tables!$B$244:$B$263,MAX(1,MIN(IFERROR(MATCH(AF159,Tables!$A$244:$A$263,1),1),ROWS(Tables!$A$244:$A$263)-1))))/(INDEX(Tables!$A$244:$A$263,MAX(1,MIN(IFERROR(MATCH(AF159,Tables!$A$244:$A$263,1),1),ROWS(Tables!$A$244:$A$263)-1))+1)-INDEX(Tables!$A$244:$A$263,MAX(1,MIN(IFERROR(MATCH(AF159,Tables!$A$244:$A$263,1),1),ROWS(Tables!$A$244:$A$263)-1))))),IF(AD159=10000,(INDEX(Tables!$D$244:$D$263,MAX(1,MIN(IFERROR(MATCH(AF159,Tables!$C$244:$C$263,1),1),ROWS(Tables!$C$244:$C$263)-1)))+(AF159-INDEX(Tables!$C$244:$C$263,MAX(1,MIN(IFERROR(MATCH(AF159,Tables!$C$244:$C$263,1),1),ROWS(Tables!$C$244:$C$263)-1))))*(INDEX(Tables!$D$244:$D$263,MAX(1,MIN(IFERROR(MATCH(AF159,Tables!$C$244:$C$263,1),1),ROWS(Tables!$C$244:$C$263)-1))+1)-INDEX(Tables!$D$244:$D$263,MAX(1,MIN(IFERROR(MATCH(AF159,Tables!$C$244:$C$263,1),1),ROWS(Tables!$C$244:$C$263)-1))))/(INDEX(Tables!$C$244:$C$263,MAX(1,MIN(IFERROR(MATCH(AF159,Tables!$C$244:$C$263,1),1),ROWS(Tables!$C$244:$C$263)-1))+1)-INDEX(Tables!$C$244:$C$263,MAX(1,MIN(IFERROR(MATCH(AF159,Tables!$C$244:$C$263,1),1),ROWS(Tables!$C$244:$C$263)-1))))),(INDEX(Tables!$F$244:$F$263,MAX(1,MIN(IFERROR(MATCH(AF159,Tables!$E$244:$E$263,1),1),ROWS(Tables!$E$244:$E$263)-1)))+(AF159-INDEX(Tables!$E$244:$E$263,MAX(1,MIN(IFERROR(MATCH(AF159,Tables!$E$244:$E$263,1),1),ROWS(Tables!$E$244:$E$263)-1))))*(INDEX(Tables!$F$244:$F$263,MAX(1,MIN(IFERROR(MATCH(AF159,Tables!$E$244:$E$263,1),1),ROWS(Tables!$E$244:$E$263)-1))+1)-INDEX(Tables!$F$244:$F$263,MAX(1,MIN(IFERROR(MATCH(AF159,Tables!$E$244:$E$263,1),1),ROWS(Tables!$E$244:$E$263)-1))))/(INDEX(Tables!$E$244:$E$263,MAX(1,MIN(IFERROR(MATCH(AF159,Tables!$E$244:$E$263,1),1),ROWS(Tables!$E$244:$E$263)-1))+1)-INDEX(Tables!$E$244:$E$263,MAX(1,MIN(IFERROR(MATCH(AF159,Tables!$E$244:$E$263,1),1),ROWS(Tables!$E$244:$E$263)-1)))))))</f>
        <v>2.5920000000000001</v>
      </c>
      <c r="AV159" s="181">
        <f>IF(P159&lt;6,(INDEX(Tables!$B$260:$B$274,MAX(1,MIN(IFERROR(MATCH(U159,Tables!$A$260:$A$274,1),1),ROWS(Tables!$A$260:$A$274)-1)))+(U159-INDEX(Tables!$A$260:$A$274,MAX(1,MIN(IFERROR(MATCH(U159,Tables!$A$260:$A$274,1),1),ROWS(Tables!$A$260:$A$274)-1))))*(INDEX(Tables!$B$260:$B$274,MAX(1,MIN(IFERROR(MATCH(U159,Tables!$A$260:$A$274,1),1),ROWS(Tables!$A$260:$A$274)-1))+1)-INDEX(Tables!$B$260:$B$274,MAX(1,MIN(IFERROR(MATCH(U159,Tables!$A$260:$A$274,1),1),ROWS(Tables!$A$260:$A$274)-1))))/(INDEX(Tables!$A$260:$A$274,MAX(1,MIN(IFERROR(MATCH(U159,Tables!$A$260:$A$274,1),1),ROWS(Tables!$A$260:$A$274)-1))+1)-INDEX(Tables!$A$260:$A$274,MAX(1,MIN(IFERROR(MATCH(U159,Tables!$A$260:$A$274,1),1),ROWS(Tables!$A$260:$A$274)-1))))),IF(P159&lt;8,(INDEX(Tables!$D$260:$D$274,MAX(1,MIN(IFERROR(MATCH(U159,Tables!$C$260:$C$274,1),1),ROWS(Tables!$C$260:$C$274)-1)))+(U159-INDEX(Tables!$C$260:$C$274,MAX(1,MIN(IFERROR(MATCH(U159,Tables!$C$260:$C$274,1),1),ROWS(Tables!$C$260:$C$274)-1))))*(INDEX(Tables!$D$260:$D$274,MAX(1,MIN(IFERROR(MATCH(U159,Tables!$C$260:$C$274,1),1),ROWS(Tables!$C$260:$C$274)-1))+1)-INDEX(Tables!$D$260:$D$274,MAX(1,MIN(IFERROR(MATCH(U159,Tables!$C$260:$C$274,1),1),ROWS(Tables!$C$260:$C$274)-1))))/(INDEX(Tables!$C$260:$C$274,MAX(1,MIN(IFERROR(MATCH(U159,Tables!$C$260:$C$274,1),1),ROWS(Tables!$C$260:$C$274)-1))+1)-INDEX(Tables!$C$260:$C$274,MAX(1,MIN(IFERROR(MATCH(U159,Tables!$C$260:$C$274,1),1),ROWS(Tables!$C$260:$C$274)-1))))),IF(P159&lt;10,(INDEX(Tables!$F$260:$F$274,MAX(1,MIN(IFERROR(MATCH(U159,Tables!$E$260:$E$274,1),1),ROWS(Tables!$E$260:$E$274)-1)))+(U159-INDEX(Tables!$E$260:$E$274,MAX(1,MIN(IFERROR(MATCH(U159,Tables!$E$260:$E$274,1),1),ROWS(Tables!$E$260:$E$274)-1))))*(INDEX(Tables!$F$260:$F$274,MAX(1,MIN(IFERROR(MATCH(U159,Tables!$E$260:$E$274,1),1),ROWS(Tables!$E$260:$E$274)-1))+1)-INDEX(Tables!$F$260:$F$274,MAX(1,MIN(IFERROR(MATCH(U159,Tables!$E$260:$E$274,1),1),ROWS(Tables!$E$260:$E$274)-1))))/(INDEX(Tables!$E$260:$E$274,MAX(1,MIN(IFERROR(MATCH(U159,Tables!$E$260:$E$274,1),1),ROWS(Tables!$E$260:$E$274)-1))+1)-INDEX(Tables!$E$260:$E$274,MAX(1,MIN(IFERROR(MATCH(U159,Tables!$E$260:$E$274,1),1),ROWS(Tables!$E$260:$E$274)-1))))),(INDEX(Tables!$H$260:$H$274,MAX(1,MIN(IFERROR(MATCH(U159,Tables!$G$260:$G$274,1),1),ROWS(Tables!$G$260:$G$274)-1)))+(U159-INDEX(Tables!$G$260:$G$274,MAX(1,MIN(IFERROR(MATCH(U159,Tables!$G$260:$G$274,1),1),ROWS(Tables!$G$260:$G$274)-1))))*(INDEX(Tables!$H$260:$H$274,MAX(1,MIN(IFERROR(MATCH(U159,Tables!$G$260:$G$274,1),1),ROWS(Tables!$G$260:$G$274)-1))+1)-INDEX(Tables!$H$260:$H$274,MAX(1,MIN(IFERROR(MATCH(U159,Tables!$G$260:$G$274,1),1),ROWS(Tables!$G$260:$G$274)-1))))/(INDEX(Tables!$G$260:$G$274,MAX(1,MIN(IFERROR(MATCH(U159,Tables!$G$260:$G$274,1),1),ROWS(Tables!$G$260:$G$274)-1))+1)-INDEX(Tables!$G$260:$G$274,MAX(1,MIN(IFERROR(MATCH(U159,Tables!$G$260:$G$274,1),1),ROWS(Tables!$G$260:$G$274)-1))))))))</f>
        <v>0.84099999999999997</v>
      </c>
      <c r="AW159" s="181">
        <f t="shared" si="137"/>
        <v>150.3962146097561</v>
      </c>
      <c r="AX159" s="181">
        <f t="shared" si="138"/>
        <v>3562.9761300152359</v>
      </c>
      <c r="AY159" s="181">
        <f t="shared" si="139"/>
        <v>3779.8978471529954</v>
      </c>
      <c r="AZ159" s="181">
        <f t="shared" si="140"/>
        <v>1253.1209489032155</v>
      </c>
      <c r="BA159" s="181">
        <f t="shared" si="141"/>
        <v>-1000</v>
      </c>
      <c r="BB159" s="181">
        <f t="shared" si="142"/>
        <v>4141.7737102075689</v>
      </c>
      <c r="BC159" s="181">
        <f t="shared" si="143"/>
        <v>46800</v>
      </c>
      <c r="BD159" s="181">
        <f>VLOOKUP(V159&amp;" "&amp;J159,Tables!$A$152:$E$239,4,FALSE)</f>
        <v>12000</v>
      </c>
      <c r="BE159" s="181">
        <f>VLOOKUP(V159&amp;" "&amp;J159,Tables!$A$152:$E$239,5,FALSE)</f>
        <v>23000</v>
      </c>
      <c r="BF159" s="181">
        <f t="shared" si="144"/>
        <v>8640</v>
      </c>
      <c r="BG159" s="181">
        <f t="shared" si="145"/>
        <v>16560</v>
      </c>
      <c r="BH159" s="181">
        <f t="shared" si="146"/>
        <v>4062.9761300152359</v>
      </c>
      <c r="BI159" s="181">
        <f t="shared" si="147"/>
        <v>46800</v>
      </c>
      <c r="BJ159" s="181">
        <f t="shared" si="148"/>
        <v>4141.7737102075689</v>
      </c>
      <c r="BK159" s="181">
        <f t="shared" si="149"/>
        <v>46800</v>
      </c>
      <c r="BL159" s="181">
        <f t="shared" si="150"/>
        <v>150.3962146097561</v>
      </c>
      <c r="BM159" s="181">
        <f t="shared" si="151"/>
        <v>8640</v>
      </c>
      <c r="BN159" s="181">
        <f t="shared" si="152"/>
        <v>104.14873284146341</v>
      </c>
      <c r="BO159" s="181">
        <f t="shared" si="153"/>
        <v>16560</v>
      </c>
      <c r="BP159" t="str">
        <f t="shared" si="154"/>
        <v>Pass</v>
      </c>
      <c r="BQ159" t="str">
        <f t="shared" si="155"/>
        <v>Pass</v>
      </c>
      <c r="BR159" t="str">
        <f t="shared" si="156"/>
        <v>Pass</v>
      </c>
      <c r="BS159" t="str">
        <f t="shared" si="157"/>
        <v>Pass</v>
      </c>
      <c r="BT159" t="str">
        <f t="shared" si="158"/>
        <v>Pass</v>
      </c>
      <c r="BU159" t="str">
        <f t="shared" si="159"/>
        <v>Effective Stress</v>
      </c>
    </row>
    <row r="160" spans="1:73">
      <c r="A160" t="s">
        <v>752</v>
      </c>
      <c r="B160" s="181">
        <v>158</v>
      </c>
      <c r="C160" t="s">
        <v>594</v>
      </c>
      <c r="D160" s="181">
        <v>24</v>
      </c>
      <c r="E160" s="181">
        <v>2.3439999999999999</v>
      </c>
      <c r="F160" t="s">
        <v>117</v>
      </c>
      <c r="G160" t="s">
        <v>119</v>
      </c>
      <c r="H160" t="s">
        <v>122</v>
      </c>
      <c r="I160" s="181">
        <v>1</v>
      </c>
      <c r="J160" t="s">
        <v>126</v>
      </c>
      <c r="K160" t="s">
        <v>129</v>
      </c>
      <c r="L160" s="181">
        <v>70</v>
      </c>
      <c r="M160" s="181">
        <v>1000</v>
      </c>
      <c r="N160" t="s">
        <v>389</v>
      </c>
      <c r="O160" s="181">
        <v>120</v>
      </c>
      <c r="P160" s="181">
        <v>10</v>
      </c>
      <c r="Q160" s="181">
        <v>26</v>
      </c>
      <c r="R160" t="s">
        <v>418</v>
      </c>
      <c r="S160" t="s">
        <v>420</v>
      </c>
      <c r="T160" s="181">
        <v>70</v>
      </c>
      <c r="U160" s="181">
        <f>HLOOKUP(D160,'Highway Loading'!$C$155:$AD$156,2,FALSE)</f>
        <v>24</v>
      </c>
      <c r="V160" s="181">
        <f>IF(ISBLANK(G160),"",INDEX('Highway Loading'!$C$216:$AG$216,1,MATCH(G160,'Highway Loading'!$C$215:$AG$215,0)))</f>
        <v>65000</v>
      </c>
      <c r="W160" s="181">
        <f>INDEX('Highway Loading'!$I$245:$L$253,MATCH(H160,'Highway Loading'!$H$245:$H$253,0),MATCH(I160,'Highway Loading'!$I$244:$L$244,0))</f>
        <v>0.72</v>
      </c>
      <c r="X160" s="181">
        <f t="shared" si="128"/>
        <v>1</v>
      </c>
      <c r="Y160" s="181">
        <f>VLOOKUP(K160,'Highway Loading'!$B$283:$E$292,2,FALSE)</f>
        <v>29000000</v>
      </c>
      <c r="Z160" s="181">
        <f>VLOOKUP(K160,'Highway Loading'!$B$283:$E$292,3,FALSE)</f>
        <v>0.3</v>
      </c>
      <c r="AA160" s="181">
        <f>VLOOKUP(K160,'Highway Loading'!$B$283:$E$292,4,FALSE)</f>
        <v>6.4999999999999996E-6</v>
      </c>
      <c r="AB160" s="181">
        <f t="shared" si="129"/>
        <v>1</v>
      </c>
      <c r="AC160" s="181">
        <f>VLOOKUP(N160,'Highway Loading'!$B$256:$D$261,2,FALSE)</f>
        <v>500</v>
      </c>
      <c r="AD160" s="181">
        <f>VLOOKUP(N160,'Highway Loading'!$B$256:$D$261,3,FALSE)</f>
        <v>5000</v>
      </c>
      <c r="AE160" s="181">
        <f>VLOOKUP(S160,'Highway Loading'!$B$340:$C$341,2,FALSE)</f>
        <v>12000</v>
      </c>
      <c r="AF160" s="181">
        <f t="shared" si="130"/>
        <v>9.7666666666666666E-2</v>
      </c>
      <c r="AG160" s="181">
        <f t="shared" si="131"/>
        <v>4.615384615384615</v>
      </c>
      <c r="AH160" s="181">
        <f t="shared" si="132"/>
        <v>1.0833333333333333</v>
      </c>
      <c r="AI160" s="181">
        <f t="shared" si="133"/>
        <v>5119.4539249146765</v>
      </c>
      <c r="AJ160" s="181">
        <f t="shared" si="134"/>
        <v>46800</v>
      </c>
      <c r="AK160" s="181">
        <f>IF(AC160=200,(INDEX(Tables!$B$17:$B$38,MAX(1,MIN(IFERROR(MATCH(AF160,Tables!$A$17:$A$38,1),1),ROWS(Tables!$A$17:$A$38)-1)))+(AF160-INDEX(Tables!$A$17:$A$38,MAX(1,MIN(IFERROR(MATCH(AF160,Tables!$A$17:$A$38,1),1),ROWS(Tables!$A$17:$A$38)-1))))*(INDEX(Tables!$B$17:$B$38,MAX(1,MIN(IFERROR(MATCH(AF160,Tables!$A$17:$A$38,1),1),ROWS(Tables!$A$17:$A$38)-1))+1)-INDEX(Tables!$B$17:$B$38,MAX(1,MIN(IFERROR(MATCH(AF160,Tables!$A$17:$A$38,1),1),ROWS(Tables!$A$17:$A$38)-1))))/(INDEX(Tables!$A$17:$A$38,MAX(1,MIN(IFERROR(MATCH(AF160,Tables!$A$17:$A$38,1),1),ROWS(Tables!$A$17:$A$38)-1))+1)-INDEX(Tables!$A$17:$A$38,MAX(1,MIN(IFERROR(MATCH(AF160,Tables!$A$17:$A$38,1),1),ROWS(Tables!$A$17:$A$38)-1))))),IF(AC160=500,(INDEX(Tables!$D$17:$D$38,MAX(1,MIN(IFERROR(MATCH(AF160,Tables!$C$17:$C$38,1),1),ROWS(Tables!$C$17:$C$38)-1)))+(AF160-INDEX(Tables!$C$17:$C$38,MAX(1,MIN(IFERROR(MATCH(AF160,Tables!$C$17:$C$38,1),1),ROWS(Tables!$C$17:$C$38)-1))))*(INDEX(Tables!$D$17:$D$38,MAX(1,MIN(IFERROR(MATCH(AF160,Tables!$C$17:$C$38,1),1),ROWS(Tables!$C$17:$C$38)-1))+1)-INDEX(Tables!$D$17:$D$38,MAX(1,MIN(IFERROR(MATCH(AF160,Tables!$C$17:$C$38,1),1),ROWS(Tables!$C$17:$C$38)-1))))/(INDEX(Tables!$C$17:$C$38,MAX(1,MIN(IFERROR(MATCH(AF160,Tables!$C$17:$C$38,1),1),ROWS(Tables!$C$17:$C$38)-1))+1)-INDEX(Tables!$C$17:$C$38,MAX(1,MIN(IFERROR(MATCH(AF160,Tables!$C$17:$C$38,1),1),ROWS(Tables!$C$17:$C$38)-1))))),IF(AC160=1000,(INDEX(Tables!$F$17:$F$38,MAX(1,MIN(IFERROR(MATCH(AF160,Tables!$E$17:$E$38,1),1),ROWS(Tables!$E$17:$E$38)-1)))+(AF160-INDEX(Tables!$E$17:$E$38,MAX(1,MIN(IFERROR(MATCH(AF160,Tables!$E$17:$E$38,1),1),ROWS(Tables!$E$17:$E$38)-1))))*(INDEX(Tables!$F$17:$F$38,MAX(1,MIN(IFERROR(MATCH(AF160,Tables!$E$17:$E$38,1),1),ROWS(Tables!$E$17:$E$38)-1))+1)-INDEX(Tables!$F$17:$F$38,MAX(1,MIN(IFERROR(MATCH(AF160,Tables!$E$17:$E$38,1),1),ROWS(Tables!$E$17:$E$38)-1))))/(INDEX(Tables!$E$17:$E$38,MAX(1,MIN(IFERROR(MATCH(AF160,Tables!$E$17:$E$38,1),1),ROWS(Tables!$E$17:$E$38)-1))+1)-INDEX(Tables!$E$17:$E$38,MAX(1,MIN(IFERROR(MATCH(AF160,Tables!$E$17:$E$38,1),1),ROWS(Tables!$E$17:$E$38)-1))))),(INDEX(Tables!$H$17:$H$38,MAX(1,MIN(IFERROR(MATCH(AF160,Tables!$G$17:$G$38,1),1),ROWS(Tables!$G$17:$G$38)-1)))+(AF160-INDEX(Tables!$G$17:$G$38,MAX(1,MIN(IFERROR(MATCH(AF160,Tables!$G$17:$G$38,1),1),ROWS(Tables!$G$17:$G$38)-1))))*(INDEX(Tables!$H$17:$H$38,MAX(1,MIN(IFERROR(MATCH(AF160,Tables!$G$17:$G$38,1),1),ROWS(Tables!$G$17:$G$38)-1))+1)-INDEX(Tables!$H$17:$H$38,MAX(1,MIN(IFERROR(MATCH(AF160,Tables!$G$17:$G$38,1),1),ROWS(Tables!$G$17:$G$38)-1))))/(INDEX(Tables!$G$17:$G$38,MAX(1,MIN(IFERROR(MATCH(AF160,Tables!$G$17:$G$38,1),1),ROWS(Tables!$G$17:$G$38)-1))+1)-INDEX(Tables!$G$17:$G$38,MAX(1,MIN(IFERROR(MATCH(AF160,Tables!$G$17:$G$38,1),1),ROWS(Tables!$G$17:$G$38)-1))))))))</f>
        <v>88</v>
      </c>
      <c r="AL160" s="181">
        <f>IF(AC160&lt;1000,(INDEX(Tables!$B$43:$B$76,MAX(1,MIN(IFERROR(MATCH(AG160,Tables!$A$43:$A$76,1),1),ROWS(Tables!$A$43:$A$76)-1)))+(AG160-INDEX(Tables!$A$43:$A$76,MAX(1,MIN(IFERROR(MATCH(AG160,Tables!$A$43:$A$76,1),1),ROWS(Tables!$A$43:$A$76)-1))))*(INDEX(Tables!$B$43:$B$76,MAX(1,MIN(IFERROR(MATCH(AG160,Tables!$A$43:$A$76,1),1),ROWS(Tables!$A$43:$A$76)-1))+1)-INDEX(Tables!$B$43:$B$76,MAX(1,MIN(IFERROR(MATCH(AG160,Tables!$A$43:$A$76,1),1),ROWS(Tables!$A$43:$A$76)-1))))/(INDEX(Tables!$A$43:$A$76,MAX(1,MIN(IFERROR(MATCH(AG160,Tables!$A$43:$A$76,1),1),ROWS(Tables!$A$43:$A$76)-1))+1)-INDEX(Tables!$A$43:$A$76,MAX(1,MIN(IFERROR(MATCH(AG160,Tables!$A$43:$A$76,1),1),ROWS(Tables!$A$43:$A$76)-1))))),(INDEX(Tables!$D$43:$D$76,MAX(1,MIN(IFERROR(MATCH(AG160,Tables!$C$43:$C$76,1),1),ROWS(Tables!$C$43:$C$76)-1)))+(AG160-INDEX(Tables!$C$43:$C$76,MAX(1,MIN(IFERROR(MATCH(AG160,Tables!$C$43:$C$76,1),1),ROWS(Tables!$C$43:$C$76)-1))))*(INDEX(Tables!$D$43:$D$76,MAX(1,MIN(IFERROR(MATCH(AG160,Tables!$C$43:$C$76,1),1),ROWS(Tables!$C$43:$C$76)-1))+1)-INDEX(Tables!$D$43:$D$76,MAX(1,MIN(IFERROR(MATCH(AG160,Tables!$C$43:$C$76,1),1),ROWS(Tables!$C$43:$C$76)-1))))/(INDEX(Tables!$C$43:$C$76,MAX(1,MIN(IFERROR(MATCH(AG160,Tables!$C$43:$C$76,1),1),ROWS(Tables!$C$43:$C$76)-1))+1)-INDEX(Tables!$C$43:$C$76,MAX(1,MIN(IFERROR(MATCH(AG160,Tables!$C$43:$C$76,1),1),ROWS(Tables!$C$43:$C$76)-1))))))</f>
        <v>1.0408461538461538</v>
      </c>
      <c r="AM160" s="181">
        <f>(INDEX(Tables!$B$80:$B$87,MAX(1,MIN(IFERROR(MATCH(AH160,Tables!$A$80:$A$87,1),1),ROWS(Tables!$A$80:$A$87)-1)))+(AH160-INDEX(Tables!$A$80:$A$87,MAX(1,MIN(IFERROR(MATCH(AH160,Tables!$A$80:$A$87,1),1),ROWS(Tables!$A$80:$A$87)-1))))*(INDEX(Tables!$B$80:$B$87,MAX(1,MIN(IFERROR(MATCH(AH160,Tables!$A$80:$A$87,1),1),ROWS(Tables!$A$80:$A$87)-1))+1)-INDEX(Tables!$B$80:$B$87,MAX(1,MIN(IFERROR(MATCH(AH160,Tables!$A$80:$A$87,1),1),ROWS(Tables!$A$80:$A$87)-1))))/(INDEX(Tables!$A$80:$A$87,MAX(1,MIN(IFERROR(MATCH(AH160,Tables!$A$80:$A$87,1),1),ROWS(Tables!$A$80:$A$87)-1))+1)-INDEX(Tables!$A$80:$A$87,MAX(1,MIN(IFERROR(MATCH(AH160,Tables!$A$80:$A$87,1),1),ROWS(Tables!$A$80:$A$87)-1)))))</f>
        <v>0.96739999999999982</v>
      </c>
      <c r="AN160" s="181">
        <f t="shared" si="135"/>
        <v>147.68080348717945</v>
      </c>
      <c r="AO160" s="181">
        <f>(INDEX(Tables!$B$91:$B$94,MAX(1,MIN(IFERROR(MATCH(P160,Tables!$A$91:$A$94,1),1),ROWS(Tables!$A$91:$A$94)-1)))+(P160-INDEX(Tables!$A$91:$A$94,MAX(1,MIN(IFERROR(MATCH(P160,Tables!$A$91:$A$94,1),1),ROWS(Tables!$A$91:$A$94)-1))))*(INDEX(Tables!$B$91:$B$94,MAX(1,MIN(IFERROR(MATCH(P160,Tables!$A$91:$A$94,1),1),ROWS(Tables!$A$91:$A$94)-1))+1)-INDEX(Tables!$B$91:$B$94,MAX(1,MIN(IFERROR(MATCH(P160,Tables!$A$91:$A$94,1),1),ROWS(Tables!$A$91:$A$94)-1))))/(INDEX(Tables!$A$91:$A$94,MAX(1,MIN(IFERROR(MATCH(P160,Tables!$A$91:$A$94,1),1),ROWS(Tables!$A$91:$A$94)-1))+1)-INDEX(Tables!$A$91:$A$94,MAX(1,MIN(IFERROR(MATCH(P160,Tables!$A$91:$A$94,1),1),ROWS(Tables!$A$91:$A$94)-1)))))</f>
        <v>1.3542682926829268</v>
      </c>
      <c r="AP160" s="181">
        <f>IF(AD160=5000,(INDEX(Tables!$B$99:$B$118,MAX(1,MIN(IFERROR(MATCH(AF160,Tables!$A$99:$A$118,1),1),ROWS(Tables!$A$99:$A$118)-1)))+(AF160-INDEX(Tables!$A$99:$A$118,MAX(1,MIN(IFERROR(MATCH(AF160,Tables!$A$99:$A$118,1),1),ROWS(Tables!$A$99:$A$118)-1))))*(INDEX(Tables!$B$99:$B$118,MAX(1,MIN(IFERROR(MATCH(AF160,Tables!$A$99:$A$118,1),1),ROWS(Tables!$A$99:$A$118)-1))+1)-INDEX(Tables!$B$99:$B$118,MAX(1,MIN(IFERROR(MATCH(AF160,Tables!$A$99:$A$118,1),1),ROWS(Tables!$A$99:$A$118)-1))))/(INDEX(Tables!$A$99:$A$118,MAX(1,MIN(IFERROR(MATCH(AF160,Tables!$A$99:$A$118,1),1),ROWS(Tables!$A$99:$A$118)-1))+1)-INDEX(Tables!$A$99:$A$118,MAX(1,MIN(IFERROR(MATCH(AF160,Tables!$A$99:$A$118,1),1),ROWS(Tables!$A$99:$A$118)-1))))),IF(AD160=10000,(INDEX(Tables!$D$99:$D$118,MAX(1,MIN(IFERROR(MATCH(AF160,Tables!$C$99:$C$118,1),1),ROWS(Tables!$C$99:$C$118)-1)))+(AF160-INDEX(Tables!$C$99:$C$118,MAX(1,MIN(IFERROR(MATCH(AF160,Tables!$C$99:$C$118,1),1),ROWS(Tables!$C$99:$C$118)-1))))*(INDEX(Tables!$D$99:$D$118,MAX(1,MIN(IFERROR(MATCH(AF160,Tables!$C$99:$C$118,1),1),ROWS(Tables!$C$99:$C$118)-1))+1)-INDEX(Tables!$D$99:$D$118,MAX(1,MIN(IFERROR(MATCH(AF160,Tables!$C$99:$C$118,1),1),ROWS(Tables!$C$99:$C$118)-1))))/(INDEX(Tables!$C$99:$C$118,MAX(1,MIN(IFERROR(MATCH(AF160,Tables!$C$99:$C$118,1),1),ROWS(Tables!$C$99:$C$118)-1))+1)-INDEX(Tables!$C$99:$C$118,MAX(1,MIN(IFERROR(MATCH(AF160,Tables!$C$99:$C$118,1),1),ROWS(Tables!$C$99:$C$118)-1))))),(INDEX(Tables!$F$99:$F$118,MAX(1,MIN(IFERROR(MATCH(AF160,Tables!$E$99:$E$118,1),1),ROWS(Tables!$E$99:$E$118)-1)))+(AF160-INDEX(Tables!$E$99:$E$118,MAX(1,MIN(IFERROR(MATCH(AF160,Tables!$E$99:$E$118,1),1),ROWS(Tables!$E$99:$E$118)-1))))*(INDEX(Tables!$F$99:$F$118,MAX(1,MIN(IFERROR(MATCH(AF160,Tables!$E$99:$E$118,1),1),ROWS(Tables!$E$99:$E$118)-1))+1)-INDEX(Tables!$F$99:$F$118,MAX(1,MIN(IFERROR(MATCH(AF160,Tables!$E$99:$E$118,1),1),ROWS(Tables!$E$99:$E$118)-1))))/(INDEX(Tables!$E$99:$E$118,MAX(1,MIN(IFERROR(MATCH(AF160,Tables!$E$99:$E$118,1),1),ROWS(Tables!$E$99:$E$118)-1))+1)-INDEX(Tables!$E$99:$E$118,MAX(1,MIN(IFERROR(MATCH(AF160,Tables!$E$99:$E$118,1),1),ROWS(Tables!$E$99:$E$118)-1)))))))</f>
        <v>1.9059999999999999</v>
      </c>
      <c r="AQ160" s="181">
        <f>IF(P160&lt;6,(INDEX(Tables!$B$123:$B$138,MAX(1,MIN(IFERROR(MATCH(U160,Tables!$A$123:$A$138,1),1),ROWS(Tables!$A$123:$A$138)-1)))+(U160-INDEX(Tables!$A$123:$A$138,MAX(1,MIN(IFERROR(MATCH(U160,Tables!$A$123:$A$138,1),1),ROWS(Tables!$A$123:$A$138)-1))))*(INDEX(Tables!$B$123:$B$138,MAX(1,MIN(IFERROR(MATCH(U160,Tables!$A$123:$A$138,1),1),ROWS(Tables!$A$123:$A$138)-1))+1)-INDEX(Tables!$B$123:$B$138,MAX(1,MIN(IFERROR(MATCH(U160,Tables!$A$123:$A$138,1),1),ROWS(Tables!$A$123:$A$138)-1))))/(INDEX(Tables!$A$123:$A$138,MAX(1,MIN(IFERROR(MATCH(U160,Tables!$A$123:$A$138,1),1),ROWS(Tables!$A$123:$A$138)-1))+1)-INDEX(Tables!$A$123:$A$138,MAX(1,MIN(IFERROR(MATCH(U160,Tables!$A$123:$A$138,1),1),ROWS(Tables!$A$123:$A$138)-1))))),IF(P160&lt;8,(INDEX(Tables!$D$123:$D$138,MAX(1,MIN(IFERROR(MATCH(U160,Tables!$C$123:$C$138,1),1),ROWS(Tables!$C$123:$C$138)-1)))+(U160-INDEX(Tables!$C$123:$C$138,MAX(1,MIN(IFERROR(MATCH(U160,Tables!$C$123:$C$138,1),1),ROWS(Tables!$C$123:$C$138)-1))))*(INDEX(Tables!$D$123:$D$138,MAX(1,MIN(IFERROR(MATCH(U160,Tables!$C$123:$C$138,1),1),ROWS(Tables!$C$123:$C$138)-1))+1)-INDEX(Tables!$D$123:$D$138,MAX(1,MIN(IFERROR(MATCH(U160,Tables!$C$123:$C$138,1),1),ROWS(Tables!$C$123:$C$138)-1))))/(INDEX(Tables!$C$123:$C$138,MAX(1,MIN(IFERROR(MATCH(U160,Tables!$C$123:$C$138,1),1),ROWS(Tables!$C$123:$C$138)-1))+1)-INDEX(Tables!$C$123:$C$138,MAX(1,MIN(IFERROR(MATCH(U160,Tables!$C$123:$C$138,1),1),ROWS(Tables!$C$123:$C$138)-1))))),IF(P160&lt;10,(INDEX(Tables!$F$123:$F$138,MAX(1,MIN(IFERROR(MATCH(U160,Tables!$E$123:$E$138,1),1),ROWS(Tables!$E$123:$E$138)-1)))+(U160-INDEX(Tables!$E$123:$E$138,MAX(1,MIN(IFERROR(MATCH(U160,Tables!$E$123:$E$138,1),1),ROWS(Tables!$E$123:$E$138)-1))))*(INDEX(Tables!$F$123:$F$138,MAX(1,MIN(IFERROR(MATCH(U160,Tables!$E$123:$E$138,1),1),ROWS(Tables!$E$123:$E$138)-1))+1)-INDEX(Tables!$F$123:$F$138,MAX(1,MIN(IFERROR(MATCH(U160,Tables!$E$123:$E$138,1),1),ROWS(Tables!$E$123:$E$138)-1))))/(INDEX(Tables!$E$123:$E$138,MAX(1,MIN(IFERROR(MATCH(U160,Tables!$E$123:$E$138,1),1),ROWS(Tables!$E$123:$E$138)-1))+1)-INDEX(Tables!$E$123:$E$138,MAX(1,MIN(IFERROR(MATCH(U160,Tables!$E$123:$E$138,1),1),ROWS(Tables!$E$123:$E$138)-1))))),(INDEX(Tables!$H$123:$H$138,MAX(1,MIN(IFERROR(MATCH(U160,Tables!$G$123:$G$138,1),1),ROWS(Tables!$G$123:$G$138)-1)))+(U160-INDEX(Tables!$G$123:$G$138,MAX(1,MIN(IFERROR(MATCH(U160,Tables!$G$123:$G$138,1),1),ROWS(Tables!$G$123:$G$138)-1))))*(INDEX(Tables!$H$123:$H$138,MAX(1,MIN(IFERROR(MATCH(U160,Tables!$G$123:$G$138,1),1),ROWS(Tables!$G$123:$G$138)-1))+1)-INDEX(Tables!$H$123:$H$138,MAX(1,MIN(IFERROR(MATCH(U160,Tables!$G$123:$G$138,1),1),ROWS(Tables!$G$123:$G$138)-1))))/(INDEX(Tables!$G$123:$G$138,MAX(1,MIN(IFERROR(MATCH(U160,Tables!$G$123:$G$138,1),1),ROWS(Tables!$G$123:$G$138)-1))+1)-INDEX(Tables!$G$123:$G$138,MAX(1,MIN(IFERROR(MATCH(U160,Tables!$G$123:$G$138,1),1),ROWS(Tables!$G$123:$G$138)-1))))))))</f>
        <v>0.57750000000000001</v>
      </c>
      <c r="AR160" s="181">
        <f>IF(OR(P160&gt;=4,U160&gt;12),VLOOKUP(R160&amp;" "&amp;S160,Tables!$D$143:$F$148,2,FALSE),VLOOKUP(R160&amp;" "&amp;S160,Tables!$A$143:$C$148,2,FALSE))</f>
        <v>0.9</v>
      </c>
      <c r="AS160" s="181">
        <f>IF(OR(P160&gt;=4,U160&gt;12),VLOOKUP(R160&amp;" "&amp;S160,Tables!$D$143:$F$148,3,FALSE),VLOOKUP(R160&amp;" "&amp;S160,Tables!$A$143:$C$148,3,FALSE))</f>
        <v>0.65</v>
      </c>
      <c r="AT160" s="181">
        <f t="shared" si="136"/>
        <v>72.669841909298782</v>
      </c>
      <c r="AU160" s="181">
        <f>IF(AD160=5000,(INDEX(Tables!$B$244:$B$263,MAX(1,MIN(IFERROR(MATCH(AF160,Tables!$A$244:$A$263,1),1),ROWS(Tables!$A$244:$A$263)-1)))+(AF160-INDEX(Tables!$A$244:$A$263,MAX(1,MIN(IFERROR(MATCH(AF160,Tables!$A$244:$A$263,1),1),ROWS(Tables!$A$244:$A$263)-1))))*(INDEX(Tables!$B$244:$B$263,MAX(1,MIN(IFERROR(MATCH(AF160,Tables!$A$244:$A$263,1),1),ROWS(Tables!$A$244:$A$263)-1))+1)-INDEX(Tables!$B$244:$B$263,MAX(1,MIN(IFERROR(MATCH(AF160,Tables!$A$244:$A$263,1),1),ROWS(Tables!$A$244:$A$263)-1))))/(INDEX(Tables!$A$244:$A$263,MAX(1,MIN(IFERROR(MATCH(AF160,Tables!$A$244:$A$263,1),1),ROWS(Tables!$A$244:$A$263)-1))+1)-INDEX(Tables!$A$244:$A$263,MAX(1,MIN(IFERROR(MATCH(AF160,Tables!$A$244:$A$263,1),1),ROWS(Tables!$A$244:$A$263)-1))))),IF(AD160=10000,(INDEX(Tables!$D$244:$D$263,MAX(1,MIN(IFERROR(MATCH(AF160,Tables!$C$244:$C$263,1),1),ROWS(Tables!$C$244:$C$263)-1)))+(AF160-INDEX(Tables!$C$244:$C$263,MAX(1,MIN(IFERROR(MATCH(AF160,Tables!$C$244:$C$263,1),1),ROWS(Tables!$C$244:$C$263)-1))))*(INDEX(Tables!$D$244:$D$263,MAX(1,MIN(IFERROR(MATCH(AF160,Tables!$C$244:$C$263,1),1),ROWS(Tables!$C$244:$C$263)-1))+1)-INDEX(Tables!$D$244:$D$263,MAX(1,MIN(IFERROR(MATCH(AF160,Tables!$C$244:$C$263,1),1),ROWS(Tables!$C$244:$C$263)-1))))/(INDEX(Tables!$C$244:$C$263,MAX(1,MIN(IFERROR(MATCH(AF160,Tables!$C$244:$C$263,1),1),ROWS(Tables!$C$244:$C$263)-1))+1)-INDEX(Tables!$C$244:$C$263,MAX(1,MIN(IFERROR(MATCH(AF160,Tables!$C$244:$C$263,1),1),ROWS(Tables!$C$244:$C$263)-1))))),(INDEX(Tables!$F$244:$F$263,MAX(1,MIN(IFERROR(MATCH(AF160,Tables!$E$244:$E$263,1),1),ROWS(Tables!$E$244:$E$263)-1)))+(AF160-INDEX(Tables!$E$244:$E$263,MAX(1,MIN(IFERROR(MATCH(AF160,Tables!$E$244:$E$263,1),1),ROWS(Tables!$E$244:$E$263)-1))))*(INDEX(Tables!$F$244:$F$263,MAX(1,MIN(IFERROR(MATCH(AF160,Tables!$E$244:$E$263,1),1),ROWS(Tables!$E$244:$E$263)-1))+1)-INDEX(Tables!$F$244:$F$263,MAX(1,MIN(IFERROR(MATCH(AF160,Tables!$E$244:$E$263,1),1),ROWS(Tables!$E$244:$E$263)-1))))/(INDEX(Tables!$E$244:$E$263,MAX(1,MIN(IFERROR(MATCH(AF160,Tables!$E$244:$E$263,1),1),ROWS(Tables!$E$244:$E$263)-1))+1)-INDEX(Tables!$E$244:$E$263,MAX(1,MIN(IFERROR(MATCH(AF160,Tables!$E$244:$E$263,1),1),ROWS(Tables!$E$244:$E$263)-1)))))))</f>
        <v>2.5920000000000001</v>
      </c>
      <c r="AV160" s="181">
        <f>IF(P160&lt;6,(INDEX(Tables!$B$260:$B$274,MAX(1,MIN(IFERROR(MATCH(U160,Tables!$A$260:$A$274,1),1),ROWS(Tables!$A$260:$A$274)-1)))+(U160-INDEX(Tables!$A$260:$A$274,MAX(1,MIN(IFERROR(MATCH(U160,Tables!$A$260:$A$274,1),1),ROWS(Tables!$A$260:$A$274)-1))))*(INDEX(Tables!$B$260:$B$274,MAX(1,MIN(IFERROR(MATCH(U160,Tables!$A$260:$A$274,1),1),ROWS(Tables!$A$260:$A$274)-1))+1)-INDEX(Tables!$B$260:$B$274,MAX(1,MIN(IFERROR(MATCH(U160,Tables!$A$260:$A$274,1),1),ROWS(Tables!$A$260:$A$274)-1))))/(INDEX(Tables!$A$260:$A$274,MAX(1,MIN(IFERROR(MATCH(U160,Tables!$A$260:$A$274,1),1),ROWS(Tables!$A$260:$A$274)-1))+1)-INDEX(Tables!$A$260:$A$274,MAX(1,MIN(IFERROR(MATCH(U160,Tables!$A$260:$A$274,1),1),ROWS(Tables!$A$260:$A$274)-1))))),IF(P160&lt;8,(INDEX(Tables!$D$260:$D$274,MAX(1,MIN(IFERROR(MATCH(U160,Tables!$C$260:$C$274,1),1),ROWS(Tables!$C$260:$C$274)-1)))+(U160-INDEX(Tables!$C$260:$C$274,MAX(1,MIN(IFERROR(MATCH(U160,Tables!$C$260:$C$274,1),1),ROWS(Tables!$C$260:$C$274)-1))))*(INDEX(Tables!$D$260:$D$274,MAX(1,MIN(IFERROR(MATCH(U160,Tables!$C$260:$C$274,1),1),ROWS(Tables!$C$260:$C$274)-1))+1)-INDEX(Tables!$D$260:$D$274,MAX(1,MIN(IFERROR(MATCH(U160,Tables!$C$260:$C$274,1),1),ROWS(Tables!$C$260:$C$274)-1))))/(INDEX(Tables!$C$260:$C$274,MAX(1,MIN(IFERROR(MATCH(U160,Tables!$C$260:$C$274,1),1),ROWS(Tables!$C$260:$C$274)-1))+1)-INDEX(Tables!$C$260:$C$274,MAX(1,MIN(IFERROR(MATCH(U160,Tables!$C$260:$C$274,1),1),ROWS(Tables!$C$260:$C$274)-1))))),IF(P160&lt;10,(INDEX(Tables!$F$260:$F$274,MAX(1,MIN(IFERROR(MATCH(U160,Tables!$E$260:$E$274,1),1),ROWS(Tables!$E$260:$E$274)-1)))+(U160-INDEX(Tables!$E$260:$E$274,MAX(1,MIN(IFERROR(MATCH(U160,Tables!$E$260:$E$274,1),1),ROWS(Tables!$E$260:$E$274)-1))))*(INDEX(Tables!$F$260:$F$274,MAX(1,MIN(IFERROR(MATCH(U160,Tables!$E$260:$E$274,1),1),ROWS(Tables!$E$260:$E$274)-1))+1)-INDEX(Tables!$F$260:$F$274,MAX(1,MIN(IFERROR(MATCH(U160,Tables!$E$260:$E$274,1),1),ROWS(Tables!$E$260:$E$274)-1))))/(INDEX(Tables!$E$260:$E$274,MAX(1,MIN(IFERROR(MATCH(U160,Tables!$E$260:$E$274,1),1),ROWS(Tables!$E$260:$E$274)-1))+1)-INDEX(Tables!$E$260:$E$274,MAX(1,MIN(IFERROR(MATCH(U160,Tables!$E$260:$E$274,1),1),ROWS(Tables!$E$260:$E$274)-1))))),(INDEX(Tables!$H$260:$H$274,MAX(1,MIN(IFERROR(MATCH(U160,Tables!$G$260:$G$274,1),1),ROWS(Tables!$G$260:$G$274)-1)))+(U160-INDEX(Tables!$G$260:$G$274,MAX(1,MIN(IFERROR(MATCH(U160,Tables!$G$260:$G$274,1),1),ROWS(Tables!$G$260:$G$274)-1))))*(INDEX(Tables!$H$260:$H$274,MAX(1,MIN(IFERROR(MATCH(U160,Tables!$G$260:$G$274,1),1),ROWS(Tables!$G$260:$G$274)-1))+1)-INDEX(Tables!$H$260:$H$274,MAX(1,MIN(IFERROR(MATCH(U160,Tables!$G$260:$G$274,1),1),ROWS(Tables!$G$260:$G$274)-1))))/(INDEX(Tables!$G$260:$G$274,MAX(1,MIN(IFERROR(MATCH(U160,Tables!$G$260:$G$274,1),1),ROWS(Tables!$G$260:$G$274)-1))+1)-INDEX(Tables!$G$260:$G$274,MAX(1,MIN(IFERROR(MATCH(U160,Tables!$G$260:$G$274,1),1),ROWS(Tables!$G$260:$G$274)-1))))))))</f>
        <v>0.64533333333333331</v>
      </c>
      <c r="AW160" s="181">
        <f t="shared" si="137"/>
        <v>110.43288702439024</v>
      </c>
      <c r="AX160" s="181">
        <f t="shared" si="138"/>
        <v>4619.4539249146765</v>
      </c>
      <c r="AY160" s="181">
        <f t="shared" si="139"/>
        <v>4839.8045703111547</v>
      </c>
      <c r="AZ160" s="181">
        <f t="shared" si="140"/>
        <v>1540.5733055449471</v>
      </c>
      <c r="BA160" s="181">
        <f t="shared" si="141"/>
        <v>-1000</v>
      </c>
      <c r="BB160" s="181">
        <f t="shared" si="142"/>
        <v>5071.624842133212</v>
      </c>
      <c r="BC160" s="181">
        <f t="shared" si="143"/>
        <v>46800</v>
      </c>
      <c r="BD160" s="181">
        <f>VLOOKUP(V160&amp;" "&amp;J160,Tables!$A$152:$E$239,4,FALSE)</f>
        <v>12000</v>
      </c>
      <c r="BE160" s="181">
        <f>VLOOKUP(V160&amp;" "&amp;J160,Tables!$A$152:$E$239,5,FALSE)</f>
        <v>23000</v>
      </c>
      <c r="BF160" s="181">
        <f t="shared" si="144"/>
        <v>8640</v>
      </c>
      <c r="BG160" s="181">
        <f t="shared" si="145"/>
        <v>16560</v>
      </c>
      <c r="BH160" s="181">
        <f t="shared" si="146"/>
        <v>5119.4539249146765</v>
      </c>
      <c r="BI160" s="181">
        <f t="shared" si="147"/>
        <v>46800</v>
      </c>
      <c r="BJ160" s="181">
        <f t="shared" si="148"/>
        <v>5071.624842133212</v>
      </c>
      <c r="BK160" s="181">
        <f t="shared" si="149"/>
        <v>46800</v>
      </c>
      <c r="BL160" s="181">
        <f t="shared" si="150"/>
        <v>110.43288702439024</v>
      </c>
      <c r="BM160" s="181">
        <f t="shared" si="151"/>
        <v>8640</v>
      </c>
      <c r="BN160" s="181">
        <f t="shared" si="152"/>
        <v>72.669841909298782</v>
      </c>
      <c r="BO160" s="181">
        <f t="shared" si="153"/>
        <v>16560</v>
      </c>
      <c r="BP160" t="str">
        <f t="shared" si="154"/>
        <v>Pass</v>
      </c>
      <c r="BQ160" t="str">
        <f t="shared" si="155"/>
        <v>Pass</v>
      </c>
      <c r="BR160" t="str">
        <f t="shared" si="156"/>
        <v>Pass</v>
      </c>
      <c r="BS160" t="str">
        <f t="shared" si="157"/>
        <v>Pass</v>
      </c>
      <c r="BT160" t="str">
        <f t="shared" si="158"/>
        <v>Pass</v>
      </c>
      <c r="BU160" t="str">
        <f t="shared" si="159"/>
        <v>Barlow Stress</v>
      </c>
    </row>
    <row r="161" spans="1:73">
      <c r="A161" t="s">
        <v>753</v>
      </c>
      <c r="B161" s="181">
        <v>159</v>
      </c>
      <c r="C161" t="s">
        <v>594</v>
      </c>
      <c r="D161" s="181">
        <v>36</v>
      </c>
      <c r="E161" s="181">
        <v>0.75</v>
      </c>
      <c r="F161" t="s">
        <v>117</v>
      </c>
      <c r="G161" t="s">
        <v>119</v>
      </c>
      <c r="H161" t="s">
        <v>122</v>
      </c>
      <c r="I161" s="181">
        <v>1</v>
      </c>
      <c r="J161" t="s">
        <v>126</v>
      </c>
      <c r="K161" t="s">
        <v>129</v>
      </c>
      <c r="L161" s="181">
        <v>70</v>
      </c>
      <c r="M161" s="181">
        <v>1440</v>
      </c>
      <c r="N161" t="s">
        <v>389</v>
      </c>
      <c r="O161" s="181">
        <v>120</v>
      </c>
      <c r="P161" s="181">
        <v>14</v>
      </c>
      <c r="Q161" s="181">
        <v>38</v>
      </c>
      <c r="R161" t="s">
        <v>418</v>
      </c>
      <c r="S161" t="s">
        <v>420</v>
      </c>
      <c r="T161" s="181">
        <v>70</v>
      </c>
      <c r="U161" s="181">
        <f>HLOOKUP(D161,'Highway Loading'!$C$155:$AD$156,2,FALSE)</f>
        <v>36</v>
      </c>
      <c r="V161" s="181">
        <f>IF(ISBLANK(G161),"",INDEX('Highway Loading'!$C$216:$AG$216,1,MATCH(G161,'Highway Loading'!$C$215:$AG$215,0)))</f>
        <v>65000</v>
      </c>
      <c r="W161" s="181">
        <f>INDEX('Highway Loading'!$I$245:$L$253,MATCH(H161,'Highway Loading'!$H$245:$H$253,0),MATCH(I161,'Highway Loading'!$I$244:$L$244,0))</f>
        <v>0.72</v>
      </c>
      <c r="X161" s="181">
        <f t="shared" si="128"/>
        <v>1</v>
      </c>
      <c r="Y161" s="181">
        <f>VLOOKUP(K161,'Highway Loading'!$B$283:$E$292,2,FALSE)</f>
        <v>29000000</v>
      </c>
      <c r="Z161" s="181">
        <f>VLOOKUP(K161,'Highway Loading'!$B$283:$E$292,3,FALSE)</f>
        <v>0.3</v>
      </c>
      <c r="AA161" s="181">
        <f>VLOOKUP(K161,'Highway Loading'!$B$283:$E$292,4,FALSE)</f>
        <v>6.4999999999999996E-6</v>
      </c>
      <c r="AB161" s="181">
        <f t="shared" si="129"/>
        <v>1</v>
      </c>
      <c r="AC161" s="181">
        <f>VLOOKUP(N161,'Highway Loading'!$B$256:$D$261,2,FALSE)</f>
        <v>500</v>
      </c>
      <c r="AD161" s="181">
        <f>VLOOKUP(N161,'Highway Loading'!$B$256:$D$261,3,FALSE)</f>
        <v>5000</v>
      </c>
      <c r="AE161" s="181">
        <f>VLOOKUP(S161,'Highway Loading'!$B$340:$C$341,2,FALSE)</f>
        <v>12000</v>
      </c>
      <c r="AF161" s="181">
        <f t="shared" si="130"/>
        <v>2.0833333333333332E-2</v>
      </c>
      <c r="AG161" s="181">
        <f t="shared" si="131"/>
        <v>4.4210526315789478</v>
      </c>
      <c r="AH161" s="181">
        <f t="shared" si="132"/>
        <v>1.0555555555555556</v>
      </c>
      <c r="AI161" s="181">
        <f t="shared" si="133"/>
        <v>34560</v>
      </c>
      <c r="AJ161" s="181">
        <f t="shared" si="134"/>
        <v>46800</v>
      </c>
      <c r="AK161" s="181">
        <f>IF(AC161=200,(INDEX(Tables!$B$17:$B$38,MAX(1,MIN(IFERROR(MATCH(AF161,Tables!$A$17:$A$38,1),1),ROWS(Tables!$A$17:$A$38)-1)))+(AF161-INDEX(Tables!$A$17:$A$38,MAX(1,MIN(IFERROR(MATCH(AF161,Tables!$A$17:$A$38,1),1),ROWS(Tables!$A$17:$A$38)-1))))*(INDEX(Tables!$B$17:$B$38,MAX(1,MIN(IFERROR(MATCH(AF161,Tables!$A$17:$A$38,1),1),ROWS(Tables!$A$17:$A$38)-1))+1)-INDEX(Tables!$B$17:$B$38,MAX(1,MIN(IFERROR(MATCH(AF161,Tables!$A$17:$A$38,1),1),ROWS(Tables!$A$17:$A$38)-1))))/(INDEX(Tables!$A$17:$A$38,MAX(1,MIN(IFERROR(MATCH(AF161,Tables!$A$17:$A$38,1),1),ROWS(Tables!$A$17:$A$38)-1))+1)-INDEX(Tables!$A$17:$A$38,MAX(1,MIN(IFERROR(MATCH(AF161,Tables!$A$17:$A$38,1),1),ROWS(Tables!$A$17:$A$38)-1))))),IF(AC161=500,(INDEX(Tables!$D$17:$D$38,MAX(1,MIN(IFERROR(MATCH(AF161,Tables!$C$17:$C$38,1),1),ROWS(Tables!$C$17:$C$38)-1)))+(AF161-INDEX(Tables!$C$17:$C$38,MAX(1,MIN(IFERROR(MATCH(AF161,Tables!$C$17:$C$38,1),1),ROWS(Tables!$C$17:$C$38)-1))))*(INDEX(Tables!$D$17:$D$38,MAX(1,MIN(IFERROR(MATCH(AF161,Tables!$C$17:$C$38,1),1),ROWS(Tables!$C$17:$C$38)-1))+1)-INDEX(Tables!$D$17:$D$38,MAX(1,MIN(IFERROR(MATCH(AF161,Tables!$C$17:$C$38,1),1),ROWS(Tables!$C$17:$C$38)-1))))/(INDEX(Tables!$C$17:$C$38,MAX(1,MIN(IFERROR(MATCH(AF161,Tables!$C$17:$C$38,1),1),ROWS(Tables!$C$17:$C$38)-1))+1)-INDEX(Tables!$C$17:$C$38,MAX(1,MIN(IFERROR(MATCH(AF161,Tables!$C$17:$C$38,1),1),ROWS(Tables!$C$17:$C$38)-1))))),IF(AC161=1000,(INDEX(Tables!$F$17:$F$38,MAX(1,MIN(IFERROR(MATCH(AF161,Tables!$E$17:$E$38,1),1),ROWS(Tables!$E$17:$E$38)-1)))+(AF161-INDEX(Tables!$E$17:$E$38,MAX(1,MIN(IFERROR(MATCH(AF161,Tables!$E$17:$E$38,1),1),ROWS(Tables!$E$17:$E$38)-1))))*(INDEX(Tables!$F$17:$F$38,MAX(1,MIN(IFERROR(MATCH(AF161,Tables!$E$17:$E$38,1),1),ROWS(Tables!$E$17:$E$38)-1))+1)-INDEX(Tables!$F$17:$F$38,MAX(1,MIN(IFERROR(MATCH(AF161,Tables!$E$17:$E$38,1),1),ROWS(Tables!$E$17:$E$38)-1))))/(INDEX(Tables!$E$17:$E$38,MAX(1,MIN(IFERROR(MATCH(AF161,Tables!$E$17:$E$38,1),1),ROWS(Tables!$E$17:$E$38)-1))+1)-INDEX(Tables!$E$17:$E$38,MAX(1,MIN(IFERROR(MATCH(AF161,Tables!$E$17:$E$38,1),1),ROWS(Tables!$E$17:$E$38)-1))))),(INDEX(Tables!$H$17:$H$38,MAX(1,MIN(IFERROR(MATCH(AF161,Tables!$G$17:$G$38,1),1),ROWS(Tables!$G$17:$G$38)-1)))+(AF161-INDEX(Tables!$G$17:$G$38,MAX(1,MIN(IFERROR(MATCH(AF161,Tables!$G$17:$G$38,1),1),ROWS(Tables!$G$17:$G$38)-1))))*(INDEX(Tables!$H$17:$H$38,MAX(1,MIN(IFERROR(MATCH(AF161,Tables!$G$17:$G$38,1),1),ROWS(Tables!$G$17:$G$38)-1))+1)-INDEX(Tables!$H$17:$H$38,MAX(1,MIN(IFERROR(MATCH(AF161,Tables!$G$17:$G$38,1),1),ROWS(Tables!$G$17:$G$38)-1))))/(INDEX(Tables!$G$17:$G$38,MAX(1,MIN(IFERROR(MATCH(AF161,Tables!$G$17:$G$38,1),1),ROWS(Tables!$G$17:$G$38)-1))+1)-INDEX(Tables!$G$17:$G$38,MAX(1,MIN(IFERROR(MATCH(AF161,Tables!$G$17:$G$38,1),1),ROWS(Tables!$G$17:$G$38)-1))))))))</f>
        <v>2492.8333333333335</v>
      </c>
      <c r="AL161" s="181">
        <f>IF(AC161&lt;1000,(INDEX(Tables!$B$43:$B$76,MAX(1,MIN(IFERROR(MATCH(AG161,Tables!$A$43:$A$76,1),1),ROWS(Tables!$A$43:$A$76)-1)))+(AG161-INDEX(Tables!$A$43:$A$76,MAX(1,MIN(IFERROR(MATCH(AG161,Tables!$A$43:$A$76,1),1),ROWS(Tables!$A$43:$A$76)-1))))*(INDEX(Tables!$B$43:$B$76,MAX(1,MIN(IFERROR(MATCH(AG161,Tables!$A$43:$A$76,1),1),ROWS(Tables!$A$43:$A$76)-1))+1)-INDEX(Tables!$B$43:$B$76,MAX(1,MIN(IFERROR(MATCH(AG161,Tables!$A$43:$A$76,1),1),ROWS(Tables!$A$43:$A$76)-1))))/(INDEX(Tables!$A$43:$A$76,MAX(1,MIN(IFERROR(MATCH(AG161,Tables!$A$43:$A$76,1),1),ROWS(Tables!$A$43:$A$76)-1))+1)-INDEX(Tables!$A$43:$A$76,MAX(1,MIN(IFERROR(MATCH(AG161,Tables!$A$43:$A$76,1),1),ROWS(Tables!$A$43:$A$76)-1))))),(INDEX(Tables!$D$43:$D$76,MAX(1,MIN(IFERROR(MATCH(AG161,Tables!$C$43:$C$76,1),1),ROWS(Tables!$C$43:$C$76)-1)))+(AG161-INDEX(Tables!$C$43:$C$76,MAX(1,MIN(IFERROR(MATCH(AG161,Tables!$C$43:$C$76,1),1),ROWS(Tables!$C$43:$C$76)-1))))*(INDEX(Tables!$D$43:$D$76,MAX(1,MIN(IFERROR(MATCH(AG161,Tables!$C$43:$C$76,1),1),ROWS(Tables!$C$43:$C$76)-1))+1)-INDEX(Tables!$D$43:$D$76,MAX(1,MIN(IFERROR(MATCH(AG161,Tables!$C$43:$C$76,1),1),ROWS(Tables!$C$43:$C$76)-1))))/(INDEX(Tables!$C$43:$C$76,MAX(1,MIN(IFERROR(MATCH(AG161,Tables!$C$43:$C$76,1),1),ROWS(Tables!$C$43:$C$76)-1))+1)-INDEX(Tables!$C$43:$C$76,MAX(1,MIN(IFERROR(MATCH(AG161,Tables!$C$43:$C$76,1),1),ROWS(Tables!$C$43:$C$76)-1))))))</f>
        <v>1.022578947368421</v>
      </c>
      <c r="AM161" s="181">
        <f>(INDEX(Tables!$B$80:$B$87,MAX(1,MIN(IFERROR(MATCH(AH161,Tables!$A$80:$A$87,1),1),ROWS(Tables!$A$80:$A$87)-1)))+(AH161-INDEX(Tables!$A$80:$A$87,MAX(1,MIN(IFERROR(MATCH(AH161,Tables!$A$80:$A$87,1),1),ROWS(Tables!$A$80:$A$87)-1))))*(INDEX(Tables!$B$80:$B$87,MAX(1,MIN(IFERROR(MATCH(AH161,Tables!$A$80:$A$87,1),1),ROWS(Tables!$A$80:$A$87)-1))+1)-INDEX(Tables!$B$80:$B$87,MAX(1,MIN(IFERROR(MATCH(AH161,Tables!$A$80:$A$87,1),1),ROWS(Tables!$A$80:$A$87)-1))))/(INDEX(Tables!$A$80:$A$87,MAX(1,MIN(IFERROR(MATCH(AH161,Tables!$A$80:$A$87,1),1),ROWS(Tables!$A$80:$A$87)-1))+1)-INDEX(Tables!$A$80:$A$87,MAX(1,MIN(IFERROR(MATCH(AH161,Tables!$A$80:$A$87,1),1),ROWS(Tables!$A$80:$A$87)-1)))))</f>
        <v>0.91873333333333329</v>
      </c>
      <c r="AN161" s="181">
        <f t="shared" si="135"/>
        <v>5854.9012279137423</v>
      </c>
      <c r="AO161" s="181">
        <f>(INDEX(Tables!$B$91:$B$94,MAX(1,MIN(IFERROR(MATCH(P161,Tables!$A$91:$A$94,1),1),ROWS(Tables!$A$91:$A$94)-1)))+(P161-INDEX(Tables!$A$91:$A$94,MAX(1,MIN(IFERROR(MATCH(P161,Tables!$A$91:$A$94,1),1),ROWS(Tables!$A$91:$A$94)-1))))*(INDEX(Tables!$B$91:$B$94,MAX(1,MIN(IFERROR(MATCH(P161,Tables!$A$91:$A$94,1),1),ROWS(Tables!$A$91:$A$94)-1))+1)-INDEX(Tables!$B$91:$B$94,MAX(1,MIN(IFERROR(MATCH(P161,Tables!$A$91:$A$94,1),1),ROWS(Tables!$A$91:$A$94)-1))))/(INDEX(Tables!$A$91:$A$94,MAX(1,MIN(IFERROR(MATCH(P161,Tables!$A$91:$A$94,1),1),ROWS(Tables!$A$91:$A$94)-1))+1)-INDEX(Tables!$A$91:$A$94,MAX(1,MIN(IFERROR(MATCH(P161,Tables!$A$91:$A$94,1),1),ROWS(Tables!$A$91:$A$94)-1)))))</f>
        <v>1.2323170731707318</v>
      </c>
      <c r="AP161" s="181">
        <f>IF(AD161=5000,(INDEX(Tables!$B$99:$B$118,MAX(1,MIN(IFERROR(MATCH(AF161,Tables!$A$99:$A$118,1),1),ROWS(Tables!$A$99:$A$118)-1)))+(AF161-INDEX(Tables!$A$99:$A$118,MAX(1,MIN(IFERROR(MATCH(AF161,Tables!$A$99:$A$118,1),1),ROWS(Tables!$A$99:$A$118)-1))))*(INDEX(Tables!$B$99:$B$118,MAX(1,MIN(IFERROR(MATCH(AF161,Tables!$A$99:$A$118,1),1),ROWS(Tables!$A$99:$A$118)-1))+1)-INDEX(Tables!$B$99:$B$118,MAX(1,MIN(IFERROR(MATCH(AF161,Tables!$A$99:$A$118,1),1),ROWS(Tables!$A$99:$A$118)-1))))/(INDEX(Tables!$A$99:$A$118,MAX(1,MIN(IFERROR(MATCH(AF161,Tables!$A$99:$A$118,1),1),ROWS(Tables!$A$99:$A$118)-1))+1)-INDEX(Tables!$A$99:$A$118,MAX(1,MIN(IFERROR(MATCH(AF161,Tables!$A$99:$A$118,1),1),ROWS(Tables!$A$99:$A$118)-1))))),IF(AD161=10000,(INDEX(Tables!$D$99:$D$118,MAX(1,MIN(IFERROR(MATCH(AF161,Tables!$C$99:$C$118,1),1),ROWS(Tables!$C$99:$C$118)-1)))+(AF161-INDEX(Tables!$C$99:$C$118,MAX(1,MIN(IFERROR(MATCH(AF161,Tables!$C$99:$C$118,1),1),ROWS(Tables!$C$99:$C$118)-1))))*(INDEX(Tables!$D$99:$D$118,MAX(1,MIN(IFERROR(MATCH(AF161,Tables!$C$99:$C$118,1),1),ROWS(Tables!$C$99:$C$118)-1))+1)-INDEX(Tables!$D$99:$D$118,MAX(1,MIN(IFERROR(MATCH(AF161,Tables!$C$99:$C$118,1),1),ROWS(Tables!$C$99:$C$118)-1))))/(INDEX(Tables!$C$99:$C$118,MAX(1,MIN(IFERROR(MATCH(AF161,Tables!$C$99:$C$118,1),1),ROWS(Tables!$C$99:$C$118)-1))+1)-INDEX(Tables!$C$99:$C$118,MAX(1,MIN(IFERROR(MATCH(AF161,Tables!$C$99:$C$118,1),1),ROWS(Tables!$C$99:$C$118)-1))))),(INDEX(Tables!$F$99:$F$118,MAX(1,MIN(IFERROR(MATCH(AF161,Tables!$E$99:$E$118,1),1),ROWS(Tables!$E$99:$E$118)-1)))+(AF161-INDEX(Tables!$E$99:$E$118,MAX(1,MIN(IFERROR(MATCH(AF161,Tables!$E$99:$E$118,1),1),ROWS(Tables!$E$99:$E$118)-1))))*(INDEX(Tables!$F$99:$F$118,MAX(1,MIN(IFERROR(MATCH(AF161,Tables!$E$99:$E$118,1),1),ROWS(Tables!$E$99:$E$118)-1))+1)-INDEX(Tables!$F$99:$F$118,MAX(1,MIN(IFERROR(MATCH(AF161,Tables!$E$99:$E$118,1),1),ROWS(Tables!$E$99:$E$118)-1))))/(INDEX(Tables!$E$99:$E$118,MAX(1,MIN(IFERROR(MATCH(AF161,Tables!$E$99:$E$118,1),1),ROWS(Tables!$E$99:$E$118)-1))+1)-INDEX(Tables!$E$99:$E$118,MAX(1,MIN(IFERROR(MATCH(AF161,Tables!$E$99:$E$118,1),1),ROWS(Tables!$E$99:$E$118)-1)))))))</f>
        <v>19.043799344799346</v>
      </c>
      <c r="AQ161" s="181">
        <f>IF(P161&lt;6,(INDEX(Tables!$B$123:$B$138,MAX(1,MIN(IFERROR(MATCH(U161,Tables!$A$123:$A$138,1),1),ROWS(Tables!$A$123:$A$138)-1)))+(U161-INDEX(Tables!$A$123:$A$138,MAX(1,MIN(IFERROR(MATCH(U161,Tables!$A$123:$A$138,1),1),ROWS(Tables!$A$123:$A$138)-1))))*(INDEX(Tables!$B$123:$B$138,MAX(1,MIN(IFERROR(MATCH(U161,Tables!$A$123:$A$138,1),1),ROWS(Tables!$A$123:$A$138)-1))+1)-INDEX(Tables!$B$123:$B$138,MAX(1,MIN(IFERROR(MATCH(U161,Tables!$A$123:$A$138,1),1),ROWS(Tables!$A$123:$A$138)-1))))/(INDEX(Tables!$A$123:$A$138,MAX(1,MIN(IFERROR(MATCH(U161,Tables!$A$123:$A$138,1),1),ROWS(Tables!$A$123:$A$138)-1))+1)-INDEX(Tables!$A$123:$A$138,MAX(1,MIN(IFERROR(MATCH(U161,Tables!$A$123:$A$138,1),1),ROWS(Tables!$A$123:$A$138)-1))))),IF(P161&lt;8,(INDEX(Tables!$D$123:$D$138,MAX(1,MIN(IFERROR(MATCH(U161,Tables!$C$123:$C$138,1),1),ROWS(Tables!$C$123:$C$138)-1)))+(U161-INDEX(Tables!$C$123:$C$138,MAX(1,MIN(IFERROR(MATCH(U161,Tables!$C$123:$C$138,1),1),ROWS(Tables!$C$123:$C$138)-1))))*(INDEX(Tables!$D$123:$D$138,MAX(1,MIN(IFERROR(MATCH(U161,Tables!$C$123:$C$138,1),1),ROWS(Tables!$C$123:$C$138)-1))+1)-INDEX(Tables!$D$123:$D$138,MAX(1,MIN(IFERROR(MATCH(U161,Tables!$C$123:$C$138,1),1),ROWS(Tables!$C$123:$C$138)-1))))/(INDEX(Tables!$C$123:$C$138,MAX(1,MIN(IFERROR(MATCH(U161,Tables!$C$123:$C$138,1),1),ROWS(Tables!$C$123:$C$138)-1))+1)-INDEX(Tables!$C$123:$C$138,MAX(1,MIN(IFERROR(MATCH(U161,Tables!$C$123:$C$138,1),1),ROWS(Tables!$C$123:$C$138)-1))))),IF(P161&lt;10,(INDEX(Tables!$F$123:$F$138,MAX(1,MIN(IFERROR(MATCH(U161,Tables!$E$123:$E$138,1),1),ROWS(Tables!$E$123:$E$138)-1)))+(U161-INDEX(Tables!$E$123:$E$138,MAX(1,MIN(IFERROR(MATCH(U161,Tables!$E$123:$E$138,1),1),ROWS(Tables!$E$123:$E$138)-1))))*(INDEX(Tables!$F$123:$F$138,MAX(1,MIN(IFERROR(MATCH(U161,Tables!$E$123:$E$138,1),1),ROWS(Tables!$E$123:$E$138)-1))+1)-INDEX(Tables!$F$123:$F$138,MAX(1,MIN(IFERROR(MATCH(U161,Tables!$E$123:$E$138,1),1),ROWS(Tables!$E$123:$E$138)-1))))/(INDEX(Tables!$E$123:$E$138,MAX(1,MIN(IFERROR(MATCH(U161,Tables!$E$123:$E$138,1),1),ROWS(Tables!$E$123:$E$138)-1))+1)-INDEX(Tables!$E$123:$E$138,MAX(1,MIN(IFERROR(MATCH(U161,Tables!$E$123:$E$138,1),1),ROWS(Tables!$E$123:$E$138)-1))))),(INDEX(Tables!$H$123:$H$138,MAX(1,MIN(IFERROR(MATCH(U161,Tables!$G$123:$G$138,1),1),ROWS(Tables!$G$123:$G$138)-1)))+(U161-INDEX(Tables!$G$123:$G$138,MAX(1,MIN(IFERROR(MATCH(U161,Tables!$G$123:$G$138,1),1),ROWS(Tables!$G$123:$G$138)-1))))*(INDEX(Tables!$H$123:$H$138,MAX(1,MIN(IFERROR(MATCH(U161,Tables!$G$123:$G$138,1),1),ROWS(Tables!$G$123:$G$138)-1))+1)-INDEX(Tables!$H$123:$H$138,MAX(1,MIN(IFERROR(MATCH(U161,Tables!$G$123:$G$138,1),1),ROWS(Tables!$G$123:$G$138)-1))))/(INDEX(Tables!$G$123:$G$138,MAX(1,MIN(IFERROR(MATCH(U161,Tables!$G$123:$G$138,1),1),ROWS(Tables!$G$123:$G$138)-1))+1)-INDEX(Tables!$G$123:$G$138,MAX(1,MIN(IFERROR(MATCH(U161,Tables!$G$123:$G$138,1),1),ROWS(Tables!$G$123:$G$138)-1))))))))</f>
        <v>0.50060000000000004</v>
      </c>
      <c r="AR161" s="181">
        <f>IF(OR(P161&gt;=4,U161&gt;12),VLOOKUP(R161&amp;" "&amp;S161,Tables!$D$143:$F$148,2,FALSE),VLOOKUP(R161&amp;" "&amp;S161,Tables!$A$143:$C$148,2,FALSE))</f>
        <v>0.9</v>
      </c>
      <c r="AS161" s="181">
        <f>IF(OR(P161&gt;=4,U161&gt;12),VLOOKUP(R161&amp;" "&amp;S161,Tables!$D$143:$F$148,3,FALSE),VLOOKUP(R161&amp;" "&amp;S161,Tables!$A$143:$C$148,3,FALSE))</f>
        <v>0.65</v>
      </c>
      <c r="AT161" s="181">
        <f t="shared" si="136"/>
        <v>572.71891631951576</v>
      </c>
      <c r="AU161" s="181">
        <f>IF(AD161=5000,(INDEX(Tables!$B$244:$B$263,MAX(1,MIN(IFERROR(MATCH(AF161,Tables!$A$244:$A$263,1),1),ROWS(Tables!$A$244:$A$263)-1)))+(AF161-INDEX(Tables!$A$244:$A$263,MAX(1,MIN(IFERROR(MATCH(AF161,Tables!$A$244:$A$263,1),1),ROWS(Tables!$A$244:$A$263)-1))))*(INDEX(Tables!$B$244:$B$263,MAX(1,MIN(IFERROR(MATCH(AF161,Tables!$A$244:$A$263,1),1),ROWS(Tables!$A$244:$A$263)-1))+1)-INDEX(Tables!$B$244:$B$263,MAX(1,MIN(IFERROR(MATCH(AF161,Tables!$A$244:$A$263,1),1),ROWS(Tables!$A$244:$A$263)-1))))/(INDEX(Tables!$A$244:$A$263,MAX(1,MIN(IFERROR(MATCH(AF161,Tables!$A$244:$A$263,1),1),ROWS(Tables!$A$244:$A$263)-1))+1)-INDEX(Tables!$A$244:$A$263,MAX(1,MIN(IFERROR(MATCH(AF161,Tables!$A$244:$A$263,1),1),ROWS(Tables!$A$244:$A$263)-1))))),IF(AD161=10000,(INDEX(Tables!$D$244:$D$263,MAX(1,MIN(IFERROR(MATCH(AF161,Tables!$C$244:$C$263,1),1),ROWS(Tables!$C$244:$C$263)-1)))+(AF161-INDEX(Tables!$C$244:$C$263,MAX(1,MIN(IFERROR(MATCH(AF161,Tables!$C$244:$C$263,1),1),ROWS(Tables!$C$244:$C$263)-1))))*(INDEX(Tables!$D$244:$D$263,MAX(1,MIN(IFERROR(MATCH(AF161,Tables!$C$244:$C$263,1),1),ROWS(Tables!$C$244:$C$263)-1))+1)-INDEX(Tables!$D$244:$D$263,MAX(1,MIN(IFERROR(MATCH(AF161,Tables!$C$244:$C$263,1),1),ROWS(Tables!$C$244:$C$263)-1))))/(INDEX(Tables!$C$244:$C$263,MAX(1,MIN(IFERROR(MATCH(AF161,Tables!$C$244:$C$263,1),1),ROWS(Tables!$C$244:$C$263)-1))+1)-INDEX(Tables!$C$244:$C$263,MAX(1,MIN(IFERROR(MATCH(AF161,Tables!$C$244:$C$263,1),1),ROWS(Tables!$C$244:$C$263)-1))))),(INDEX(Tables!$F$244:$F$263,MAX(1,MIN(IFERROR(MATCH(AF161,Tables!$E$244:$E$263,1),1),ROWS(Tables!$E$244:$E$263)-1)))+(AF161-INDEX(Tables!$E$244:$E$263,MAX(1,MIN(IFERROR(MATCH(AF161,Tables!$E$244:$E$263,1),1),ROWS(Tables!$E$244:$E$263)-1))))*(INDEX(Tables!$F$244:$F$263,MAX(1,MIN(IFERROR(MATCH(AF161,Tables!$E$244:$E$263,1),1),ROWS(Tables!$E$244:$E$263)-1))+1)-INDEX(Tables!$F$244:$F$263,MAX(1,MIN(IFERROR(MATCH(AF161,Tables!$E$244:$E$263,1),1),ROWS(Tables!$E$244:$E$263)-1))))/(INDEX(Tables!$E$244:$E$263,MAX(1,MIN(IFERROR(MATCH(AF161,Tables!$E$244:$E$263,1),1),ROWS(Tables!$E$244:$E$263)-1))+1)-INDEX(Tables!$E$244:$E$263,MAX(1,MIN(IFERROR(MATCH(AF161,Tables!$E$244:$E$263,1),1),ROWS(Tables!$E$244:$E$263)-1)))))))</f>
        <v>14.2005</v>
      </c>
      <c r="AV161" s="181">
        <f>IF(P161&lt;6,(INDEX(Tables!$B$260:$B$274,MAX(1,MIN(IFERROR(MATCH(U161,Tables!$A$260:$A$274,1),1),ROWS(Tables!$A$260:$A$274)-1)))+(U161-INDEX(Tables!$A$260:$A$274,MAX(1,MIN(IFERROR(MATCH(U161,Tables!$A$260:$A$274,1),1),ROWS(Tables!$A$260:$A$274)-1))))*(INDEX(Tables!$B$260:$B$274,MAX(1,MIN(IFERROR(MATCH(U161,Tables!$A$260:$A$274,1),1),ROWS(Tables!$A$260:$A$274)-1))+1)-INDEX(Tables!$B$260:$B$274,MAX(1,MIN(IFERROR(MATCH(U161,Tables!$A$260:$A$274,1),1),ROWS(Tables!$A$260:$A$274)-1))))/(INDEX(Tables!$A$260:$A$274,MAX(1,MIN(IFERROR(MATCH(U161,Tables!$A$260:$A$274,1),1),ROWS(Tables!$A$260:$A$274)-1))+1)-INDEX(Tables!$A$260:$A$274,MAX(1,MIN(IFERROR(MATCH(U161,Tables!$A$260:$A$274,1),1),ROWS(Tables!$A$260:$A$274)-1))))),IF(P161&lt;8,(INDEX(Tables!$D$260:$D$274,MAX(1,MIN(IFERROR(MATCH(U161,Tables!$C$260:$C$274,1),1),ROWS(Tables!$C$260:$C$274)-1)))+(U161-INDEX(Tables!$C$260:$C$274,MAX(1,MIN(IFERROR(MATCH(U161,Tables!$C$260:$C$274,1),1),ROWS(Tables!$C$260:$C$274)-1))))*(INDEX(Tables!$D$260:$D$274,MAX(1,MIN(IFERROR(MATCH(U161,Tables!$C$260:$C$274,1),1),ROWS(Tables!$C$260:$C$274)-1))+1)-INDEX(Tables!$D$260:$D$274,MAX(1,MIN(IFERROR(MATCH(U161,Tables!$C$260:$C$274,1),1),ROWS(Tables!$C$260:$C$274)-1))))/(INDEX(Tables!$C$260:$C$274,MAX(1,MIN(IFERROR(MATCH(U161,Tables!$C$260:$C$274,1),1),ROWS(Tables!$C$260:$C$274)-1))+1)-INDEX(Tables!$C$260:$C$274,MAX(1,MIN(IFERROR(MATCH(U161,Tables!$C$260:$C$274,1),1),ROWS(Tables!$C$260:$C$274)-1))))),IF(P161&lt;10,(INDEX(Tables!$F$260:$F$274,MAX(1,MIN(IFERROR(MATCH(U161,Tables!$E$260:$E$274,1),1),ROWS(Tables!$E$260:$E$274)-1)))+(U161-INDEX(Tables!$E$260:$E$274,MAX(1,MIN(IFERROR(MATCH(U161,Tables!$E$260:$E$274,1),1),ROWS(Tables!$E$260:$E$274)-1))))*(INDEX(Tables!$F$260:$F$274,MAX(1,MIN(IFERROR(MATCH(U161,Tables!$E$260:$E$274,1),1),ROWS(Tables!$E$260:$E$274)-1))+1)-INDEX(Tables!$F$260:$F$274,MAX(1,MIN(IFERROR(MATCH(U161,Tables!$E$260:$E$274,1),1),ROWS(Tables!$E$260:$E$274)-1))))/(INDEX(Tables!$E$260:$E$274,MAX(1,MIN(IFERROR(MATCH(U161,Tables!$E$260:$E$274,1),1),ROWS(Tables!$E$260:$E$274)-1))+1)-INDEX(Tables!$E$260:$E$274,MAX(1,MIN(IFERROR(MATCH(U161,Tables!$E$260:$E$274,1),1),ROWS(Tables!$E$260:$E$274)-1))))),(INDEX(Tables!$H$260:$H$274,MAX(1,MIN(IFERROR(MATCH(U161,Tables!$G$260:$G$274,1),1),ROWS(Tables!$G$260:$G$274)-1)))+(U161-INDEX(Tables!$G$260:$G$274,MAX(1,MIN(IFERROR(MATCH(U161,Tables!$G$260:$G$274,1),1),ROWS(Tables!$G$260:$G$274)-1))))*(INDEX(Tables!$H$260:$H$274,MAX(1,MIN(IFERROR(MATCH(U161,Tables!$G$260:$G$274,1),1),ROWS(Tables!$G$260:$G$274)-1))+1)-INDEX(Tables!$H$260:$H$274,MAX(1,MIN(IFERROR(MATCH(U161,Tables!$G$260:$G$274,1),1),ROWS(Tables!$G$260:$G$274)-1))))/(INDEX(Tables!$G$260:$G$274,MAX(1,MIN(IFERROR(MATCH(U161,Tables!$G$260:$G$274,1),1),ROWS(Tables!$G$260:$G$274)-1))+1)-INDEX(Tables!$G$260:$G$274,MAX(1,MIN(IFERROR(MATCH(U161,Tables!$G$260:$G$274,1),1),ROWS(Tables!$G$260:$G$274)-1))))))))</f>
        <v>0.51828571428571424</v>
      </c>
      <c r="AW161" s="181">
        <f t="shared" si="137"/>
        <v>442.15033667966031</v>
      </c>
      <c r="AX161" s="181">
        <f t="shared" si="138"/>
        <v>33840</v>
      </c>
      <c r="AY161" s="181">
        <f t="shared" si="139"/>
        <v>40267.62014423326</v>
      </c>
      <c r="AZ161" s="181">
        <f t="shared" si="140"/>
        <v>12350.620705053781</v>
      </c>
      <c r="BA161" s="181">
        <f t="shared" si="141"/>
        <v>-1440</v>
      </c>
      <c r="BB161" s="181">
        <f t="shared" si="142"/>
        <v>36803.978420908912</v>
      </c>
      <c r="BC161" s="181">
        <f t="shared" si="143"/>
        <v>46800</v>
      </c>
      <c r="BD161" s="181">
        <f>VLOOKUP(V161&amp;" "&amp;J161,Tables!$A$152:$E$239,4,FALSE)</f>
        <v>12000</v>
      </c>
      <c r="BE161" s="181">
        <f>VLOOKUP(V161&amp;" "&amp;J161,Tables!$A$152:$E$239,5,FALSE)</f>
        <v>23000</v>
      </c>
      <c r="BF161" s="181">
        <f t="shared" si="144"/>
        <v>8640</v>
      </c>
      <c r="BG161" s="181">
        <f t="shared" si="145"/>
        <v>16560</v>
      </c>
      <c r="BH161" s="181">
        <f t="shared" si="146"/>
        <v>34560</v>
      </c>
      <c r="BI161" s="181">
        <f t="shared" si="147"/>
        <v>46800</v>
      </c>
      <c r="BJ161" s="181">
        <f t="shared" si="148"/>
        <v>36803.978420908912</v>
      </c>
      <c r="BK161" s="181">
        <f t="shared" si="149"/>
        <v>46800</v>
      </c>
      <c r="BL161" s="181">
        <f t="shared" si="150"/>
        <v>442.15033667966031</v>
      </c>
      <c r="BM161" s="181">
        <f t="shared" si="151"/>
        <v>8640</v>
      </c>
      <c r="BN161" s="181">
        <f t="shared" si="152"/>
        <v>572.71891631951576</v>
      </c>
      <c r="BO161" s="181">
        <f t="shared" si="153"/>
        <v>16560</v>
      </c>
      <c r="BP161" t="str">
        <f t="shared" si="154"/>
        <v>Pass</v>
      </c>
      <c r="BQ161" t="str">
        <f t="shared" si="155"/>
        <v>Pass</v>
      </c>
      <c r="BR161" t="str">
        <f t="shared" si="156"/>
        <v>Pass</v>
      </c>
      <c r="BS161" t="str">
        <f t="shared" si="157"/>
        <v>Pass</v>
      </c>
      <c r="BT161" t="str">
        <f t="shared" si="158"/>
        <v>Pass</v>
      </c>
      <c r="BU161" t="str">
        <f t="shared" si="159"/>
        <v>Effective Stress</v>
      </c>
    </row>
    <row r="162" spans="1:73">
      <c r="A162" t="s">
        <v>754</v>
      </c>
      <c r="B162" s="181">
        <v>160</v>
      </c>
      <c r="C162" t="s">
        <v>594</v>
      </c>
      <c r="D162" s="181">
        <v>48</v>
      </c>
      <c r="E162" s="181">
        <v>0.5</v>
      </c>
      <c r="F162" t="s">
        <v>117</v>
      </c>
      <c r="G162" t="s">
        <v>119</v>
      </c>
      <c r="H162" t="s">
        <v>122</v>
      </c>
      <c r="I162" s="181">
        <v>1</v>
      </c>
      <c r="J162" t="s">
        <v>126</v>
      </c>
      <c r="K162" t="s">
        <v>129</v>
      </c>
      <c r="L162" s="181">
        <v>70</v>
      </c>
      <c r="M162" s="181">
        <v>1440</v>
      </c>
      <c r="N162" t="s">
        <v>141</v>
      </c>
      <c r="O162" s="181">
        <v>120</v>
      </c>
      <c r="P162" s="181">
        <v>30</v>
      </c>
      <c r="Q162" s="181">
        <v>50</v>
      </c>
      <c r="R162" t="s">
        <v>418</v>
      </c>
      <c r="S162" t="s">
        <v>420</v>
      </c>
      <c r="T162" s="181">
        <v>70</v>
      </c>
      <c r="U162" s="181">
        <f>HLOOKUP(D162,'Highway Loading'!$C$155:$AD$156,2,FALSE)</f>
        <v>48</v>
      </c>
      <c r="V162" s="181">
        <f>IF(ISBLANK(G162),"",INDEX('Highway Loading'!$C$216:$AG$216,1,MATCH(G162,'Highway Loading'!$C$215:$AG$215,0)))</f>
        <v>65000</v>
      </c>
      <c r="W162" s="181">
        <f>INDEX('Highway Loading'!$I$245:$L$253,MATCH(H162,'Highway Loading'!$H$245:$H$253,0),MATCH(I162,'Highway Loading'!$I$244:$L$244,0))</f>
        <v>0.72</v>
      </c>
      <c r="X162" s="181">
        <f t="shared" ref="X162:X169" si="160">IF(ISBLANK(J162),"",IF(OR(J162="SEAMLESS",J162="ELECTRIC RESISTANCE WELDED",J162="SUBMERGED ARC WELDED",J162="COMBINATION WELDED"),1,IF(J162="FURNACE BUTT WELDED",0.6,IF(J162="ELECTRIC FUSION WELDED, EVEN CLASS",1,IF(J162="ELECTRIC FUSION WELDED, ODD CLASS",0.8,IF(U162&gt;4.5,0.8,0.6))))))</f>
        <v>1</v>
      </c>
      <c r="Y162" s="181">
        <f>VLOOKUP(K162,'Highway Loading'!$B$283:$E$292,2,FALSE)</f>
        <v>29000000</v>
      </c>
      <c r="Z162" s="181">
        <f>VLOOKUP(K162,'Highway Loading'!$B$283:$E$292,3,FALSE)</f>
        <v>0.3</v>
      </c>
      <c r="AA162" s="181">
        <f>VLOOKUP(K162,'Highway Loading'!$B$283:$E$292,4,FALSE)</f>
        <v>6.4999999999999996E-6</v>
      </c>
      <c r="AB162" s="181">
        <f t="shared" ref="AB162:AB169" si="161">IF(L162&gt;250,1-(1/30/50*(L162-250)),1)</f>
        <v>1</v>
      </c>
      <c r="AC162" s="181">
        <f>VLOOKUP(N162,'Highway Loading'!$B$256:$D$261,2,FALSE)</f>
        <v>500</v>
      </c>
      <c r="AD162" s="181">
        <f>VLOOKUP(N162,'Highway Loading'!$B$256:$D$261,3,FALSE)</f>
        <v>10000</v>
      </c>
      <c r="AE162" s="181">
        <f>VLOOKUP(S162,'Highway Loading'!$B$340:$C$341,2,FALSE)</f>
        <v>12000</v>
      </c>
      <c r="AF162" s="181">
        <f t="shared" ref="AF162:AF169" si="162">E162/U162</f>
        <v>1.0416666666666666E-2</v>
      </c>
      <c r="AG162" s="181">
        <f t="shared" ref="AG162:AG169" si="163">P162*12/Q162</f>
        <v>7.2</v>
      </c>
      <c r="AH162" s="181">
        <f t="shared" ref="AH162:AH169" si="164">Q162/U162</f>
        <v>1.0416666666666667</v>
      </c>
      <c r="AI162" s="181">
        <f t="shared" ref="AI162:AI169" si="165">M162*U162/(2*E162)</f>
        <v>69120</v>
      </c>
      <c r="AJ162" s="181">
        <f t="shared" ref="AJ162:AJ169" si="166">W162*X162*AB162*V162</f>
        <v>46800</v>
      </c>
      <c r="AK162" s="181">
        <f>IF(AC162=200,(INDEX(Tables!$B$17:$B$38,MAX(1,MIN(IFERROR(MATCH(AF162,Tables!$A$17:$A$38,1),1),ROWS(Tables!$A$17:$A$38)-1)))+(AF162-INDEX(Tables!$A$17:$A$38,MAX(1,MIN(IFERROR(MATCH(AF162,Tables!$A$17:$A$38,1),1),ROWS(Tables!$A$17:$A$38)-1))))*(INDEX(Tables!$B$17:$B$38,MAX(1,MIN(IFERROR(MATCH(AF162,Tables!$A$17:$A$38,1),1),ROWS(Tables!$A$17:$A$38)-1))+1)-INDEX(Tables!$B$17:$B$38,MAX(1,MIN(IFERROR(MATCH(AF162,Tables!$A$17:$A$38,1),1),ROWS(Tables!$A$17:$A$38)-1))))/(INDEX(Tables!$A$17:$A$38,MAX(1,MIN(IFERROR(MATCH(AF162,Tables!$A$17:$A$38,1),1),ROWS(Tables!$A$17:$A$38)-1))+1)-INDEX(Tables!$A$17:$A$38,MAX(1,MIN(IFERROR(MATCH(AF162,Tables!$A$17:$A$38,1),1),ROWS(Tables!$A$17:$A$38)-1))))),IF(AC162=500,(INDEX(Tables!$D$17:$D$38,MAX(1,MIN(IFERROR(MATCH(AF162,Tables!$C$17:$C$38,1),1),ROWS(Tables!$C$17:$C$38)-1)))+(AF162-INDEX(Tables!$C$17:$C$38,MAX(1,MIN(IFERROR(MATCH(AF162,Tables!$C$17:$C$38,1),1),ROWS(Tables!$C$17:$C$38)-1))))*(INDEX(Tables!$D$17:$D$38,MAX(1,MIN(IFERROR(MATCH(AF162,Tables!$C$17:$C$38,1),1),ROWS(Tables!$C$17:$C$38)-1))+1)-INDEX(Tables!$D$17:$D$38,MAX(1,MIN(IFERROR(MATCH(AF162,Tables!$C$17:$C$38,1),1),ROWS(Tables!$C$17:$C$38)-1))))/(INDEX(Tables!$C$17:$C$38,MAX(1,MIN(IFERROR(MATCH(AF162,Tables!$C$17:$C$38,1),1),ROWS(Tables!$C$17:$C$38)-1))+1)-INDEX(Tables!$C$17:$C$38,MAX(1,MIN(IFERROR(MATCH(AF162,Tables!$C$17:$C$38,1),1),ROWS(Tables!$C$17:$C$38)-1))))),IF(AC162=1000,(INDEX(Tables!$F$17:$F$38,MAX(1,MIN(IFERROR(MATCH(AF162,Tables!$E$17:$E$38,1),1),ROWS(Tables!$E$17:$E$38)-1)))+(AF162-INDEX(Tables!$E$17:$E$38,MAX(1,MIN(IFERROR(MATCH(AF162,Tables!$E$17:$E$38,1),1),ROWS(Tables!$E$17:$E$38)-1))))*(INDEX(Tables!$F$17:$F$38,MAX(1,MIN(IFERROR(MATCH(AF162,Tables!$E$17:$E$38,1),1),ROWS(Tables!$E$17:$E$38)-1))+1)-INDEX(Tables!$F$17:$F$38,MAX(1,MIN(IFERROR(MATCH(AF162,Tables!$E$17:$E$38,1),1),ROWS(Tables!$E$17:$E$38)-1))))/(INDEX(Tables!$E$17:$E$38,MAX(1,MIN(IFERROR(MATCH(AF162,Tables!$E$17:$E$38,1),1),ROWS(Tables!$E$17:$E$38)-1))+1)-INDEX(Tables!$E$17:$E$38,MAX(1,MIN(IFERROR(MATCH(AF162,Tables!$E$17:$E$38,1),1),ROWS(Tables!$E$17:$E$38)-1))))),(INDEX(Tables!$H$17:$H$38,MAX(1,MIN(IFERROR(MATCH(AF162,Tables!$G$17:$G$38,1),1),ROWS(Tables!$G$17:$G$38)-1)))+(AF162-INDEX(Tables!$G$17:$G$38,MAX(1,MIN(IFERROR(MATCH(AF162,Tables!$G$17:$G$38,1),1),ROWS(Tables!$G$17:$G$38)-1))))*(INDEX(Tables!$H$17:$H$38,MAX(1,MIN(IFERROR(MATCH(AF162,Tables!$G$17:$G$38,1),1),ROWS(Tables!$G$17:$G$38)-1))+1)-INDEX(Tables!$H$17:$H$38,MAX(1,MIN(IFERROR(MATCH(AF162,Tables!$G$17:$G$38,1),1),ROWS(Tables!$G$17:$G$38)-1))))/(INDEX(Tables!$G$17:$G$38,MAX(1,MIN(IFERROR(MATCH(AF162,Tables!$G$17:$G$38,1),1),ROWS(Tables!$G$17:$G$38)-1))+1)-INDEX(Tables!$G$17:$G$38,MAX(1,MIN(IFERROR(MATCH(AF162,Tables!$G$17:$G$38,1),1),ROWS(Tables!$G$17:$G$38)-1))))))))</f>
        <v>6129</v>
      </c>
      <c r="AL162" s="181">
        <f>IF(AC162&lt;1000,(INDEX(Tables!$B$43:$B$76,MAX(1,MIN(IFERROR(MATCH(AG162,Tables!$A$43:$A$76,1),1),ROWS(Tables!$A$43:$A$76)-1)))+(AG162-INDEX(Tables!$A$43:$A$76,MAX(1,MIN(IFERROR(MATCH(AG162,Tables!$A$43:$A$76,1),1),ROWS(Tables!$A$43:$A$76)-1))))*(INDEX(Tables!$B$43:$B$76,MAX(1,MIN(IFERROR(MATCH(AG162,Tables!$A$43:$A$76,1),1),ROWS(Tables!$A$43:$A$76)-1))+1)-INDEX(Tables!$B$43:$B$76,MAX(1,MIN(IFERROR(MATCH(AG162,Tables!$A$43:$A$76,1),1),ROWS(Tables!$A$43:$A$76)-1))))/(INDEX(Tables!$A$43:$A$76,MAX(1,MIN(IFERROR(MATCH(AG162,Tables!$A$43:$A$76,1),1),ROWS(Tables!$A$43:$A$76)-1))+1)-INDEX(Tables!$A$43:$A$76,MAX(1,MIN(IFERROR(MATCH(AG162,Tables!$A$43:$A$76,1),1),ROWS(Tables!$A$43:$A$76)-1))))),(INDEX(Tables!$D$43:$D$76,MAX(1,MIN(IFERROR(MATCH(AG162,Tables!$C$43:$C$76,1),1),ROWS(Tables!$C$43:$C$76)-1)))+(AG162-INDEX(Tables!$C$43:$C$76,MAX(1,MIN(IFERROR(MATCH(AG162,Tables!$C$43:$C$76,1),1),ROWS(Tables!$C$43:$C$76)-1))))*(INDEX(Tables!$D$43:$D$76,MAX(1,MIN(IFERROR(MATCH(AG162,Tables!$C$43:$C$76,1),1),ROWS(Tables!$C$43:$C$76)-1))+1)-INDEX(Tables!$D$43:$D$76,MAX(1,MIN(IFERROR(MATCH(AG162,Tables!$C$43:$C$76,1),1),ROWS(Tables!$C$43:$C$76)-1))))/(INDEX(Tables!$C$43:$C$76,MAX(1,MIN(IFERROR(MATCH(AG162,Tables!$C$43:$C$76,1),1),ROWS(Tables!$C$43:$C$76)-1))+1)-INDEX(Tables!$C$43:$C$76,MAX(1,MIN(IFERROR(MATCH(AG162,Tables!$C$43:$C$76,1),1),ROWS(Tables!$C$43:$C$76)-1))))))</f>
        <v>1.224</v>
      </c>
      <c r="AM162" s="181">
        <f>(INDEX(Tables!$B$80:$B$87,MAX(1,MIN(IFERROR(MATCH(AH162,Tables!$A$80:$A$87,1),1),ROWS(Tables!$A$80:$A$87)-1)))+(AH162-INDEX(Tables!$A$80:$A$87,MAX(1,MIN(IFERROR(MATCH(AH162,Tables!$A$80:$A$87,1),1),ROWS(Tables!$A$80:$A$87)-1))))*(INDEX(Tables!$B$80:$B$87,MAX(1,MIN(IFERROR(MATCH(AH162,Tables!$A$80:$A$87,1),1),ROWS(Tables!$A$80:$A$87)-1))+1)-INDEX(Tables!$B$80:$B$87,MAX(1,MIN(IFERROR(MATCH(AH162,Tables!$A$80:$A$87,1),1),ROWS(Tables!$A$80:$A$87)-1))))/(INDEX(Tables!$A$80:$A$87,MAX(1,MIN(IFERROR(MATCH(AH162,Tables!$A$80:$A$87,1),1),ROWS(Tables!$A$80:$A$87)-1))+1)-INDEX(Tables!$A$80:$A$87,MAX(1,MIN(IFERROR(MATCH(AH162,Tables!$A$80:$A$87,1),1),ROWS(Tables!$A$80:$A$87)-1)))))</f>
        <v>0.89595000000000002</v>
      </c>
      <c r="AN162" s="181">
        <f t="shared" ref="AN162:AN193" si="167">AK162*AL162*AM162*(O162/(12^3))*U162</f>
        <v>22404.412404000002</v>
      </c>
      <c r="AO162" s="181">
        <f>(INDEX(Tables!$B$91:$B$94,MAX(1,MIN(IFERROR(MATCH(P162,Tables!$A$91:$A$94,1),1),ROWS(Tables!$A$91:$A$94)-1)))+(P162-INDEX(Tables!$A$91:$A$94,MAX(1,MIN(IFERROR(MATCH(P162,Tables!$A$91:$A$94,1),1),ROWS(Tables!$A$91:$A$94)-1))))*(INDEX(Tables!$B$91:$B$94,MAX(1,MIN(IFERROR(MATCH(P162,Tables!$A$91:$A$94,1),1),ROWS(Tables!$A$91:$A$94)-1))+1)-INDEX(Tables!$B$91:$B$94,MAX(1,MIN(IFERROR(MATCH(P162,Tables!$A$91:$A$94,1),1),ROWS(Tables!$A$91:$A$94)-1))))/(INDEX(Tables!$A$91:$A$94,MAX(1,MIN(IFERROR(MATCH(P162,Tables!$A$91:$A$94,1),1),ROWS(Tables!$A$91:$A$94)-1))+1)-INDEX(Tables!$A$91:$A$94,MAX(1,MIN(IFERROR(MATCH(P162,Tables!$A$91:$A$94,1),1),ROWS(Tables!$A$91:$A$94)-1)))))</f>
        <v>1</v>
      </c>
      <c r="AP162" s="181">
        <f>IF(AD162=5000,(INDEX(Tables!$B$99:$B$118,MAX(1,MIN(IFERROR(MATCH(AF162,Tables!$A$99:$A$118,1),1),ROWS(Tables!$A$99:$A$118)-1)))+(AF162-INDEX(Tables!$A$99:$A$118,MAX(1,MIN(IFERROR(MATCH(AF162,Tables!$A$99:$A$118,1),1),ROWS(Tables!$A$99:$A$118)-1))))*(INDEX(Tables!$B$99:$B$118,MAX(1,MIN(IFERROR(MATCH(AF162,Tables!$A$99:$A$118,1),1),ROWS(Tables!$A$99:$A$118)-1))+1)-INDEX(Tables!$B$99:$B$118,MAX(1,MIN(IFERROR(MATCH(AF162,Tables!$A$99:$A$118,1),1),ROWS(Tables!$A$99:$A$118)-1))))/(INDEX(Tables!$A$99:$A$118,MAX(1,MIN(IFERROR(MATCH(AF162,Tables!$A$99:$A$118,1),1),ROWS(Tables!$A$99:$A$118)-1))+1)-INDEX(Tables!$A$99:$A$118,MAX(1,MIN(IFERROR(MATCH(AF162,Tables!$A$99:$A$118,1),1),ROWS(Tables!$A$99:$A$118)-1))))),IF(AD162=10000,(INDEX(Tables!$D$99:$D$118,MAX(1,MIN(IFERROR(MATCH(AF162,Tables!$C$99:$C$118,1),1),ROWS(Tables!$C$99:$C$118)-1)))+(AF162-INDEX(Tables!$C$99:$C$118,MAX(1,MIN(IFERROR(MATCH(AF162,Tables!$C$99:$C$118,1),1),ROWS(Tables!$C$99:$C$118)-1))))*(INDEX(Tables!$D$99:$D$118,MAX(1,MIN(IFERROR(MATCH(AF162,Tables!$C$99:$C$118,1),1),ROWS(Tables!$C$99:$C$118)-1))+1)-INDEX(Tables!$D$99:$D$118,MAX(1,MIN(IFERROR(MATCH(AF162,Tables!$C$99:$C$118,1),1),ROWS(Tables!$C$99:$C$118)-1))))/(INDEX(Tables!$C$99:$C$118,MAX(1,MIN(IFERROR(MATCH(AF162,Tables!$C$99:$C$118,1),1),ROWS(Tables!$C$99:$C$118)-1))+1)-INDEX(Tables!$C$99:$C$118,MAX(1,MIN(IFERROR(MATCH(AF162,Tables!$C$99:$C$118,1),1),ROWS(Tables!$C$99:$C$118)-1))))),(INDEX(Tables!$F$99:$F$118,MAX(1,MIN(IFERROR(MATCH(AF162,Tables!$E$99:$E$118,1),1),ROWS(Tables!$E$99:$E$118)-1)))+(AF162-INDEX(Tables!$E$99:$E$118,MAX(1,MIN(IFERROR(MATCH(AF162,Tables!$E$99:$E$118,1),1),ROWS(Tables!$E$99:$E$118)-1))))*(INDEX(Tables!$F$99:$F$118,MAX(1,MIN(IFERROR(MATCH(AF162,Tables!$E$99:$E$118,1),1),ROWS(Tables!$E$99:$E$118)-1))+1)-INDEX(Tables!$F$99:$F$118,MAX(1,MIN(IFERROR(MATCH(AF162,Tables!$E$99:$E$118,1),1),ROWS(Tables!$E$99:$E$118)-1))))/(INDEX(Tables!$E$99:$E$118,MAX(1,MIN(IFERROR(MATCH(AF162,Tables!$E$99:$E$118,1),1),ROWS(Tables!$E$99:$E$118)-1))+1)-INDEX(Tables!$E$99:$E$118,MAX(1,MIN(IFERROR(MATCH(AF162,Tables!$E$99:$E$118,1),1),ROWS(Tables!$E$99:$E$118)-1)))))))</f>
        <v>12.907736434108527</v>
      </c>
      <c r="AQ162" s="181">
        <f>IF(P162&lt;6,(INDEX(Tables!$B$123:$B$138,MAX(1,MIN(IFERROR(MATCH(U162,Tables!$A$123:$A$138,1),1),ROWS(Tables!$A$123:$A$138)-1)))+(U162-INDEX(Tables!$A$123:$A$138,MAX(1,MIN(IFERROR(MATCH(U162,Tables!$A$123:$A$138,1),1),ROWS(Tables!$A$123:$A$138)-1))))*(INDEX(Tables!$B$123:$B$138,MAX(1,MIN(IFERROR(MATCH(U162,Tables!$A$123:$A$138,1),1),ROWS(Tables!$A$123:$A$138)-1))+1)-INDEX(Tables!$B$123:$B$138,MAX(1,MIN(IFERROR(MATCH(U162,Tables!$A$123:$A$138,1),1),ROWS(Tables!$A$123:$A$138)-1))))/(INDEX(Tables!$A$123:$A$138,MAX(1,MIN(IFERROR(MATCH(U162,Tables!$A$123:$A$138,1),1),ROWS(Tables!$A$123:$A$138)-1))+1)-INDEX(Tables!$A$123:$A$138,MAX(1,MIN(IFERROR(MATCH(U162,Tables!$A$123:$A$138,1),1),ROWS(Tables!$A$123:$A$138)-1))))),IF(P162&lt;8,(INDEX(Tables!$D$123:$D$138,MAX(1,MIN(IFERROR(MATCH(U162,Tables!$C$123:$C$138,1),1),ROWS(Tables!$C$123:$C$138)-1)))+(U162-INDEX(Tables!$C$123:$C$138,MAX(1,MIN(IFERROR(MATCH(U162,Tables!$C$123:$C$138,1),1),ROWS(Tables!$C$123:$C$138)-1))))*(INDEX(Tables!$D$123:$D$138,MAX(1,MIN(IFERROR(MATCH(U162,Tables!$C$123:$C$138,1),1),ROWS(Tables!$C$123:$C$138)-1))+1)-INDEX(Tables!$D$123:$D$138,MAX(1,MIN(IFERROR(MATCH(U162,Tables!$C$123:$C$138,1),1),ROWS(Tables!$C$123:$C$138)-1))))/(INDEX(Tables!$C$123:$C$138,MAX(1,MIN(IFERROR(MATCH(U162,Tables!$C$123:$C$138,1),1),ROWS(Tables!$C$123:$C$138)-1))+1)-INDEX(Tables!$C$123:$C$138,MAX(1,MIN(IFERROR(MATCH(U162,Tables!$C$123:$C$138,1),1),ROWS(Tables!$C$123:$C$138)-1))))),IF(P162&lt;10,(INDEX(Tables!$F$123:$F$138,MAX(1,MIN(IFERROR(MATCH(U162,Tables!$E$123:$E$138,1),1),ROWS(Tables!$E$123:$E$138)-1)))+(U162-INDEX(Tables!$E$123:$E$138,MAX(1,MIN(IFERROR(MATCH(U162,Tables!$E$123:$E$138,1),1),ROWS(Tables!$E$123:$E$138)-1))))*(INDEX(Tables!$F$123:$F$138,MAX(1,MIN(IFERROR(MATCH(U162,Tables!$E$123:$E$138,1),1),ROWS(Tables!$E$123:$E$138)-1))+1)-INDEX(Tables!$F$123:$F$138,MAX(1,MIN(IFERROR(MATCH(U162,Tables!$E$123:$E$138,1),1),ROWS(Tables!$E$123:$E$138)-1))))/(INDEX(Tables!$E$123:$E$138,MAX(1,MIN(IFERROR(MATCH(U162,Tables!$E$123:$E$138,1),1),ROWS(Tables!$E$123:$E$138)-1))+1)-INDEX(Tables!$E$123:$E$138,MAX(1,MIN(IFERROR(MATCH(U162,Tables!$E$123:$E$138,1),1),ROWS(Tables!$E$123:$E$138)-1))))),(INDEX(Tables!$H$123:$H$138,MAX(1,MIN(IFERROR(MATCH(U162,Tables!$G$123:$G$138,1),1),ROWS(Tables!$G$123:$G$138)-1)))+(U162-INDEX(Tables!$G$123:$G$138,MAX(1,MIN(IFERROR(MATCH(U162,Tables!$G$123:$G$138,1),1),ROWS(Tables!$G$123:$G$138)-1))))*(INDEX(Tables!$H$123:$H$138,MAX(1,MIN(IFERROR(MATCH(U162,Tables!$G$123:$G$138,1),1),ROWS(Tables!$G$123:$G$138)-1))+1)-INDEX(Tables!$H$123:$H$138,MAX(1,MIN(IFERROR(MATCH(U162,Tables!$G$123:$G$138,1),1),ROWS(Tables!$G$123:$G$138)-1))))/(INDEX(Tables!$G$123:$G$138,MAX(1,MIN(IFERROR(MATCH(U162,Tables!$G$123:$G$138,1),1),ROWS(Tables!$G$123:$G$138)-1))+1)-INDEX(Tables!$G$123:$G$138,MAX(1,MIN(IFERROR(MATCH(U162,Tables!$G$123:$G$138,1),1),ROWS(Tables!$G$123:$G$138)-1))))))))</f>
        <v>0.46899999999999997</v>
      </c>
      <c r="AR162" s="181">
        <f>IF(OR(P162&gt;=4,U162&gt;12),VLOOKUP(R162&amp;" "&amp;S162,Tables!$D$143:$F$148,2,FALSE),VLOOKUP(R162&amp;" "&amp;S162,Tables!$A$143:$C$148,2,FALSE))</f>
        <v>0.9</v>
      </c>
      <c r="AS162" s="181">
        <f>IF(OR(P162&gt;=4,U162&gt;12),VLOOKUP(R162&amp;" "&amp;S162,Tables!$D$143:$F$148,3,FALSE),VLOOKUP(R162&amp;" "&amp;S162,Tables!$A$143:$C$148,3,FALSE))</f>
        <v>0.65</v>
      </c>
      <c r="AT162" s="181">
        <f t="shared" ref="AT162:AT193" si="168">AP162*AQ162*AR162*AS162*AO162*AE162/(12^2)</f>
        <v>295.11925889534882</v>
      </c>
      <c r="AU162" s="181">
        <f>IF(AD162=5000,(INDEX(Tables!$B$244:$B$263,MAX(1,MIN(IFERROR(MATCH(AF162,Tables!$A$244:$A$263,1),1),ROWS(Tables!$A$244:$A$263)-1)))+(AF162-INDEX(Tables!$A$244:$A$263,MAX(1,MIN(IFERROR(MATCH(AF162,Tables!$A$244:$A$263,1),1),ROWS(Tables!$A$244:$A$263)-1))))*(INDEX(Tables!$B$244:$B$263,MAX(1,MIN(IFERROR(MATCH(AF162,Tables!$A$244:$A$263,1),1),ROWS(Tables!$A$244:$A$263)-1))+1)-INDEX(Tables!$B$244:$B$263,MAX(1,MIN(IFERROR(MATCH(AF162,Tables!$A$244:$A$263,1),1),ROWS(Tables!$A$244:$A$263)-1))))/(INDEX(Tables!$A$244:$A$263,MAX(1,MIN(IFERROR(MATCH(AF162,Tables!$A$244:$A$263,1),1),ROWS(Tables!$A$244:$A$263)-1))+1)-INDEX(Tables!$A$244:$A$263,MAX(1,MIN(IFERROR(MATCH(AF162,Tables!$A$244:$A$263,1),1),ROWS(Tables!$A$244:$A$263)-1))))),IF(AD162=10000,(INDEX(Tables!$D$244:$D$263,MAX(1,MIN(IFERROR(MATCH(AF162,Tables!$C$244:$C$263,1),1),ROWS(Tables!$C$244:$C$263)-1)))+(AF162-INDEX(Tables!$C$244:$C$263,MAX(1,MIN(IFERROR(MATCH(AF162,Tables!$C$244:$C$263,1),1),ROWS(Tables!$C$244:$C$263)-1))))*(INDEX(Tables!$D$244:$D$263,MAX(1,MIN(IFERROR(MATCH(AF162,Tables!$C$244:$C$263,1),1),ROWS(Tables!$C$244:$C$263)-1))+1)-INDEX(Tables!$D$244:$D$263,MAX(1,MIN(IFERROR(MATCH(AF162,Tables!$C$244:$C$263,1),1),ROWS(Tables!$C$244:$C$263)-1))))/(INDEX(Tables!$C$244:$C$263,MAX(1,MIN(IFERROR(MATCH(AF162,Tables!$C$244:$C$263,1),1),ROWS(Tables!$C$244:$C$263)-1))+1)-INDEX(Tables!$C$244:$C$263,MAX(1,MIN(IFERROR(MATCH(AF162,Tables!$C$244:$C$263,1),1),ROWS(Tables!$C$244:$C$263)-1))))),(INDEX(Tables!$F$244:$F$263,MAX(1,MIN(IFERROR(MATCH(AF162,Tables!$E$244:$E$263,1),1),ROWS(Tables!$E$244:$E$263)-1)))+(AF162-INDEX(Tables!$E$244:$E$263,MAX(1,MIN(IFERROR(MATCH(AF162,Tables!$E$244:$E$263,1),1),ROWS(Tables!$E$244:$E$263)-1))))*(INDEX(Tables!$F$244:$F$263,MAX(1,MIN(IFERROR(MATCH(AF162,Tables!$E$244:$E$263,1),1),ROWS(Tables!$E$244:$E$263)-1))+1)-INDEX(Tables!$F$244:$F$263,MAX(1,MIN(IFERROR(MATCH(AF162,Tables!$E$244:$E$263,1),1),ROWS(Tables!$E$244:$E$263)-1))))/(INDEX(Tables!$E$244:$E$263,MAX(1,MIN(IFERROR(MATCH(AF162,Tables!$E$244:$E$263,1),1),ROWS(Tables!$E$244:$E$263)-1))+1)-INDEX(Tables!$E$244:$E$263,MAX(1,MIN(IFERROR(MATCH(AF162,Tables!$E$244:$E$263,1),1),ROWS(Tables!$E$244:$E$263)-1)))))))</f>
        <v>9.7669999999999995</v>
      </c>
      <c r="AV162" s="181">
        <f>IF(P162&lt;6,(INDEX(Tables!$B$260:$B$274,MAX(1,MIN(IFERROR(MATCH(U162,Tables!$A$260:$A$274,1),1),ROWS(Tables!$A$260:$A$274)-1)))+(U162-INDEX(Tables!$A$260:$A$274,MAX(1,MIN(IFERROR(MATCH(U162,Tables!$A$260:$A$274,1),1),ROWS(Tables!$A$260:$A$274)-1))))*(INDEX(Tables!$B$260:$B$274,MAX(1,MIN(IFERROR(MATCH(U162,Tables!$A$260:$A$274,1),1),ROWS(Tables!$A$260:$A$274)-1))+1)-INDEX(Tables!$B$260:$B$274,MAX(1,MIN(IFERROR(MATCH(U162,Tables!$A$260:$A$274,1),1),ROWS(Tables!$A$260:$A$274)-1))))/(INDEX(Tables!$A$260:$A$274,MAX(1,MIN(IFERROR(MATCH(U162,Tables!$A$260:$A$274,1),1),ROWS(Tables!$A$260:$A$274)-1))+1)-INDEX(Tables!$A$260:$A$274,MAX(1,MIN(IFERROR(MATCH(U162,Tables!$A$260:$A$274,1),1),ROWS(Tables!$A$260:$A$274)-1))))),IF(P162&lt;8,(INDEX(Tables!$D$260:$D$274,MAX(1,MIN(IFERROR(MATCH(U162,Tables!$C$260:$C$274,1),1),ROWS(Tables!$C$260:$C$274)-1)))+(U162-INDEX(Tables!$C$260:$C$274,MAX(1,MIN(IFERROR(MATCH(U162,Tables!$C$260:$C$274,1),1),ROWS(Tables!$C$260:$C$274)-1))))*(INDEX(Tables!$D$260:$D$274,MAX(1,MIN(IFERROR(MATCH(U162,Tables!$C$260:$C$274,1),1),ROWS(Tables!$C$260:$C$274)-1))+1)-INDEX(Tables!$D$260:$D$274,MAX(1,MIN(IFERROR(MATCH(U162,Tables!$C$260:$C$274,1),1),ROWS(Tables!$C$260:$C$274)-1))))/(INDEX(Tables!$C$260:$C$274,MAX(1,MIN(IFERROR(MATCH(U162,Tables!$C$260:$C$274,1),1),ROWS(Tables!$C$260:$C$274)-1))+1)-INDEX(Tables!$C$260:$C$274,MAX(1,MIN(IFERROR(MATCH(U162,Tables!$C$260:$C$274,1),1),ROWS(Tables!$C$260:$C$274)-1))))),IF(P162&lt;10,(INDEX(Tables!$F$260:$F$274,MAX(1,MIN(IFERROR(MATCH(U162,Tables!$E$260:$E$274,1),1),ROWS(Tables!$E$260:$E$274)-1)))+(U162-INDEX(Tables!$E$260:$E$274,MAX(1,MIN(IFERROR(MATCH(U162,Tables!$E$260:$E$274,1),1),ROWS(Tables!$E$260:$E$274)-1))))*(INDEX(Tables!$F$260:$F$274,MAX(1,MIN(IFERROR(MATCH(U162,Tables!$E$260:$E$274,1),1),ROWS(Tables!$E$260:$E$274)-1))+1)-INDEX(Tables!$F$260:$F$274,MAX(1,MIN(IFERROR(MATCH(U162,Tables!$E$260:$E$274,1),1),ROWS(Tables!$E$260:$E$274)-1))))/(INDEX(Tables!$E$260:$E$274,MAX(1,MIN(IFERROR(MATCH(U162,Tables!$E$260:$E$274,1),1),ROWS(Tables!$E$260:$E$274)-1))+1)-INDEX(Tables!$E$260:$E$274,MAX(1,MIN(IFERROR(MATCH(U162,Tables!$E$260:$E$274,1),1),ROWS(Tables!$E$260:$E$274)-1))))),(INDEX(Tables!$H$260:$H$274,MAX(1,MIN(IFERROR(MATCH(U162,Tables!$G$260:$G$274,1),1),ROWS(Tables!$G$260:$G$274)-1)))+(U162-INDEX(Tables!$G$260:$G$274,MAX(1,MIN(IFERROR(MATCH(U162,Tables!$G$260:$G$274,1),1),ROWS(Tables!$G$260:$G$274)-1))))*(INDEX(Tables!$H$260:$H$274,MAX(1,MIN(IFERROR(MATCH(U162,Tables!$G$260:$G$274,1),1),ROWS(Tables!$G$260:$G$274)-1))+1)-INDEX(Tables!$H$260:$H$274,MAX(1,MIN(IFERROR(MATCH(U162,Tables!$G$260:$G$274,1),1),ROWS(Tables!$G$260:$G$274)-1))))/(INDEX(Tables!$G$260:$G$274,MAX(1,MIN(IFERROR(MATCH(U162,Tables!$G$260:$G$274,1),1),ROWS(Tables!$G$260:$G$274)-1))+1)-INDEX(Tables!$G$260:$G$274,MAX(1,MIN(IFERROR(MATCH(U162,Tables!$G$260:$G$274,1),1),ROWS(Tables!$G$260:$G$274)-1))))))))</f>
        <v>0.45700000000000002</v>
      </c>
      <c r="AW162" s="181">
        <f t="shared" ref="AW162:AW193" si="169">AU162*AV162*AR162*AS162*AO162*(AE162/(12^2))</f>
        <v>217.59655124999998</v>
      </c>
      <c r="AX162" s="181">
        <f t="shared" ref="AX162:AX169" si="170">M162*(U162-E162)/(2*E162)</f>
        <v>68400</v>
      </c>
      <c r="AY162" s="181">
        <f t="shared" ref="AY162:AY193" si="171">AN162+AT162+AX162</f>
        <v>91099.531662895344</v>
      </c>
      <c r="AZ162" s="181">
        <f t="shared" ref="AZ162:AZ169" si="172">AW162-(Y162)*(AA162)*(L162-T162)+(Z162*(AN162+AX162))</f>
        <v>27458.920272449999</v>
      </c>
      <c r="BA162" s="181">
        <f t="shared" ref="BA162:BA169" si="173">-M162</f>
        <v>-1440</v>
      </c>
      <c r="BB162" s="181">
        <f t="shared" ref="BB162:BB193" si="174">SQRT(0.5*((AY162-AZ162)^2+(AZ162-BA162)^2+(BA162-AY162)^2))</f>
        <v>82002.56072663558</v>
      </c>
      <c r="BC162" s="181">
        <f t="shared" ref="BC162:BC169" si="175">V162*W162</f>
        <v>46800</v>
      </c>
      <c r="BD162" s="181">
        <f>VLOOKUP(V162&amp;" "&amp;J162,Tables!$A$152:$E$239,4,FALSE)</f>
        <v>12000</v>
      </c>
      <c r="BE162" s="181">
        <f>VLOOKUP(V162&amp;" "&amp;J162,Tables!$A$152:$E$239,5,FALSE)</f>
        <v>23000</v>
      </c>
      <c r="BF162" s="181">
        <f t="shared" ref="BF162:BF169" si="176">BD162*W162</f>
        <v>8640</v>
      </c>
      <c r="BG162" s="181">
        <f t="shared" ref="BG162:BG169" si="177">BE162*W162</f>
        <v>16560</v>
      </c>
      <c r="BH162" s="181">
        <f t="shared" ref="BH162:BH169" si="178">AI162</f>
        <v>69120</v>
      </c>
      <c r="BI162" s="181">
        <f t="shared" ref="BI162:BI169" si="179">AJ162</f>
        <v>46800</v>
      </c>
      <c r="BJ162" s="181">
        <f t="shared" ref="BJ162:BJ169" si="180">BB162</f>
        <v>82002.56072663558</v>
      </c>
      <c r="BK162" s="181">
        <f t="shared" ref="BK162:BK169" si="181">BC162</f>
        <v>46800</v>
      </c>
      <c r="BL162" s="181">
        <f t="shared" ref="BL162:BL169" si="182">AW162</f>
        <v>217.59655124999998</v>
      </c>
      <c r="BM162" s="181">
        <f t="shared" ref="BM162:BM169" si="183">BF162</f>
        <v>8640</v>
      </c>
      <c r="BN162" s="181">
        <f t="shared" ref="BN162:BN169" si="184">AT162</f>
        <v>295.11925889534882</v>
      </c>
      <c r="BO162" s="181">
        <f t="shared" ref="BO162:BO169" si="185">BG162</f>
        <v>16560</v>
      </c>
      <c r="BP162" t="str">
        <f t="shared" ref="BP162:BP169" si="186">IF(BH162&lt;=BI162,"Pass","Fail")</f>
        <v>Fail</v>
      </c>
      <c r="BQ162" t="str">
        <f t="shared" ref="BQ162:BQ169" si="187">IF(BJ162&lt;=BK162,"Pass","Fail")</f>
        <v>Fail</v>
      </c>
      <c r="BR162" t="str">
        <f t="shared" ref="BR162:BR169" si="188">IF(BL162&lt;=BM162,"Pass","Fail")</f>
        <v>Pass</v>
      </c>
      <c r="BS162" t="str">
        <f t="shared" ref="BS162:BS169" si="189">IF(BN162&lt;=BO162,"Pass","Fail")</f>
        <v>Pass</v>
      </c>
      <c r="BT162" t="str">
        <f t="shared" ref="BT162:BT193" si="190">IF(OR(BP162="Fail",BQ162="Fail",BR162="Fail",BS162="Fail"),"Fail","Pass")</f>
        <v>Fail</v>
      </c>
      <c r="BU162" t="str">
        <f t="shared" ref="BU162:BU169" si="191">IF(MAX(BH162/BI162,BJ162/BK162,BL162/BM162,BN162/BO162)=BH162/BI162,"Barlow Stress",IF(MAX(BH162/BI162,BJ162/BK162,BL162/BM162,BN162/BO162)=BJ162/BK162,"Effective Stress",IF(MAX(BH162/BI162,BJ162/BK162,BL162/BM162,BN162/BO162)=BL162/BM162,"Girth Weld Stress","Longitudinal Weld Stress")))</f>
        <v>Effective Stress</v>
      </c>
    </row>
    <row r="163" spans="1:73">
      <c r="A163" t="s">
        <v>755</v>
      </c>
      <c r="B163" s="181">
        <v>161</v>
      </c>
      <c r="C163" t="s">
        <v>594</v>
      </c>
      <c r="D163" s="181">
        <v>6</v>
      </c>
      <c r="E163" s="181">
        <v>0.14699999999999999</v>
      </c>
      <c r="F163" t="s">
        <v>117</v>
      </c>
      <c r="G163" t="s">
        <v>119</v>
      </c>
      <c r="H163" t="s">
        <v>122</v>
      </c>
      <c r="I163" s="181">
        <v>1</v>
      </c>
      <c r="J163" t="s">
        <v>126</v>
      </c>
      <c r="K163" t="s">
        <v>129</v>
      </c>
      <c r="L163" s="181">
        <v>70</v>
      </c>
      <c r="M163" s="181">
        <v>1440</v>
      </c>
      <c r="N163" t="s">
        <v>141</v>
      </c>
      <c r="O163" s="181">
        <v>120</v>
      </c>
      <c r="P163" s="181">
        <v>1</v>
      </c>
      <c r="Q163" s="181">
        <v>8.625</v>
      </c>
      <c r="R163" t="s">
        <v>417</v>
      </c>
      <c r="S163" t="s">
        <v>420</v>
      </c>
      <c r="T163" s="181">
        <v>70</v>
      </c>
      <c r="U163" s="181">
        <f>HLOOKUP(D163,'Highway Loading'!$C$155:$AD$156,2,FALSE)</f>
        <v>6.625</v>
      </c>
      <c r="V163" s="181">
        <f>IF(ISBLANK(G163),"",INDEX('Highway Loading'!$C$216:$AG$216,1,MATCH(G163,'Highway Loading'!$C$215:$AG$215,0)))</f>
        <v>65000</v>
      </c>
      <c r="W163" s="181">
        <f>INDEX('Highway Loading'!$I$245:$L$253,MATCH(H163,'Highway Loading'!$H$245:$H$253,0),MATCH(I163,'Highway Loading'!$I$244:$L$244,0))</f>
        <v>0.72</v>
      </c>
      <c r="X163" s="181">
        <f t="shared" si="160"/>
        <v>1</v>
      </c>
      <c r="Y163" s="181">
        <f>VLOOKUP(K163,'Highway Loading'!$B$283:$E$292,2,FALSE)</f>
        <v>29000000</v>
      </c>
      <c r="Z163" s="181">
        <f>VLOOKUP(K163,'Highway Loading'!$B$283:$E$292,3,FALSE)</f>
        <v>0.3</v>
      </c>
      <c r="AA163" s="181">
        <f>VLOOKUP(K163,'Highway Loading'!$B$283:$E$292,4,FALSE)</f>
        <v>6.4999999999999996E-6</v>
      </c>
      <c r="AB163" s="181">
        <f t="shared" si="161"/>
        <v>1</v>
      </c>
      <c r="AC163" s="181">
        <f>VLOOKUP(N163,'Highway Loading'!$B$256:$D$261,2,FALSE)</f>
        <v>500</v>
      </c>
      <c r="AD163" s="181">
        <f>VLOOKUP(N163,'Highway Loading'!$B$256:$D$261,3,FALSE)</f>
        <v>10000</v>
      </c>
      <c r="AE163" s="181">
        <f>VLOOKUP(S163,'Highway Loading'!$B$340:$C$341,2,FALSE)</f>
        <v>12000</v>
      </c>
      <c r="AF163" s="181">
        <f t="shared" si="162"/>
        <v>2.2188679245283019E-2</v>
      </c>
      <c r="AG163" s="181">
        <f t="shared" si="163"/>
        <v>1.3913043478260869</v>
      </c>
      <c r="AH163" s="181">
        <f t="shared" si="164"/>
        <v>1.3018867924528301</v>
      </c>
      <c r="AI163" s="181">
        <f t="shared" si="165"/>
        <v>32448.979591836738</v>
      </c>
      <c r="AJ163" s="181">
        <f t="shared" si="166"/>
        <v>46800</v>
      </c>
      <c r="AK163" s="181">
        <f>IF(AC163=200,(INDEX(Tables!$B$17:$B$38,MAX(1,MIN(IFERROR(MATCH(AF163,Tables!$A$17:$A$38,1),1),ROWS(Tables!$A$17:$A$38)-1)))+(AF163-INDEX(Tables!$A$17:$A$38,MAX(1,MIN(IFERROR(MATCH(AF163,Tables!$A$17:$A$38,1),1),ROWS(Tables!$A$17:$A$38)-1))))*(INDEX(Tables!$B$17:$B$38,MAX(1,MIN(IFERROR(MATCH(AF163,Tables!$A$17:$A$38,1),1),ROWS(Tables!$A$17:$A$38)-1))+1)-INDEX(Tables!$B$17:$B$38,MAX(1,MIN(IFERROR(MATCH(AF163,Tables!$A$17:$A$38,1),1),ROWS(Tables!$A$17:$A$38)-1))))/(INDEX(Tables!$A$17:$A$38,MAX(1,MIN(IFERROR(MATCH(AF163,Tables!$A$17:$A$38,1),1),ROWS(Tables!$A$17:$A$38)-1))+1)-INDEX(Tables!$A$17:$A$38,MAX(1,MIN(IFERROR(MATCH(AF163,Tables!$A$17:$A$38,1),1),ROWS(Tables!$A$17:$A$38)-1))))),IF(AC163=500,(INDEX(Tables!$D$17:$D$38,MAX(1,MIN(IFERROR(MATCH(AF163,Tables!$C$17:$C$38,1),1),ROWS(Tables!$C$17:$C$38)-1)))+(AF163-INDEX(Tables!$C$17:$C$38,MAX(1,MIN(IFERROR(MATCH(AF163,Tables!$C$17:$C$38,1),1),ROWS(Tables!$C$17:$C$38)-1))))*(INDEX(Tables!$D$17:$D$38,MAX(1,MIN(IFERROR(MATCH(AF163,Tables!$C$17:$C$38,1),1),ROWS(Tables!$C$17:$C$38)-1))+1)-INDEX(Tables!$D$17:$D$38,MAX(1,MIN(IFERROR(MATCH(AF163,Tables!$C$17:$C$38,1),1),ROWS(Tables!$C$17:$C$38)-1))))/(INDEX(Tables!$C$17:$C$38,MAX(1,MIN(IFERROR(MATCH(AF163,Tables!$C$17:$C$38,1),1),ROWS(Tables!$C$17:$C$38)-1))+1)-INDEX(Tables!$C$17:$C$38,MAX(1,MIN(IFERROR(MATCH(AF163,Tables!$C$17:$C$38,1),1),ROWS(Tables!$C$17:$C$38)-1))))),IF(AC163=1000,(INDEX(Tables!$F$17:$F$38,MAX(1,MIN(IFERROR(MATCH(AF163,Tables!$E$17:$E$38,1),1),ROWS(Tables!$E$17:$E$38)-1)))+(AF163-INDEX(Tables!$E$17:$E$38,MAX(1,MIN(IFERROR(MATCH(AF163,Tables!$E$17:$E$38,1),1),ROWS(Tables!$E$17:$E$38)-1))))*(INDEX(Tables!$F$17:$F$38,MAX(1,MIN(IFERROR(MATCH(AF163,Tables!$E$17:$E$38,1),1),ROWS(Tables!$E$17:$E$38)-1))+1)-INDEX(Tables!$F$17:$F$38,MAX(1,MIN(IFERROR(MATCH(AF163,Tables!$E$17:$E$38,1),1),ROWS(Tables!$E$17:$E$38)-1))))/(INDEX(Tables!$E$17:$E$38,MAX(1,MIN(IFERROR(MATCH(AF163,Tables!$E$17:$E$38,1),1),ROWS(Tables!$E$17:$E$38)-1))+1)-INDEX(Tables!$E$17:$E$38,MAX(1,MIN(IFERROR(MATCH(AF163,Tables!$E$17:$E$38,1),1),ROWS(Tables!$E$17:$E$38)-1))))),(INDEX(Tables!$H$17:$H$38,MAX(1,MIN(IFERROR(MATCH(AF163,Tables!$G$17:$G$38,1),1),ROWS(Tables!$G$17:$G$38)-1)))+(AF163-INDEX(Tables!$G$17:$G$38,MAX(1,MIN(IFERROR(MATCH(AF163,Tables!$G$17:$G$38,1),1),ROWS(Tables!$G$17:$G$38)-1))))*(INDEX(Tables!$H$17:$H$38,MAX(1,MIN(IFERROR(MATCH(AF163,Tables!$G$17:$G$38,1),1),ROWS(Tables!$G$17:$G$38)-1))+1)-INDEX(Tables!$H$17:$H$38,MAX(1,MIN(IFERROR(MATCH(AF163,Tables!$G$17:$G$38,1),1),ROWS(Tables!$G$17:$G$38)-1))))/(INDEX(Tables!$G$17:$G$38,MAX(1,MIN(IFERROR(MATCH(AF163,Tables!$G$17:$G$38,1),1),ROWS(Tables!$G$17:$G$38)-1))+1)-INDEX(Tables!$G$17:$G$38,MAX(1,MIN(IFERROR(MATCH(AF163,Tables!$G$17:$G$38,1),1),ROWS(Tables!$G$17:$G$38)-1))))))))</f>
        <v>2216.0716981132077</v>
      </c>
      <c r="AL163" s="181">
        <f>IF(AC163&lt;1000,(INDEX(Tables!$B$43:$B$76,MAX(1,MIN(IFERROR(MATCH(AG163,Tables!$A$43:$A$76,1),1),ROWS(Tables!$A$43:$A$76)-1)))+(AG163-INDEX(Tables!$A$43:$A$76,MAX(1,MIN(IFERROR(MATCH(AG163,Tables!$A$43:$A$76,1),1),ROWS(Tables!$A$43:$A$76)-1))))*(INDEX(Tables!$B$43:$B$76,MAX(1,MIN(IFERROR(MATCH(AG163,Tables!$A$43:$A$76,1),1),ROWS(Tables!$A$43:$A$76)-1))+1)-INDEX(Tables!$B$43:$B$76,MAX(1,MIN(IFERROR(MATCH(AG163,Tables!$A$43:$A$76,1),1),ROWS(Tables!$A$43:$A$76)-1))))/(INDEX(Tables!$A$43:$A$76,MAX(1,MIN(IFERROR(MATCH(AG163,Tables!$A$43:$A$76,1),1),ROWS(Tables!$A$43:$A$76)-1))+1)-INDEX(Tables!$A$43:$A$76,MAX(1,MIN(IFERROR(MATCH(AG163,Tables!$A$43:$A$76,1),1),ROWS(Tables!$A$43:$A$76)-1))))),(INDEX(Tables!$D$43:$D$76,MAX(1,MIN(IFERROR(MATCH(AG163,Tables!$C$43:$C$76,1),1),ROWS(Tables!$C$43:$C$76)-1)))+(AG163-INDEX(Tables!$C$43:$C$76,MAX(1,MIN(IFERROR(MATCH(AG163,Tables!$C$43:$C$76,1),1),ROWS(Tables!$C$43:$C$76)-1))))*(INDEX(Tables!$D$43:$D$76,MAX(1,MIN(IFERROR(MATCH(AG163,Tables!$C$43:$C$76,1),1),ROWS(Tables!$C$43:$C$76)-1))+1)-INDEX(Tables!$D$43:$D$76,MAX(1,MIN(IFERROR(MATCH(AG163,Tables!$C$43:$C$76,1),1),ROWS(Tables!$C$43:$C$76)-1))))/(INDEX(Tables!$C$43:$C$76,MAX(1,MIN(IFERROR(MATCH(AG163,Tables!$C$43:$C$76,1),1),ROWS(Tables!$C$43:$C$76)-1))+1)-INDEX(Tables!$C$43:$C$76,MAX(1,MIN(IFERROR(MATCH(AG163,Tables!$C$43:$C$76,1),1),ROWS(Tables!$C$43:$C$76)-1))))))</f>
        <v>0.44739130434782609</v>
      </c>
      <c r="AM163" s="181">
        <f>(INDEX(Tables!$B$80:$B$87,MAX(1,MIN(IFERROR(MATCH(AH163,Tables!$A$80:$A$87,1),1),ROWS(Tables!$A$80:$A$87)-1)))+(AH163-INDEX(Tables!$A$80:$A$87,MAX(1,MIN(IFERROR(MATCH(AH163,Tables!$A$80:$A$87,1),1),ROWS(Tables!$A$80:$A$87)-1))))*(INDEX(Tables!$B$80:$B$87,MAX(1,MIN(IFERROR(MATCH(AH163,Tables!$A$80:$A$87,1),1),ROWS(Tables!$A$80:$A$87)-1))+1)-INDEX(Tables!$B$80:$B$87,MAX(1,MIN(IFERROR(MATCH(AH163,Tables!$A$80:$A$87,1),1),ROWS(Tables!$A$80:$A$87)-1))))/(INDEX(Tables!$A$80:$A$87,MAX(1,MIN(IFERROR(MATCH(AH163,Tables!$A$80:$A$87,1),1),ROWS(Tables!$A$80:$A$87)-1))+1)-INDEX(Tables!$A$80:$A$87,MAX(1,MIN(IFERROR(MATCH(AH163,Tables!$A$80:$A$87,1),1),ROWS(Tables!$A$80:$A$87)-1)))))</f>
        <v>1.403996226415094</v>
      </c>
      <c r="AN163" s="181">
        <f t="shared" si="167"/>
        <v>640.41379310554237</v>
      </c>
      <c r="AO163" s="181">
        <f>(INDEX(Tables!$B$91:$B$94,MAX(1,MIN(IFERROR(MATCH(P163,Tables!$A$91:$A$94,1),1),ROWS(Tables!$A$91:$A$94)-1)))+(P163-INDEX(Tables!$A$91:$A$94,MAX(1,MIN(IFERROR(MATCH(P163,Tables!$A$91:$A$94,1),1),ROWS(Tables!$A$91:$A$94)-1))))*(INDEX(Tables!$B$91:$B$94,MAX(1,MIN(IFERROR(MATCH(P163,Tables!$A$91:$A$94,1),1),ROWS(Tables!$A$91:$A$94)-1))+1)-INDEX(Tables!$B$91:$B$94,MAX(1,MIN(IFERROR(MATCH(P163,Tables!$A$91:$A$94,1),1),ROWS(Tables!$A$91:$A$94)-1))))/(INDEX(Tables!$A$91:$A$94,MAX(1,MIN(IFERROR(MATCH(P163,Tables!$A$91:$A$94,1),1),ROWS(Tables!$A$91:$A$94)-1))+1)-INDEX(Tables!$A$91:$A$94,MAX(1,MIN(IFERROR(MATCH(P163,Tables!$A$91:$A$94,1),1),ROWS(Tables!$A$91:$A$94)-1)))))</f>
        <v>1.5</v>
      </c>
      <c r="AP163" s="181">
        <f>IF(AD163=5000,(INDEX(Tables!$B$99:$B$118,MAX(1,MIN(IFERROR(MATCH(AF163,Tables!$A$99:$A$118,1),1),ROWS(Tables!$A$99:$A$118)-1)))+(AF163-INDEX(Tables!$A$99:$A$118,MAX(1,MIN(IFERROR(MATCH(AF163,Tables!$A$99:$A$118,1),1),ROWS(Tables!$A$99:$A$118)-1))))*(INDEX(Tables!$B$99:$B$118,MAX(1,MIN(IFERROR(MATCH(AF163,Tables!$A$99:$A$118,1),1),ROWS(Tables!$A$99:$A$118)-1))+1)-INDEX(Tables!$B$99:$B$118,MAX(1,MIN(IFERROR(MATCH(AF163,Tables!$A$99:$A$118,1),1),ROWS(Tables!$A$99:$A$118)-1))))/(INDEX(Tables!$A$99:$A$118,MAX(1,MIN(IFERROR(MATCH(AF163,Tables!$A$99:$A$118,1),1),ROWS(Tables!$A$99:$A$118)-1))+1)-INDEX(Tables!$A$99:$A$118,MAX(1,MIN(IFERROR(MATCH(AF163,Tables!$A$99:$A$118,1),1),ROWS(Tables!$A$99:$A$118)-1))))),IF(AD163=10000,(INDEX(Tables!$D$99:$D$118,MAX(1,MIN(IFERROR(MATCH(AF163,Tables!$C$99:$C$118,1),1),ROWS(Tables!$C$99:$C$118)-1)))+(AF163-INDEX(Tables!$C$99:$C$118,MAX(1,MIN(IFERROR(MATCH(AF163,Tables!$C$99:$C$118,1),1),ROWS(Tables!$C$99:$C$118)-1))))*(INDEX(Tables!$D$99:$D$118,MAX(1,MIN(IFERROR(MATCH(AF163,Tables!$C$99:$C$118,1),1),ROWS(Tables!$C$99:$C$118)-1))+1)-INDEX(Tables!$D$99:$D$118,MAX(1,MIN(IFERROR(MATCH(AF163,Tables!$C$99:$C$118,1),1),ROWS(Tables!$C$99:$C$118)-1))))/(INDEX(Tables!$C$99:$C$118,MAX(1,MIN(IFERROR(MATCH(AF163,Tables!$C$99:$C$118,1),1),ROWS(Tables!$C$99:$C$118)-1))+1)-INDEX(Tables!$C$99:$C$118,MAX(1,MIN(IFERROR(MATCH(AF163,Tables!$C$99:$C$118,1),1),ROWS(Tables!$C$99:$C$118)-1))))),(INDEX(Tables!$F$99:$F$118,MAX(1,MIN(IFERROR(MATCH(AF163,Tables!$E$99:$E$118,1),1),ROWS(Tables!$E$99:$E$118)-1)))+(AF163-INDEX(Tables!$E$99:$E$118,MAX(1,MIN(IFERROR(MATCH(AF163,Tables!$E$99:$E$118,1),1),ROWS(Tables!$E$99:$E$118)-1))))*(INDEX(Tables!$F$99:$F$118,MAX(1,MIN(IFERROR(MATCH(AF163,Tables!$E$99:$E$118,1),1),ROWS(Tables!$E$99:$E$118)-1))+1)-INDEX(Tables!$F$99:$F$118,MAX(1,MIN(IFERROR(MATCH(AF163,Tables!$E$99:$E$118,1),1),ROWS(Tables!$E$99:$E$118)-1))))/(INDEX(Tables!$E$99:$E$118,MAX(1,MIN(IFERROR(MATCH(AF163,Tables!$E$99:$E$118,1),1),ROWS(Tables!$E$99:$E$118)-1))+1)-INDEX(Tables!$E$99:$E$118,MAX(1,MIN(IFERROR(MATCH(AF163,Tables!$E$99:$E$118,1),1),ROWS(Tables!$E$99:$E$118)-1)))))))</f>
        <v>13.310853692457467</v>
      </c>
      <c r="AQ163" s="181">
        <f>IF(P163&lt;6,(INDEX(Tables!$B$123:$B$138,MAX(1,MIN(IFERROR(MATCH(U163,Tables!$A$123:$A$138,1),1),ROWS(Tables!$A$123:$A$138)-1)))+(U163-INDEX(Tables!$A$123:$A$138,MAX(1,MIN(IFERROR(MATCH(U163,Tables!$A$123:$A$138,1),1),ROWS(Tables!$A$123:$A$138)-1))))*(INDEX(Tables!$B$123:$B$138,MAX(1,MIN(IFERROR(MATCH(U163,Tables!$A$123:$A$138,1),1),ROWS(Tables!$A$123:$A$138)-1))+1)-INDEX(Tables!$B$123:$B$138,MAX(1,MIN(IFERROR(MATCH(U163,Tables!$A$123:$A$138,1),1),ROWS(Tables!$A$123:$A$138)-1))))/(INDEX(Tables!$A$123:$A$138,MAX(1,MIN(IFERROR(MATCH(U163,Tables!$A$123:$A$138,1),1),ROWS(Tables!$A$123:$A$138)-1))+1)-INDEX(Tables!$A$123:$A$138,MAX(1,MIN(IFERROR(MATCH(U163,Tables!$A$123:$A$138,1),1),ROWS(Tables!$A$123:$A$138)-1))))),IF(P163&lt;8,(INDEX(Tables!$D$123:$D$138,MAX(1,MIN(IFERROR(MATCH(U163,Tables!$C$123:$C$138,1),1),ROWS(Tables!$C$123:$C$138)-1)))+(U163-INDEX(Tables!$C$123:$C$138,MAX(1,MIN(IFERROR(MATCH(U163,Tables!$C$123:$C$138,1),1),ROWS(Tables!$C$123:$C$138)-1))))*(INDEX(Tables!$D$123:$D$138,MAX(1,MIN(IFERROR(MATCH(U163,Tables!$C$123:$C$138,1),1),ROWS(Tables!$C$123:$C$138)-1))+1)-INDEX(Tables!$D$123:$D$138,MAX(1,MIN(IFERROR(MATCH(U163,Tables!$C$123:$C$138,1),1),ROWS(Tables!$C$123:$C$138)-1))))/(INDEX(Tables!$C$123:$C$138,MAX(1,MIN(IFERROR(MATCH(U163,Tables!$C$123:$C$138,1),1),ROWS(Tables!$C$123:$C$138)-1))+1)-INDEX(Tables!$C$123:$C$138,MAX(1,MIN(IFERROR(MATCH(U163,Tables!$C$123:$C$138,1),1),ROWS(Tables!$C$123:$C$138)-1))))),IF(P163&lt;10,(INDEX(Tables!$F$123:$F$138,MAX(1,MIN(IFERROR(MATCH(U163,Tables!$E$123:$E$138,1),1),ROWS(Tables!$E$123:$E$138)-1)))+(U163-INDEX(Tables!$E$123:$E$138,MAX(1,MIN(IFERROR(MATCH(U163,Tables!$E$123:$E$138,1),1),ROWS(Tables!$E$123:$E$138)-1))))*(INDEX(Tables!$F$123:$F$138,MAX(1,MIN(IFERROR(MATCH(U163,Tables!$E$123:$E$138,1),1),ROWS(Tables!$E$123:$E$138)-1))+1)-INDEX(Tables!$F$123:$F$138,MAX(1,MIN(IFERROR(MATCH(U163,Tables!$E$123:$E$138,1),1),ROWS(Tables!$E$123:$E$138)-1))))/(INDEX(Tables!$E$123:$E$138,MAX(1,MIN(IFERROR(MATCH(U163,Tables!$E$123:$E$138,1),1),ROWS(Tables!$E$123:$E$138)-1))+1)-INDEX(Tables!$E$123:$E$138,MAX(1,MIN(IFERROR(MATCH(U163,Tables!$E$123:$E$138,1),1),ROWS(Tables!$E$123:$E$138)-1))))),(INDEX(Tables!$H$123:$H$138,MAX(1,MIN(IFERROR(MATCH(U163,Tables!$G$123:$G$138,1),1),ROWS(Tables!$G$123:$G$138)-1)))+(U163-INDEX(Tables!$G$123:$G$138,MAX(1,MIN(IFERROR(MATCH(U163,Tables!$G$123:$G$138,1),1),ROWS(Tables!$G$123:$G$138)-1))))*(INDEX(Tables!$H$123:$H$138,MAX(1,MIN(IFERROR(MATCH(U163,Tables!$G$123:$G$138,1),1),ROWS(Tables!$G$123:$G$138)-1))+1)-INDEX(Tables!$H$123:$H$138,MAX(1,MIN(IFERROR(MATCH(U163,Tables!$G$123:$G$138,1),1),ROWS(Tables!$G$123:$G$138)-1))))/(INDEX(Tables!$G$123:$G$138,MAX(1,MIN(IFERROR(MATCH(U163,Tables!$G$123:$G$138,1),1),ROWS(Tables!$G$123:$G$138)-1))+1)-INDEX(Tables!$G$123:$G$138,MAX(1,MIN(IFERROR(MATCH(U163,Tables!$G$123:$G$138,1),1),ROWS(Tables!$G$123:$G$138)-1))))))))</f>
        <v>1.4501250000000001</v>
      </c>
      <c r="AR163" s="181">
        <f>IF(OR(P163&gt;=4,U163&gt;12),VLOOKUP(R163&amp;" "&amp;S163,Tables!$D$143:$F$148,2,FALSE),VLOOKUP(R163&amp;" "&amp;S163,Tables!$A$143:$C$148,2,FALSE))</f>
        <v>1.2</v>
      </c>
      <c r="AS163" s="181">
        <f>IF(OR(P163&gt;=4,U163&gt;12),VLOOKUP(R163&amp;" "&amp;S163,Tables!$D$143:$F$148,3,FALSE),VLOOKUP(R163&amp;" "&amp;S163,Tables!$A$143:$C$148,3,FALSE))</f>
        <v>0.8</v>
      </c>
      <c r="AT163" s="181">
        <f t="shared" si="168"/>
        <v>2316.2882052929863</v>
      </c>
      <c r="AU163" s="181">
        <f>IF(AD163=5000,(INDEX(Tables!$B$244:$B$263,MAX(1,MIN(IFERROR(MATCH(AF163,Tables!$A$244:$A$263,1),1),ROWS(Tables!$A$244:$A$263)-1)))+(AF163-INDEX(Tables!$A$244:$A$263,MAX(1,MIN(IFERROR(MATCH(AF163,Tables!$A$244:$A$263,1),1),ROWS(Tables!$A$244:$A$263)-1))))*(INDEX(Tables!$B$244:$B$263,MAX(1,MIN(IFERROR(MATCH(AF163,Tables!$A$244:$A$263,1),1),ROWS(Tables!$A$244:$A$263)-1))+1)-INDEX(Tables!$B$244:$B$263,MAX(1,MIN(IFERROR(MATCH(AF163,Tables!$A$244:$A$263,1),1),ROWS(Tables!$A$244:$A$263)-1))))/(INDEX(Tables!$A$244:$A$263,MAX(1,MIN(IFERROR(MATCH(AF163,Tables!$A$244:$A$263,1),1),ROWS(Tables!$A$244:$A$263)-1))+1)-INDEX(Tables!$A$244:$A$263,MAX(1,MIN(IFERROR(MATCH(AF163,Tables!$A$244:$A$263,1),1),ROWS(Tables!$A$244:$A$263)-1))))),IF(AD163=10000,(INDEX(Tables!$D$244:$D$263,MAX(1,MIN(IFERROR(MATCH(AF163,Tables!$C$244:$C$263,1),1),ROWS(Tables!$C$244:$C$263)-1)))+(AF163-INDEX(Tables!$C$244:$C$263,MAX(1,MIN(IFERROR(MATCH(AF163,Tables!$C$244:$C$263,1),1),ROWS(Tables!$C$244:$C$263)-1))))*(INDEX(Tables!$D$244:$D$263,MAX(1,MIN(IFERROR(MATCH(AF163,Tables!$C$244:$C$263,1),1),ROWS(Tables!$C$244:$C$263)-1))+1)-INDEX(Tables!$D$244:$D$263,MAX(1,MIN(IFERROR(MATCH(AF163,Tables!$C$244:$C$263,1),1),ROWS(Tables!$C$244:$C$263)-1))))/(INDEX(Tables!$C$244:$C$263,MAX(1,MIN(IFERROR(MATCH(AF163,Tables!$C$244:$C$263,1),1),ROWS(Tables!$C$244:$C$263)-1))+1)-INDEX(Tables!$C$244:$C$263,MAX(1,MIN(IFERROR(MATCH(AF163,Tables!$C$244:$C$263,1),1),ROWS(Tables!$C$244:$C$263)-1))))),(INDEX(Tables!$F$244:$F$263,MAX(1,MIN(IFERROR(MATCH(AF163,Tables!$E$244:$E$263,1),1),ROWS(Tables!$E$244:$E$263)-1)))+(AF163-INDEX(Tables!$E$244:$E$263,MAX(1,MIN(IFERROR(MATCH(AF163,Tables!$E$244:$E$263,1),1),ROWS(Tables!$E$244:$E$263)-1))))*(INDEX(Tables!$F$244:$F$263,MAX(1,MIN(IFERROR(MATCH(AF163,Tables!$E$244:$E$263,1),1),ROWS(Tables!$E$244:$E$263)-1))+1)-INDEX(Tables!$F$244:$F$263,MAX(1,MIN(IFERROR(MATCH(AF163,Tables!$E$244:$E$263,1),1),ROWS(Tables!$E$244:$E$263)-1))))/(INDEX(Tables!$E$244:$E$263,MAX(1,MIN(IFERROR(MATCH(AF163,Tables!$E$244:$E$263,1),1),ROWS(Tables!$E$244:$E$263)-1))+1)-INDEX(Tables!$E$244:$E$263,MAX(1,MIN(IFERROR(MATCH(AF163,Tables!$E$244:$E$263,1),1),ROWS(Tables!$E$244:$E$263)-1)))))))</f>
        <v>9.5004188679245285</v>
      </c>
      <c r="AV163" s="181">
        <f>IF(P163&lt;6,(INDEX(Tables!$B$260:$B$274,MAX(1,MIN(IFERROR(MATCH(U163,Tables!$A$260:$A$274,1),1),ROWS(Tables!$A$260:$A$274)-1)))+(U163-INDEX(Tables!$A$260:$A$274,MAX(1,MIN(IFERROR(MATCH(U163,Tables!$A$260:$A$274,1),1),ROWS(Tables!$A$260:$A$274)-1))))*(INDEX(Tables!$B$260:$B$274,MAX(1,MIN(IFERROR(MATCH(U163,Tables!$A$260:$A$274,1),1),ROWS(Tables!$A$260:$A$274)-1))+1)-INDEX(Tables!$B$260:$B$274,MAX(1,MIN(IFERROR(MATCH(U163,Tables!$A$260:$A$274,1),1),ROWS(Tables!$A$260:$A$274)-1))))/(INDEX(Tables!$A$260:$A$274,MAX(1,MIN(IFERROR(MATCH(U163,Tables!$A$260:$A$274,1),1),ROWS(Tables!$A$260:$A$274)-1))+1)-INDEX(Tables!$A$260:$A$274,MAX(1,MIN(IFERROR(MATCH(U163,Tables!$A$260:$A$274,1),1),ROWS(Tables!$A$260:$A$274)-1))))),IF(P163&lt;8,(INDEX(Tables!$D$260:$D$274,MAX(1,MIN(IFERROR(MATCH(U163,Tables!$C$260:$C$274,1),1),ROWS(Tables!$C$260:$C$274)-1)))+(U163-INDEX(Tables!$C$260:$C$274,MAX(1,MIN(IFERROR(MATCH(U163,Tables!$C$260:$C$274,1),1),ROWS(Tables!$C$260:$C$274)-1))))*(INDEX(Tables!$D$260:$D$274,MAX(1,MIN(IFERROR(MATCH(U163,Tables!$C$260:$C$274,1),1),ROWS(Tables!$C$260:$C$274)-1))+1)-INDEX(Tables!$D$260:$D$274,MAX(1,MIN(IFERROR(MATCH(U163,Tables!$C$260:$C$274,1),1),ROWS(Tables!$C$260:$C$274)-1))))/(INDEX(Tables!$C$260:$C$274,MAX(1,MIN(IFERROR(MATCH(U163,Tables!$C$260:$C$274,1),1),ROWS(Tables!$C$260:$C$274)-1))+1)-INDEX(Tables!$C$260:$C$274,MAX(1,MIN(IFERROR(MATCH(U163,Tables!$C$260:$C$274,1),1),ROWS(Tables!$C$260:$C$274)-1))))),IF(P163&lt;10,(INDEX(Tables!$F$260:$F$274,MAX(1,MIN(IFERROR(MATCH(U163,Tables!$E$260:$E$274,1),1),ROWS(Tables!$E$260:$E$274)-1)))+(U163-INDEX(Tables!$E$260:$E$274,MAX(1,MIN(IFERROR(MATCH(U163,Tables!$E$260:$E$274,1),1),ROWS(Tables!$E$260:$E$274)-1))))*(INDEX(Tables!$F$260:$F$274,MAX(1,MIN(IFERROR(MATCH(U163,Tables!$E$260:$E$274,1),1),ROWS(Tables!$E$260:$E$274)-1))+1)-INDEX(Tables!$F$260:$F$274,MAX(1,MIN(IFERROR(MATCH(U163,Tables!$E$260:$E$274,1),1),ROWS(Tables!$E$260:$E$274)-1))))/(INDEX(Tables!$E$260:$E$274,MAX(1,MIN(IFERROR(MATCH(U163,Tables!$E$260:$E$274,1),1),ROWS(Tables!$E$260:$E$274)-1))+1)-INDEX(Tables!$E$260:$E$274,MAX(1,MIN(IFERROR(MATCH(U163,Tables!$E$260:$E$274,1),1),ROWS(Tables!$E$260:$E$274)-1))))),(INDEX(Tables!$H$260:$H$274,MAX(1,MIN(IFERROR(MATCH(U163,Tables!$G$260:$G$274,1),1),ROWS(Tables!$G$260:$G$274)-1)))+(U163-INDEX(Tables!$G$260:$G$274,MAX(1,MIN(IFERROR(MATCH(U163,Tables!$G$260:$G$274,1),1),ROWS(Tables!$G$260:$G$274)-1))))*(INDEX(Tables!$H$260:$H$274,MAX(1,MIN(IFERROR(MATCH(U163,Tables!$G$260:$G$274,1),1),ROWS(Tables!$G$260:$G$274)-1))+1)-INDEX(Tables!$H$260:$H$274,MAX(1,MIN(IFERROR(MATCH(U163,Tables!$G$260:$G$274,1),1),ROWS(Tables!$G$260:$G$274)-1))))/(INDEX(Tables!$G$260:$G$274,MAX(1,MIN(IFERROR(MATCH(U163,Tables!$G$260:$G$274,1),1),ROWS(Tables!$G$260:$G$274)-1))+1)-INDEX(Tables!$G$260:$G$274,MAX(1,MIN(IFERROR(MATCH(U163,Tables!$G$260:$G$274,1),1),ROWS(Tables!$G$260:$G$274)-1))))))))</f>
        <v>1.4965000000000002</v>
      </c>
      <c r="AW163" s="181">
        <f t="shared" si="169"/>
        <v>1706.0852203018874</v>
      </c>
      <c r="AX163" s="181">
        <f t="shared" si="170"/>
        <v>31728.979591836734</v>
      </c>
      <c r="AY163" s="181">
        <f t="shared" si="171"/>
        <v>34685.681590235261</v>
      </c>
      <c r="AZ163" s="181">
        <f t="shared" si="172"/>
        <v>11416.90323578457</v>
      </c>
      <c r="BA163" s="181">
        <f t="shared" si="173"/>
        <v>-1440</v>
      </c>
      <c r="BB163" s="181">
        <f t="shared" si="174"/>
        <v>31715.933513629578</v>
      </c>
      <c r="BC163" s="181">
        <f t="shared" si="175"/>
        <v>46800</v>
      </c>
      <c r="BD163" s="181">
        <f>VLOOKUP(V163&amp;" "&amp;J163,Tables!$A$152:$E$239,4,FALSE)</f>
        <v>12000</v>
      </c>
      <c r="BE163" s="181">
        <f>VLOOKUP(V163&amp;" "&amp;J163,Tables!$A$152:$E$239,5,FALSE)</f>
        <v>23000</v>
      </c>
      <c r="BF163" s="181">
        <f t="shared" si="176"/>
        <v>8640</v>
      </c>
      <c r="BG163" s="181">
        <f t="shared" si="177"/>
        <v>16560</v>
      </c>
      <c r="BH163" s="181">
        <f t="shared" si="178"/>
        <v>32448.979591836738</v>
      </c>
      <c r="BI163" s="181">
        <f t="shared" si="179"/>
        <v>46800</v>
      </c>
      <c r="BJ163" s="181">
        <f t="shared" si="180"/>
        <v>31715.933513629578</v>
      </c>
      <c r="BK163" s="181">
        <f t="shared" si="181"/>
        <v>46800</v>
      </c>
      <c r="BL163" s="181">
        <f t="shared" si="182"/>
        <v>1706.0852203018874</v>
      </c>
      <c r="BM163" s="181">
        <f t="shared" si="183"/>
        <v>8640</v>
      </c>
      <c r="BN163" s="181">
        <f t="shared" si="184"/>
        <v>2316.2882052929863</v>
      </c>
      <c r="BO163" s="181">
        <f t="shared" si="185"/>
        <v>16560</v>
      </c>
      <c r="BP163" t="str">
        <f t="shared" si="186"/>
        <v>Pass</v>
      </c>
      <c r="BQ163" t="str">
        <f t="shared" si="187"/>
        <v>Pass</v>
      </c>
      <c r="BR163" t="str">
        <f t="shared" si="188"/>
        <v>Pass</v>
      </c>
      <c r="BS163" t="str">
        <f t="shared" si="189"/>
        <v>Pass</v>
      </c>
      <c r="BT163" t="str">
        <f t="shared" si="190"/>
        <v>Pass</v>
      </c>
      <c r="BU163" t="str">
        <f t="shared" si="191"/>
        <v>Barlow Stress</v>
      </c>
    </row>
    <row r="164" spans="1:73">
      <c r="A164" t="s">
        <v>756</v>
      </c>
      <c r="B164" s="181">
        <v>162</v>
      </c>
      <c r="C164" t="s">
        <v>594</v>
      </c>
      <c r="D164" s="181">
        <v>8</v>
      </c>
      <c r="E164" s="181">
        <v>0.161</v>
      </c>
      <c r="F164" t="s">
        <v>117</v>
      </c>
      <c r="G164" t="s">
        <v>119</v>
      </c>
      <c r="H164" t="s">
        <v>122</v>
      </c>
      <c r="I164" s="181">
        <v>1</v>
      </c>
      <c r="J164" t="s">
        <v>126</v>
      </c>
      <c r="K164" t="s">
        <v>129</v>
      </c>
      <c r="L164" s="181">
        <v>70</v>
      </c>
      <c r="M164" s="181">
        <v>3000</v>
      </c>
      <c r="N164" t="s">
        <v>141</v>
      </c>
      <c r="O164" s="181">
        <v>120</v>
      </c>
      <c r="P164" s="181">
        <v>3</v>
      </c>
      <c r="Q164" s="181">
        <v>10.625</v>
      </c>
      <c r="R164" t="s">
        <v>417</v>
      </c>
      <c r="S164" t="s">
        <v>420</v>
      </c>
      <c r="T164" s="181">
        <v>70</v>
      </c>
      <c r="U164" s="181">
        <f>HLOOKUP(D164,'Highway Loading'!$C$155:$AD$156,2,FALSE)</f>
        <v>8.625</v>
      </c>
      <c r="V164" s="181">
        <f>IF(ISBLANK(G164),"",INDEX('Highway Loading'!$C$216:$AG$216,1,MATCH(G164,'Highway Loading'!$C$215:$AG$215,0)))</f>
        <v>65000</v>
      </c>
      <c r="W164" s="181">
        <f>INDEX('Highway Loading'!$I$245:$L$253,MATCH(H164,'Highway Loading'!$H$245:$H$253,0),MATCH(I164,'Highway Loading'!$I$244:$L$244,0))</f>
        <v>0.72</v>
      </c>
      <c r="X164" s="181">
        <f t="shared" si="160"/>
        <v>1</v>
      </c>
      <c r="Y164" s="181">
        <f>VLOOKUP(K164,'Highway Loading'!$B$283:$E$292,2,FALSE)</f>
        <v>29000000</v>
      </c>
      <c r="Z164" s="181">
        <f>VLOOKUP(K164,'Highway Loading'!$B$283:$E$292,3,FALSE)</f>
        <v>0.3</v>
      </c>
      <c r="AA164" s="181">
        <f>VLOOKUP(K164,'Highway Loading'!$B$283:$E$292,4,FALSE)</f>
        <v>6.4999999999999996E-6</v>
      </c>
      <c r="AB164" s="181">
        <f t="shared" si="161"/>
        <v>1</v>
      </c>
      <c r="AC164" s="181">
        <f>VLOOKUP(N164,'Highway Loading'!$B$256:$D$261,2,FALSE)</f>
        <v>500</v>
      </c>
      <c r="AD164" s="181">
        <f>VLOOKUP(N164,'Highway Loading'!$B$256:$D$261,3,FALSE)</f>
        <v>10000</v>
      </c>
      <c r="AE164" s="181">
        <f>VLOOKUP(S164,'Highway Loading'!$B$340:$C$341,2,FALSE)</f>
        <v>12000</v>
      </c>
      <c r="AF164" s="181">
        <f t="shared" si="162"/>
        <v>1.8666666666666668E-2</v>
      </c>
      <c r="AG164" s="181">
        <f t="shared" si="163"/>
        <v>3.388235294117647</v>
      </c>
      <c r="AH164" s="181">
        <f t="shared" si="164"/>
        <v>1.2318840579710144</v>
      </c>
      <c r="AI164" s="181">
        <f t="shared" si="165"/>
        <v>80357.142857142855</v>
      </c>
      <c r="AJ164" s="181">
        <f t="shared" si="166"/>
        <v>46800</v>
      </c>
      <c r="AK164" s="181">
        <f>IF(AC164=200,(INDEX(Tables!$B$17:$B$38,MAX(1,MIN(IFERROR(MATCH(AF164,Tables!$A$17:$A$38,1),1),ROWS(Tables!$A$17:$A$38)-1)))+(AF164-INDEX(Tables!$A$17:$A$38,MAX(1,MIN(IFERROR(MATCH(AF164,Tables!$A$17:$A$38,1),1),ROWS(Tables!$A$17:$A$38)-1))))*(INDEX(Tables!$B$17:$B$38,MAX(1,MIN(IFERROR(MATCH(AF164,Tables!$A$17:$A$38,1),1),ROWS(Tables!$A$17:$A$38)-1))+1)-INDEX(Tables!$B$17:$B$38,MAX(1,MIN(IFERROR(MATCH(AF164,Tables!$A$17:$A$38,1),1),ROWS(Tables!$A$17:$A$38)-1))))/(INDEX(Tables!$A$17:$A$38,MAX(1,MIN(IFERROR(MATCH(AF164,Tables!$A$17:$A$38,1),1),ROWS(Tables!$A$17:$A$38)-1))+1)-INDEX(Tables!$A$17:$A$38,MAX(1,MIN(IFERROR(MATCH(AF164,Tables!$A$17:$A$38,1),1),ROWS(Tables!$A$17:$A$38)-1))))),IF(AC164=500,(INDEX(Tables!$D$17:$D$38,MAX(1,MIN(IFERROR(MATCH(AF164,Tables!$C$17:$C$38,1),1),ROWS(Tables!$C$17:$C$38)-1)))+(AF164-INDEX(Tables!$C$17:$C$38,MAX(1,MIN(IFERROR(MATCH(AF164,Tables!$C$17:$C$38,1),1),ROWS(Tables!$C$17:$C$38)-1))))*(INDEX(Tables!$D$17:$D$38,MAX(1,MIN(IFERROR(MATCH(AF164,Tables!$C$17:$C$38,1),1),ROWS(Tables!$C$17:$C$38)-1))+1)-INDEX(Tables!$D$17:$D$38,MAX(1,MIN(IFERROR(MATCH(AF164,Tables!$C$17:$C$38,1),1),ROWS(Tables!$C$17:$C$38)-1))))/(INDEX(Tables!$C$17:$C$38,MAX(1,MIN(IFERROR(MATCH(AF164,Tables!$C$17:$C$38,1),1),ROWS(Tables!$C$17:$C$38)-1))+1)-INDEX(Tables!$C$17:$C$38,MAX(1,MIN(IFERROR(MATCH(AF164,Tables!$C$17:$C$38,1),1),ROWS(Tables!$C$17:$C$38)-1))))),IF(AC164=1000,(INDEX(Tables!$F$17:$F$38,MAX(1,MIN(IFERROR(MATCH(AF164,Tables!$E$17:$E$38,1),1),ROWS(Tables!$E$17:$E$38)-1)))+(AF164-INDEX(Tables!$E$17:$E$38,MAX(1,MIN(IFERROR(MATCH(AF164,Tables!$E$17:$E$38,1),1),ROWS(Tables!$E$17:$E$38)-1))))*(INDEX(Tables!$F$17:$F$38,MAX(1,MIN(IFERROR(MATCH(AF164,Tables!$E$17:$E$38,1),1),ROWS(Tables!$E$17:$E$38)-1))+1)-INDEX(Tables!$F$17:$F$38,MAX(1,MIN(IFERROR(MATCH(AF164,Tables!$E$17:$E$38,1),1),ROWS(Tables!$E$17:$E$38)-1))))/(INDEX(Tables!$E$17:$E$38,MAX(1,MIN(IFERROR(MATCH(AF164,Tables!$E$17:$E$38,1),1),ROWS(Tables!$E$17:$E$38)-1))+1)-INDEX(Tables!$E$17:$E$38,MAX(1,MIN(IFERROR(MATCH(AF164,Tables!$E$17:$E$38,1),1),ROWS(Tables!$E$17:$E$38)-1))))),(INDEX(Tables!$H$17:$H$38,MAX(1,MIN(IFERROR(MATCH(AF164,Tables!$G$17:$G$38,1),1),ROWS(Tables!$G$17:$G$38)-1)))+(AF164-INDEX(Tables!$G$17:$G$38,MAX(1,MIN(IFERROR(MATCH(AF164,Tables!$G$17:$G$38,1),1),ROWS(Tables!$G$17:$G$38)-1))))*(INDEX(Tables!$H$17:$H$38,MAX(1,MIN(IFERROR(MATCH(AF164,Tables!$G$17:$G$38,1),1),ROWS(Tables!$G$17:$G$38)-1))+1)-INDEX(Tables!$H$17:$H$38,MAX(1,MIN(IFERROR(MATCH(AF164,Tables!$G$17:$G$38,1),1),ROWS(Tables!$G$17:$G$38)-1))))/(INDEX(Tables!$G$17:$G$38,MAX(1,MIN(IFERROR(MATCH(AF164,Tables!$G$17:$G$38,1),1),ROWS(Tables!$G$17:$G$38)-1))+1)-INDEX(Tables!$G$17:$G$38,MAX(1,MIN(IFERROR(MATCH(AF164,Tables!$G$17:$G$38,1),1),ROWS(Tables!$G$17:$G$38)-1))))))))</f>
        <v>3096.6</v>
      </c>
      <c r="AL164" s="181">
        <f>IF(AC164&lt;1000,(INDEX(Tables!$B$43:$B$76,MAX(1,MIN(IFERROR(MATCH(AG164,Tables!$A$43:$A$76,1),1),ROWS(Tables!$A$43:$A$76)-1)))+(AG164-INDEX(Tables!$A$43:$A$76,MAX(1,MIN(IFERROR(MATCH(AG164,Tables!$A$43:$A$76,1),1),ROWS(Tables!$A$43:$A$76)-1))))*(INDEX(Tables!$B$43:$B$76,MAX(1,MIN(IFERROR(MATCH(AG164,Tables!$A$43:$A$76,1),1),ROWS(Tables!$A$43:$A$76)-1))+1)-INDEX(Tables!$B$43:$B$76,MAX(1,MIN(IFERROR(MATCH(AG164,Tables!$A$43:$A$76,1),1),ROWS(Tables!$A$43:$A$76)-1))))/(INDEX(Tables!$A$43:$A$76,MAX(1,MIN(IFERROR(MATCH(AG164,Tables!$A$43:$A$76,1),1),ROWS(Tables!$A$43:$A$76)-1))+1)-INDEX(Tables!$A$43:$A$76,MAX(1,MIN(IFERROR(MATCH(AG164,Tables!$A$43:$A$76,1),1),ROWS(Tables!$A$43:$A$76)-1))))),(INDEX(Tables!$D$43:$D$76,MAX(1,MIN(IFERROR(MATCH(AG164,Tables!$C$43:$C$76,1),1),ROWS(Tables!$C$43:$C$76)-1)))+(AG164-INDEX(Tables!$C$43:$C$76,MAX(1,MIN(IFERROR(MATCH(AG164,Tables!$C$43:$C$76,1),1),ROWS(Tables!$C$43:$C$76)-1))))*(INDEX(Tables!$D$43:$D$76,MAX(1,MIN(IFERROR(MATCH(AG164,Tables!$C$43:$C$76,1),1),ROWS(Tables!$C$43:$C$76)-1))+1)-INDEX(Tables!$D$43:$D$76,MAX(1,MIN(IFERROR(MATCH(AG164,Tables!$C$43:$C$76,1),1),ROWS(Tables!$C$43:$C$76)-1))))/(INDEX(Tables!$C$43:$C$76,MAX(1,MIN(IFERROR(MATCH(AG164,Tables!$C$43:$C$76,1),1),ROWS(Tables!$C$43:$C$76)-1))+1)-INDEX(Tables!$C$43:$C$76,MAX(1,MIN(IFERROR(MATCH(AG164,Tables!$C$43:$C$76,1),1),ROWS(Tables!$C$43:$C$76)-1))))))</f>
        <v>0.89796470588235289</v>
      </c>
      <c r="AM164" s="181">
        <f>(INDEX(Tables!$B$80:$B$87,MAX(1,MIN(IFERROR(MATCH(AH164,Tables!$A$80:$A$87,1),1),ROWS(Tables!$A$80:$A$87)-1)))+(AH164-INDEX(Tables!$A$80:$A$87,MAX(1,MIN(IFERROR(MATCH(AH164,Tables!$A$80:$A$87,1),1),ROWS(Tables!$A$80:$A$87)-1))))*(INDEX(Tables!$B$80:$B$87,MAX(1,MIN(IFERROR(MATCH(AH164,Tables!$A$80:$A$87,1),1),ROWS(Tables!$A$80:$A$87)-1))+1)-INDEX(Tables!$B$80:$B$87,MAX(1,MIN(IFERROR(MATCH(AH164,Tables!$A$80:$A$87,1),1),ROWS(Tables!$A$80:$A$87)-1))))/(INDEX(Tables!$A$80:$A$87,MAX(1,MIN(IFERROR(MATCH(AH164,Tables!$A$80:$A$87,1),1),ROWS(Tables!$A$80:$A$87)-1))+1)-INDEX(Tables!$A$80:$A$87,MAX(1,MIN(IFERROR(MATCH(AH164,Tables!$A$80:$A$87,1),1),ROWS(Tables!$A$80:$A$87)-1)))))</f>
        <v>1.2567086956521738</v>
      </c>
      <c r="AN164" s="181">
        <f t="shared" si="167"/>
        <v>2093.0307481584741</v>
      </c>
      <c r="AO164" s="181">
        <f>(INDEX(Tables!$B$91:$B$94,MAX(1,MIN(IFERROR(MATCH(P164,Tables!$A$91:$A$94,1),1),ROWS(Tables!$A$91:$A$94)-1)))+(P164-INDEX(Tables!$A$91:$A$94,MAX(1,MIN(IFERROR(MATCH(P164,Tables!$A$91:$A$94,1),1),ROWS(Tables!$A$91:$A$94)-1))))*(INDEX(Tables!$B$91:$B$94,MAX(1,MIN(IFERROR(MATCH(P164,Tables!$A$91:$A$94,1),1),ROWS(Tables!$A$91:$A$94)-1))+1)-INDEX(Tables!$B$91:$B$94,MAX(1,MIN(IFERROR(MATCH(P164,Tables!$A$91:$A$94,1),1),ROWS(Tables!$A$91:$A$94)-1))))/(INDEX(Tables!$A$91:$A$94,MAX(1,MIN(IFERROR(MATCH(P164,Tables!$A$91:$A$94,1),1),ROWS(Tables!$A$91:$A$94)-1))+1)-INDEX(Tables!$A$91:$A$94,MAX(1,MIN(IFERROR(MATCH(P164,Tables!$A$91:$A$94,1),1),ROWS(Tables!$A$91:$A$94)-1)))))</f>
        <v>1.5</v>
      </c>
      <c r="AP164" s="181">
        <f>IF(AD164=5000,(INDEX(Tables!$B$99:$B$118,MAX(1,MIN(IFERROR(MATCH(AF164,Tables!$A$99:$A$118,1),1),ROWS(Tables!$A$99:$A$118)-1)))+(AF164-INDEX(Tables!$A$99:$A$118,MAX(1,MIN(IFERROR(MATCH(AF164,Tables!$A$99:$A$118,1),1),ROWS(Tables!$A$99:$A$118)-1))))*(INDEX(Tables!$B$99:$B$118,MAX(1,MIN(IFERROR(MATCH(AF164,Tables!$A$99:$A$118,1),1),ROWS(Tables!$A$99:$A$118)-1))+1)-INDEX(Tables!$B$99:$B$118,MAX(1,MIN(IFERROR(MATCH(AF164,Tables!$A$99:$A$118,1),1),ROWS(Tables!$A$99:$A$118)-1))))/(INDEX(Tables!$A$99:$A$118,MAX(1,MIN(IFERROR(MATCH(AF164,Tables!$A$99:$A$118,1),1),ROWS(Tables!$A$99:$A$118)-1))+1)-INDEX(Tables!$A$99:$A$118,MAX(1,MIN(IFERROR(MATCH(AF164,Tables!$A$99:$A$118,1),1),ROWS(Tables!$A$99:$A$118)-1))))),IF(AD164=10000,(INDEX(Tables!$D$99:$D$118,MAX(1,MIN(IFERROR(MATCH(AF164,Tables!$C$99:$C$118,1),1),ROWS(Tables!$C$99:$C$118)-1)))+(AF164-INDEX(Tables!$C$99:$C$118,MAX(1,MIN(IFERROR(MATCH(AF164,Tables!$C$99:$C$118,1),1),ROWS(Tables!$C$99:$C$118)-1))))*(INDEX(Tables!$D$99:$D$118,MAX(1,MIN(IFERROR(MATCH(AF164,Tables!$C$99:$C$118,1),1),ROWS(Tables!$C$99:$C$118)-1))+1)-INDEX(Tables!$D$99:$D$118,MAX(1,MIN(IFERROR(MATCH(AF164,Tables!$C$99:$C$118,1),1),ROWS(Tables!$C$99:$C$118)-1))))/(INDEX(Tables!$C$99:$C$118,MAX(1,MIN(IFERROR(MATCH(AF164,Tables!$C$99:$C$118,1),1),ROWS(Tables!$C$99:$C$118)-1))+1)-INDEX(Tables!$C$99:$C$118,MAX(1,MIN(IFERROR(MATCH(AF164,Tables!$C$99:$C$118,1),1),ROWS(Tables!$C$99:$C$118)-1))))),(INDEX(Tables!$F$99:$F$118,MAX(1,MIN(IFERROR(MATCH(AF164,Tables!$E$99:$E$118,1),1),ROWS(Tables!$E$99:$E$118)-1)))+(AF164-INDEX(Tables!$E$99:$E$118,MAX(1,MIN(IFERROR(MATCH(AF164,Tables!$E$99:$E$118,1),1),ROWS(Tables!$E$99:$E$118)-1))))*(INDEX(Tables!$F$99:$F$118,MAX(1,MIN(IFERROR(MATCH(AF164,Tables!$E$99:$E$118,1),1),ROWS(Tables!$E$99:$E$118)-1))+1)-INDEX(Tables!$F$99:$F$118,MAX(1,MIN(IFERROR(MATCH(AF164,Tables!$E$99:$E$118,1),1),ROWS(Tables!$E$99:$E$118)-1))))/(INDEX(Tables!$E$99:$E$118,MAX(1,MIN(IFERROR(MATCH(AF164,Tables!$E$99:$E$118,1),1),ROWS(Tables!$E$99:$E$118)-1))+1)-INDEX(Tables!$E$99:$E$118,MAX(1,MIN(IFERROR(MATCH(AF164,Tables!$E$99:$E$118,1),1),ROWS(Tables!$E$99:$E$118)-1)))))))</f>
        <v>14.383768166089965</v>
      </c>
      <c r="AQ164" s="181">
        <f>IF(P164&lt;6,(INDEX(Tables!$B$123:$B$138,MAX(1,MIN(IFERROR(MATCH(U164,Tables!$A$123:$A$138,1),1),ROWS(Tables!$A$123:$A$138)-1)))+(U164-INDEX(Tables!$A$123:$A$138,MAX(1,MIN(IFERROR(MATCH(U164,Tables!$A$123:$A$138,1),1),ROWS(Tables!$A$123:$A$138)-1))))*(INDEX(Tables!$B$123:$B$138,MAX(1,MIN(IFERROR(MATCH(U164,Tables!$A$123:$A$138,1),1),ROWS(Tables!$A$123:$A$138)-1))+1)-INDEX(Tables!$B$123:$B$138,MAX(1,MIN(IFERROR(MATCH(U164,Tables!$A$123:$A$138,1),1),ROWS(Tables!$A$123:$A$138)-1))))/(INDEX(Tables!$A$123:$A$138,MAX(1,MIN(IFERROR(MATCH(U164,Tables!$A$123:$A$138,1),1),ROWS(Tables!$A$123:$A$138)-1))+1)-INDEX(Tables!$A$123:$A$138,MAX(1,MIN(IFERROR(MATCH(U164,Tables!$A$123:$A$138,1),1),ROWS(Tables!$A$123:$A$138)-1))))),IF(P164&lt;8,(INDEX(Tables!$D$123:$D$138,MAX(1,MIN(IFERROR(MATCH(U164,Tables!$C$123:$C$138,1),1),ROWS(Tables!$C$123:$C$138)-1)))+(U164-INDEX(Tables!$C$123:$C$138,MAX(1,MIN(IFERROR(MATCH(U164,Tables!$C$123:$C$138,1),1),ROWS(Tables!$C$123:$C$138)-1))))*(INDEX(Tables!$D$123:$D$138,MAX(1,MIN(IFERROR(MATCH(U164,Tables!$C$123:$C$138,1),1),ROWS(Tables!$C$123:$C$138)-1))+1)-INDEX(Tables!$D$123:$D$138,MAX(1,MIN(IFERROR(MATCH(U164,Tables!$C$123:$C$138,1),1),ROWS(Tables!$C$123:$C$138)-1))))/(INDEX(Tables!$C$123:$C$138,MAX(1,MIN(IFERROR(MATCH(U164,Tables!$C$123:$C$138,1),1),ROWS(Tables!$C$123:$C$138)-1))+1)-INDEX(Tables!$C$123:$C$138,MAX(1,MIN(IFERROR(MATCH(U164,Tables!$C$123:$C$138,1),1),ROWS(Tables!$C$123:$C$138)-1))))),IF(P164&lt;10,(INDEX(Tables!$F$123:$F$138,MAX(1,MIN(IFERROR(MATCH(U164,Tables!$E$123:$E$138,1),1),ROWS(Tables!$E$123:$E$138)-1)))+(U164-INDEX(Tables!$E$123:$E$138,MAX(1,MIN(IFERROR(MATCH(U164,Tables!$E$123:$E$138,1),1),ROWS(Tables!$E$123:$E$138)-1))))*(INDEX(Tables!$F$123:$F$138,MAX(1,MIN(IFERROR(MATCH(U164,Tables!$E$123:$E$138,1),1),ROWS(Tables!$E$123:$E$138)-1))+1)-INDEX(Tables!$F$123:$F$138,MAX(1,MIN(IFERROR(MATCH(U164,Tables!$E$123:$E$138,1),1),ROWS(Tables!$E$123:$E$138)-1))))/(INDEX(Tables!$E$123:$E$138,MAX(1,MIN(IFERROR(MATCH(U164,Tables!$E$123:$E$138,1),1),ROWS(Tables!$E$123:$E$138)-1))+1)-INDEX(Tables!$E$123:$E$138,MAX(1,MIN(IFERROR(MATCH(U164,Tables!$E$123:$E$138,1),1),ROWS(Tables!$E$123:$E$138)-1))))),(INDEX(Tables!$H$123:$H$138,MAX(1,MIN(IFERROR(MATCH(U164,Tables!$G$123:$G$138,1),1),ROWS(Tables!$G$123:$G$138)-1)))+(U164-INDEX(Tables!$G$123:$G$138,MAX(1,MIN(IFERROR(MATCH(U164,Tables!$G$123:$G$138,1),1),ROWS(Tables!$G$123:$G$138)-1))))*(INDEX(Tables!$H$123:$H$138,MAX(1,MIN(IFERROR(MATCH(U164,Tables!$G$123:$G$138,1),1),ROWS(Tables!$G$123:$G$138)-1))+1)-INDEX(Tables!$H$123:$H$138,MAX(1,MIN(IFERROR(MATCH(U164,Tables!$G$123:$G$138,1),1),ROWS(Tables!$G$123:$G$138)-1))))/(INDEX(Tables!$G$123:$G$138,MAX(1,MIN(IFERROR(MATCH(U164,Tables!$G$123:$G$138,1),1),ROWS(Tables!$G$123:$G$138)-1))+1)-INDEX(Tables!$G$123:$G$138,MAX(1,MIN(IFERROR(MATCH(U164,Tables!$G$123:$G$138,1),1),ROWS(Tables!$G$123:$G$138)-1))))))))</f>
        <v>1.389875</v>
      </c>
      <c r="AR164" s="181">
        <f>IF(OR(P164&gt;=4,U164&gt;12),VLOOKUP(R164&amp;" "&amp;S164,Tables!$D$143:$F$148,2,FALSE),VLOOKUP(R164&amp;" "&amp;S164,Tables!$A$143:$C$148,2,FALSE))</f>
        <v>1.2</v>
      </c>
      <c r="AS164" s="181">
        <f>IF(OR(P164&gt;=4,U164&gt;12),VLOOKUP(R164&amp;" "&amp;S164,Tables!$D$143:$F$148,3,FALSE),VLOOKUP(R164&amp;" "&amp;S164,Tables!$A$143:$C$148,3,FALSE))</f>
        <v>0.8</v>
      </c>
      <c r="AT164" s="181">
        <f t="shared" si="168"/>
        <v>2398.9967735813148</v>
      </c>
      <c r="AU164" s="181">
        <f>IF(AD164=5000,(INDEX(Tables!$B$244:$B$263,MAX(1,MIN(IFERROR(MATCH(AF164,Tables!$A$244:$A$263,1),1),ROWS(Tables!$A$244:$A$263)-1)))+(AF164-INDEX(Tables!$A$244:$A$263,MAX(1,MIN(IFERROR(MATCH(AF164,Tables!$A$244:$A$263,1),1),ROWS(Tables!$A$244:$A$263)-1))))*(INDEX(Tables!$B$244:$B$263,MAX(1,MIN(IFERROR(MATCH(AF164,Tables!$A$244:$A$263,1),1),ROWS(Tables!$A$244:$A$263)-1))+1)-INDEX(Tables!$B$244:$B$263,MAX(1,MIN(IFERROR(MATCH(AF164,Tables!$A$244:$A$263,1),1),ROWS(Tables!$A$244:$A$263)-1))))/(INDEX(Tables!$A$244:$A$263,MAX(1,MIN(IFERROR(MATCH(AF164,Tables!$A$244:$A$263,1),1),ROWS(Tables!$A$244:$A$263)-1))+1)-INDEX(Tables!$A$244:$A$263,MAX(1,MIN(IFERROR(MATCH(AF164,Tables!$A$244:$A$263,1),1),ROWS(Tables!$A$244:$A$263)-1))))),IF(AD164=10000,(INDEX(Tables!$D$244:$D$263,MAX(1,MIN(IFERROR(MATCH(AF164,Tables!$C$244:$C$263,1),1),ROWS(Tables!$C$244:$C$263)-1)))+(AF164-INDEX(Tables!$C$244:$C$263,MAX(1,MIN(IFERROR(MATCH(AF164,Tables!$C$244:$C$263,1),1),ROWS(Tables!$C$244:$C$263)-1))))*(INDEX(Tables!$D$244:$D$263,MAX(1,MIN(IFERROR(MATCH(AF164,Tables!$C$244:$C$263,1),1),ROWS(Tables!$C$244:$C$263)-1))+1)-INDEX(Tables!$D$244:$D$263,MAX(1,MIN(IFERROR(MATCH(AF164,Tables!$C$244:$C$263,1),1),ROWS(Tables!$C$244:$C$263)-1))))/(INDEX(Tables!$C$244:$C$263,MAX(1,MIN(IFERROR(MATCH(AF164,Tables!$C$244:$C$263,1),1),ROWS(Tables!$C$244:$C$263)-1))+1)-INDEX(Tables!$C$244:$C$263,MAX(1,MIN(IFERROR(MATCH(AF164,Tables!$C$244:$C$263,1),1),ROWS(Tables!$C$244:$C$263)-1))))),(INDEX(Tables!$F$244:$F$263,MAX(1,MIN(IFERROR(MATCH(AF164,Tables!$E$244:$E$263,1),1),ROWS(Tables!$E$244:$E$263)-1)))+(AF164-INDEX(Tables!$E$244:$E$263,MAX(1,MIN(IFERROR(MATCH(AF164,Tables!$E$244:$E$263,1),1),ROWS(Tables!$E$244:$E$263)-1))))*(INDEX(Tables!$F$244:$F$263,MAX(1,MIN(IFERROR(MATCH(AF164,Tables!$E$244:$E$263,1),1),ROWS(Tables!$E$244:$E$263)-1))+1)-INDEX(Tables!$F$244:$F$263,MAX(1,MIN(IFERROR(MATCH(AF164,Tables!$E$244:$E$263,1),1),ROWS(Tables!$E$244:$E$263)-1))))/(INDEX(Tables!$E$244:$E$263,MAX(1,MIN(IFERROR(MATCH(AF164,Tables!$E$244:$E$263,1),1),ROWS(Tables!$E$244:$E$263)-1))+1)-INDEX(Tables!$E$244:$E$263,MAX(1,MIN(IFERROR(MATCH(AF164,Tables!$E$244:$E$263,1),1),ROWS(Tables!$E$244:$E$263)-1)))))))</f>
        <v>9.8291333333333331</v>
      </c>
      <c r="AV164" s="181">
        <f>IF(P164&lt;6,(INDEX(Tables!$B$260:$B$274,MAX(1,MIN(IFERROR(MATCH(U164,Tables!$A$260:$A$274,1),1),ROWS(Tables!$A$260:$A$274)-1)))+(U164-INDEX(Tables!$A$260:$A$274,MAX(1,MIN(IFERROR(MATCH(U164,Tables!$A$260:$A$274,1),1),ROWS(Tables!$A$260:$A$274)-1))))*(INDEX(Tables!$B$260:$B$274,MAX(1,MIN(IFERROR(MATCH(U164,Tables!$A$260:$A$274,1),1),ROWS(Tables!$A$260:$A$274)-1))+1)-INDEX(Tables!$B$260:$B$274,MAX(1,MIN(IFERROR(MATCH(U164,Tables!$A$260:$A$274,1),1),ROWS(Tables!$A$260:$A$274)-1))))/(INDEX(Tables!$A$260:$A$274,MAX(1,MIN(IFERROR(MATCH(U164,Tables!$A$260:$A$274,1),1),ROWS(Tables!$A$260:$A$274)-1))+1)-INDEX(Tables!$A$260:$A$274,MAX(1,MIN(IFERROR(MATCH(U164,Tables!$A$260:$A$274,1),1),ROWS(Tables!$A$260:$A$274)-1))))),IF(P164&lt;8,(INDEX(Tables!$D$260:$D$274,MAX(1,MIN(IFERROR(MATCH(U164,Tables!$C$260:$C$274,1),1),ROWS(Tables!$C$260:$C$274)-1)))+(U164-INDEX(Tables!$C$260:$C$274,MAX(1,MIN(IFERROR(MATCH(U164,Tables!$C$260:$C$274,1),1),ROWS(Tables!$C$260:$C$274)-1))))*(INDEX(Tables!$D$260:$D$274,MAX(1,MIN(IFERROR(MATCH(U164,Tables!$C$260:$C$274,1),1),ROWS(Tables!$C$260:$C$274)-1))+1)-INDEX(Tables!$D$260:$D$274,MAX(1,MIN(IFERROR(MATCH(U164,Tables!$C$260:$C$274,1),1),ROWS(Tables!$C$260:$C$274)-1))))/(INDEX(Tables!$C$260:$C$274,MAX(1,MIN(IFERROR(MATCH(U164,Tables!$C$260:$C$274,1),1),ROWS(Tables!$C$260:$C$274)-1))+1)-INDEX(Tables!$C$260:$C$274,MAX(1,MIN(IFERROR(MATCH(U164,Tables!$C$260:$C$274,1),1),ROWS(Tables!$C$260:$C$274)-1))))),IF(P164&lt;10,(INDEX(Tables!$F$260:$F$274,MAX(1,MIN(IFERROR(MATCH(U164,Tables!$E$260:$E$274,1),1),ROWS(Tables!$E$260:$E$274)-1)))+(U164-INDEX(Tables!$E$260:$E$274,MAX(1,MIN(IFERROR(MATCH(U164,Tables!$E$260:$E$274,1),1),ROWS(Tables!$E$260:$E$274)-1))))*(INDEX(Tables!$F$260:$F$274,MAX(1,MIN(IFERROR(MATCH(U164,Tables!$E$260:$E$274,1),1),ROWS(Tables!$E$260:$E$274)-1))+1)-INDEX(Tables!$F$260:$F$274,MAX(1,MIN(IFERROR(MATCH(U164,Tables!$E$260:$E$274,1),1),ROWS(Tables!$E$260:$E$274)-1))))/(INDEX(Tables!$E$260:$E$274,MAX(1,MIN(IFERROR(MATCH(U164,Tables!$E$260:$E$274,1),1),ROWS(Tables!$E$260:$E$274)-1))+1)-INDEX(Tables!$E$260:$E$274,MAX(1,MIN(IFERROR(MATCH(U164,Tables!$E$260:$E$274,1),1),ROWS(Tables!$E$260:$E$274)-1))))),(INDEX(Tables!$H$260:$H$274,MAX(1,MIN(IFERROR(MATCH(U164,Tables!$G$260:$G$274,1),1),ROWS(Tables!$G$260:$G$274)-1)))+(U164-INDEX(Tables!$G$260:$G$274,MAX(1,MIN(IFERROR(MATCH(U164,Tables!$G$260:$G$274,1),1),ROWS(Tables!$G$260:$G$274)-1))))*(INDEX(Tables!$H$260:$H$274,MAX(1,MIN(IFERROR(MATCH(U164,Tables!$G$260:$G$274,1),1),ROWS(Tables!$G$260:$G$274)-1))+1)-INDEX(Tables!$H$260:$H$274,MAX(1,MIN(IFERROR(MATCH(U164,Tables!$G$260:$G$274,1),1),ROWS(Tables!$G$260:$G$274)-1))))/(INDEX(Tables!$G$260:$G$274,MAX(1,MIN(IFERROR(MATCH(U164,Tables!$G$260:$G$274,1),1),ROWS(Tables!$G$260:$G$274)-1))+1)-INDEX(Tables!$G$260:$G$274,MAX(1,MIN(IFERROR(MATCH(U164,Tables!$G$260:$G$274,1),1),ROWS(Tables!$G$260:$G$274)-1))))))))</f>
        <v>1.3123750000000001</v>
      </c>
      <c r="AW164" s="181">
        <f t="shared" si="169"/>
        <v>1547.9410630000002</v>
      </c>
      <c r="AX164" s="181">
        <f t="shared" si="170"/>
        <v>78857.142857142855</v>
      </c>
      <c r="AY164" s="181">
        <f t="shared" si="171"/>
        <v>83349.170378882642</v>
      </c>
      <c r="AZ164" s="181">
        <f t="shared" si="172"/>
        <v>25832.9931445904</v>
      </c>
      <c r="BA164" s="181">
        <f t="shared" si="173"/>
        <v>-3000</v>
      </c>
      <c r="BB164" s="181">
        <f t="shared" si="174"/>
        <v>76143.3889528297</v>
      </c>
      <c r="BC164" s="181">
        <f t="shared" si="175"/>
        <v>46800</v>
      </c>
      <c r="BD164" s="181">
        <f>VLOOKUP(V164&amp;" "&amp;J164,Tables!$A$152:$E$239,4,FALSE)</f>
        <v>12000</v>
      </c>
      <c r="BE164" s="181">
        <f>VLOOKUP(V164&amp;" "&amp;J164,Tables!$A$152:$E$239,5,FALSE)</f>
        <v>23000</v>
      </c>
      <c r="BF164" s="181">
        <f t="shared" si="176"/>
        <v>8640</v>
      </c>
      <c r="BG164" s="181">
        <f t="shared" si="177"/>
        <v>16560</v>
      </c>
      <c r="BH164" s="181">
        <f t="shared" si="178"/>
        <v>80357.142857142855</v>
      </c>
      <c r="BI164" s="181">
        <f t="shared" si="179"/>
        <v>46800</v>
      </c>
      <c r="BJ164" s="181">
        <f t="shared" si="180"/>
        <v>76143.3889528297</v>
      </c>
      <c r="BK164" s="181">
        <f t="shared" si="181"/>
        <v>46800</v>
      </c>
      <c r="BL164" s="181">
        <f t="shared" si="182"/>
        <v>1547.9410630000002</v>
      </c>
      <c r="BM164" s="181">
        <f t="shared" si="183"/>
        <v>8640</v>
      </c>
      <c r="BN164" s="181">
        <f t="shared" si="184"/>
        <v>2398.9967735813148</v>
      </c>
      <c r="BO164" s="181">
        <f t="shared" si="185"/>
        <v>16560</v>
      </c>
      <c r="BP164" t="str">
        <f t="shared" si="186"/>
        <v>Fail</v>
      </c>
      <c r="BQ164" t="str">
        <f t="shared" si="187"/>
        <v>Fail</v>
      </c>
      <c r="BR164" t="str">
        <f t="shared" si="188"/>
        <v>Pass</v>
      </c>
      <c r="BS164" t="str">
        <f t="shared" si="189"/>
        <v>Pass</v>
      </c>
      <c r="BT164" t="str">
        <f t="shared" si="190"/>
        <v>Fail</v>
      </c>
      <c r="BU164" t="str">
        <f t="shared" si="191"/>
        <v>Barlow Stress</v>
      </c>
    </row>
    <row r="165" spans="1:73">
      <c r="A165" t="s">
        <v>757</v>
      </c>
      <c r="B165" s="181">
        <v>163</v>
      </c>
      <c r="C165" t="s">
        <v>594</v>
      </c>
      <c r="D165" s="181">
        <v>12</v>
      </c>
      <c r="E165" s="181">
        <v>0.193</v>
      </c>
      <c r="F165" t="s">
        <v>117</v>
      </c>
      <c r="G165" t="s">
        <v>119</v>
      </c>
      <c r="H165" t="s">
        <v>122</v>
      </c>
      <c r="I165" s="181">
        <v>1</v>
      </c>
      <c r="J165" t="s">
        <v>126</v>
      </c>
      <c r="K165" t="s">
        <v>129</v>
      </c>
      <c r="L165" s="181">
        <v>70</v>
      </c>
      <c r="M165" s="181">
        <v>3000</v>
      </c>
      <c r="N165" t="s">
        <v>141</v>
      </c>
      <c r="O165" s="181">
        <v>120</v>
      </c>
      <c r="P165" s="181">
        <v>6</v>
      </c>
      <c r="Q165" s="181">
        <v>14.75</v>
      </c>
      <c r="R165" t="s">
        <v>417</v>
      </c>
      <c r="S165" t="s">
        <v>420</v>
      </c>
      <c r="T165" s="181">
        <v>70</v>
      </c>
      <c r="U165" s="181">
        <f>HLOOKUP(D165,'Highway Loading'!$C$155:$AD$156,2,FALSE)</f>
        <v>12.75</v>
      </c>
      <c r="V165" s="181">
        <f>IF(ISBLANK(G165),"",INDEX('Highway Loading'!$C$216:$AG$216,1,MATCH(G165,'Highway Loading'!$C$215:$AG$215,0)))</f>
        <v>65000</v>
      </c>
      <c r="W165" s="181">
        <f>INDEX('Highway Loading'!$I$245:$L$253,MATCH(H165,'Highway Loading'!$H$245:$H$253,0),MATCH(I165,'Highway Loading'!$I$244:$L$244,0))</f>
        <v>0.72</v>
      </c>
      <c r="X165" s="181">
        <f t="shared" si="160"/>
        <v>1</v>
      </c>
      <c r="Y165" s="181">
        <f>VLOOKUP(K165,'Highway Loading'!$B$283:$E$292,2,FALSE)</f>
        <v>29000000</v>
      </c>
      <c r="Z165" s="181">
        <f>VLOOKUP(K165,'Highway Loading'!$B$283:$E$292,3,FALSE)</f>
        <v>0.3</v>
      </c>
      <c r="AA165" s="181">
        <f>VLOOKUP(K165,'Highway Loading'!$B$283:$E$292,4,FALSE)</f>
        <v>6.4999999999999996E-6</v>
      </c>
      <c r="AB165" s="181">
        <f t="shared" si="161"/>
        <v>1</v>
      </c>
      <c r="AC165" s="181">
        <f>VLOOKUP(N165,'Highway Loading'!$B$256:$D$261,2,FALSE)</f>
        <v>500</v>
      </c>
      <c r="AD165" s="181">
        <f>VLOOKUP(N165,'Highway Loading'!$B$256:$D$261,3,FALSE)</f>
        <v>10000</v>
      </c>
      <c r="AE165" s="181">
        <f>VLOOKUP(S165,'Highway Loading'!$B$340:$C$341,2,FALSE)</f>
        <v>12000</v>
      </c>
      <c r="AF165" s="181">
        <f t="shared" si="162"/>
        <v>1.5137254901960785E-2</v>
      </c>
      <c r="AG165" s="181">
        <f t="shared" si="163"/>
        <v>4.8813559322033901</v>
      </c>
      <c r="AH165" s="181">
        <f t="shared" si="164"/>
        <v>1.1568627450980393</v>
      </c>
      <c r="AI165" s="181">
        <f t="shared" si="165"/>
        <v>99093.264248704654</v>
      </c>
      <c r="AJ165" s="181">
        <f t="shared" si="166"/>
        <v>46800</v>
      </c>
      <c r="AK165" s="181">
        <f>IF(AC165=200,(INDEX(Tables!$B$17:$B$38,MAX(1,MIN(IFERROR(MATCH(AF165,Tables!$A$17:$A$38,1),1),ROWS(Tables!$A$17:$A$38)-1)))+(AF165-INDEX(Tables!$A$17:$A$38,MAX(1,MIN(IFERROR(MATCH(AF165,Tables!$A$17:$A$38,1),1),ROWS(Tables!$A$17:$A$38)-1))))*(INDEX(Tables!$B$17:$B$38,MAX(1,MIN(IFERROR(MATCH(AF165,Tables!$A$17:$A$38,1),1),ROWS(Tables!$A$17:$A$38)-1))+1)-INDEX(Tables!$B$17:$B$38,MAX(1,MIN(IFERROR(MATCH(AF165,Tables!$A$17:$A$38,1),1),ROWS(Tables!$A$17:$A$38)-1))))/(INDEX(Tables!$A$17:$A$38,MAX(1,MIN(IFERROR(MATCH(AF165,Tables!$A$17:$A$38,1),1),ROWS(Tables!$A$17:$A$38)-1))+1)-INDEX(Tables!$A$17:$A$38,MAX(1,MIN(IFERROR(MATCH(AF165,Tables!$A$17:$A$38,1),1),ROWS(Tables!$A$17:$A$38)-1))))),IF(AC165=500,(INDEX(Tables!$D$17:$D$38,MAX(1,MIN(IFERROR(MATCH(AF165,Tables!$C$17:$C$38,1),1),ROWS(Tables!$C$17:$C$38)-1)))+(AF165-INDEX(Tables!$C$17:$C$38,MAX(1,MIN(IFERROR(MATCH(AF165,Tables!$C$17:$C$38,1),1),ROWS(Tables!$C$17:$C$38)-1))))*(INDEX(Tables!$D$17:$D$38,MAX(1,MIN(IFERROR(MATCH(AF165,Tables!$C$17:$C$38,1),1),ROWS(Tables!$C$17:$C$38)-1))+1)-INDEX(Tables!$D$17:$D$38,MAX(1,MIN(IFERROR(MATCH(AF165,Tables!$C$17:$C$38,1),1),ROWS(Tables!$C$17:$C$38)-1))))/(INDEX(Tables!$C$17:$C$38,MAX(1,MIN(IFERROR(MATCH(AF165,Tables!$C$17:$C$38,1),1),ROWS(Tables!$C$17:$C$38)-1))+1)-INDEX(Tables!$C$17:$C$38,MAX(1,MIN(IFERROR(MATCH(AF165,Tables!$C$17:$C$38,1),1),ROWS(Tables!$C$17:$C$38)-1))))),IF(AC165=1000,(INDEX(Tables!$F$17:$F$38,MAX(1,MIN(IFERROR(MATCH(AF165,Tables!$E$17:$E$38,1),1),ROWS(Tables!$E$17:$E$38)-1)))+(AF165-INDEX(Tables!$E$17:$E$38,MAX(1,MIN(IFERROR(MATCH(AF165,Tables!$E$17:$E$38,1),1),ROWS(Tables!$E$17:$E$38)-1))))*(INDEX(Tables!$F$17:$F$38,MAX(1,MIN(IFERROR(MATCH(AF165,Tables!$E$17:$E$38,1),1),ROWS(Tables!$E$17:$E$38)-1))+1)-INDEX(Tables!$F$17:$F$38,MAX(1,MIN(IFERROR(MATCH(AF165,Tables!$E$17:$E$38,1),1),ROWS(Tables!$E$17:$E$38)-1))))/(INDEX(Tables!$E$17:$E$38,MAX(1,MIN(IFERROR(MATCH(AF165,Tables!$E$17:$E$38,1),1),ROWS(Tables!$E$17:$E$38)-1))+1)-INDEX(Tables!$E$17:$E$38,MAX(1,MIN(IFERROR(MATCH(AF165,Tables!$E$17:$E$38,1),1),ROWS(Tables!$E$17:$E$38)-1))))),(INDEX(Tables!$H$17:$H$38,MAX(1,MIN(IFERROR(MATCH(AF165,Tables!$G$17:$G$38,1),1),ROWS(Tables!$G$17:$G$38)-1)))+(AF165-INDEX(Tables!$G$17:$G$38,MAX(1,MIN(IFERROR(MATCH(AF165,Tables!$G$17:$G$38,1),1),ROWS(Tables!$G$17:$G$38)-1))))*(INDEX(Tables!$H$17:$H$38,MAX(1,MIN(IFERROR(MATCH(AF165,Tables!$G$17:$G$38,1),1),ROWS(Tables!$G$17:$G$38)-1))+1)-INDEX(Tables!$H$17:$H$38,MAX(1,MIN(IFERROR(MATCH(AF165,Tables!$G$17:$G$38,1),1),ROWS(Tables!$G$17:$G$38)-1))))/(INDEX(Tables!$G$17:$G$38,MAX(1,MIN(IFERROR(MATCH(AF165,Tables!$G$17:$G$38,1),1),ROWS(Tables!$G$17:$G$38)-1))+1)-INDEX(Tables!$G$17:$G$38,MAX(1,MIN(IFERROR(MATCH(AF165,Tables!$G$17:$G$38,1),1),ROWS(Tables!$G$17:$G$38)-1))))))))</f>
        <v>4259.4862745098035</v>
      </c>
      <c r="AL165" s="181">
        <f>IF(AC165&lt;1000,(INDEX(Tables!$B$43:$B$76,MAX(1,MIN(IFERROR(MATCH(AG165,Tables!$A$43:$A$76,1),1),ROWS(Tables!$A$43:$A$76)-1)))+(AG165-INDEX(Tables!$A$43:$A$76,MAX(1,MIN(IFERROR(MATCH(AG165,Tables!$A$43:$A$76,1),1),ROWS(Tables!$A$43:$A$76)-1))))*(INDEX(Tables!$B$43:$B$76,MAX(1,MIN(IFERROR(MATCH(AG165,Tables!$A$43:$A$76,1),1),ROWS(Tables!$A$43:$A$76)-1))+1)-INDEX(Tables!$B$43:$B$76,MAX(1,MIN(IFERROR(MATCH(AG165,Tables!$A$43:$A$76,1),1),ROWS(Tables!$A$43:$A$76)-1))))/(INDEX(Tables!$A$43:$A$76,MAX(1,MIN(IFERROR(MATCH(AG165,Tables!$A$43:$A$76,1),1),ROWS(Tables!$A$43:$A$76)-1))+1)-INDEX(Tables!$A$43:$A$76,MAX(1,MIN(IFERROR(MATCH(AG165,Tables!$A$43:$A$76,1),1),ROWS(Tables!$A$43:$A$76)-1))))),(INDEX(Tables!$D$43:$D$76,MAX(1,MIN(IFERROR(MATCH(AG165,Tables!$C$43:$C$76,1),1),ROWS(Tables!$C$43:$C$76)-1)))+(AG165-INDEX(Tables!$C$43:$C$76,MAX(1,MIN(IFERROR(MATCH(AG165,Tables!$C$43:$C$76,1),1),ROWS(Tables!$C$43:$C$76)-1))))*(INDEX(Tables!$D$43:$D$76,MAX(1,MIN(IFERROR(MATCH(AG165,Tables!$C$43:$C$76,1),1),ROWS(Tables!$C$43:$C$76)-1))+1)-INDEX(Tables!$D$43:$D$76,MAX(1,MIN(IFERROR(MATCH(AG165,Tables!$C$43:$C$76,1),1),ROWS(Tables!$C$43:$C$76)-1))))/(INDEX(Tables!$C$43:$C$76,MAX(1,MIN(IFERROR(MATCH(AG165,Tables!$C$43:$C$76,1),1),ROWS(Tables!$C$43:$C$76)-1))+1)-INDEX(Tables!$C$43:$C$76,MAX(1,MIN(IFERROR(MATCH(AG165,Tables!$C$43:$C$76,1),1),ROWS(Tables!$C$43:$C$76)-1))))))</f>
        <v>1.0658474576271186</v>
      </c>
      <c r="AM165" s="181">
        <f>(INDEX(Tables!$B$80:$B$87,MAX(1,MIN(IFERROR(MATCH(AH165,Tables!$A$80:$A$87,1),1),ROWS(Tables!$A$80:$A$87)-1)))+(AH165-INDEX(Tables!$A$80:$A$87,MAX(1,MIN(IFERROR(MATCH(AH165,Tables!$A$80:$A$87,1),1),ROWS(Tables!$A$80:$A$87)-1))))*(INDEX(Tables!$B$80:$B$87,MAX(1,MIN(IFERROR(MATCH(AH165,Tables!$A$80:$A$87,1),1),ROWS(Tables!$A$80:$A$87)-1))+1)-INDEX(Tables!$B$80:$B$87,MAX(1,MIN(IFERROR(MATCH(AH165,Tables!$A$80:$A$87,1),1),ROWS(Tables!$A$80:$A$87)-1))))/(INDEX(Tables!$A$80:$A$87,MAX(1,MIN(IFERROR(MATCH(AH165,Tables!$A$80:$A$87,1),1),ROWS(Tables!$A$80:$A$87)-1))+1)-INDEX(Tables!$A$80:$A$87,MAX(1,MIN(IFERROR(MATCH(AH165,Tables!$A$80:$A$87,1),1),ROWS(Tables!$A$80:$A$87)-1)))))</f>
        <v>1.1041078431372553</v>
      </c>
      <c r="AN165" s="181">
        <f t="shared" si="167"/>
        <v>4438.2469609878335</v>
      </c>
      <c r="AO165" s="181">
        <f>(INDEX(Tables!$B$91:$B$94,MAX(1,MIN(IFERROR(MATCH(P165,Tables!$A$91:$A$94,1),1),ROWS(Tables!$A$91:$A$94)-1)))+(P165-INDEX(Tables!$A$91:$A$94,MAX(1,MIN(IFERROR(MATCH(P165,Tables!$A$91:$A$94,1),1),ROWS(Tables!$A$91:$A$94)-1))))*(INDEX(Tables!$B$91:$B$94,MAX(1,MIN(IFERROR(MATCH(P165,Tables!$A$91:$A$94,1),1),ROWS(Tables!$A$91:$A$94)-1))+1)-INDEX(Tables!$B$91:$B$94,MAX(1,MIN(IFERROR(MATCH(P165,Tables!$A$91:$A$94,1),1),ROWS(Tables!$A$91:$A$94)-1))))/(INDEX(Tables!$A$91:$A$94,MAX(1,MIN(IFERROR(MATCH(P165,Tables!$A$91:$A$94,1),1),ROWS(Tables!$A$91:$A$94)-1))+1)-INDEX(Tables!$A$91:$A$94,MAX(1,MIN(IFERROR(MATCH(P165,Tables!$A$91:$A$94,1),1),ROWS(Tables!$A$91:$A$94)-1)))))</f>
        <v>1.476219512195122</v>
      </c>
      <c r="AP165" s="181">
        <f>IF(AD165=5000,(INDEX(Tables!$B$99:$B$118,MAX(1,MIN(IFERROR(MATCH(AF165,Tables!$A$99:$A$118,1),1),ROWS(Tables!$A$99:$A$118)-1)))+(AF165-INDEX(Tables!$A$99:$A$118,MAX(1,MIN(IFERROR(MATCH(AF165,Tables!$A$99:$A$118,1),1),ROWS(Tables!$A$99:$A$118)-1))))*(INDEX(Tables!$B$99:$B$118,MAX(1,MIN(IFERROR(MATCH(AF165,Tables!$A$99:$A$118,1),1),ROWS(Tables!$A$99:$A$118)-1))+1)-INDEX(Tables!$B$99:$B$118,MAX(1,MIN(IFERROR(MATCH(AF165,Tables!$A$99:$A$118,1),1),ROWS(Tables!$A$99:$A$118)-1))))/(INDEX(Tables!$A$99:$A$118,MAX(1,MIN(IFERROR(MATCH(AF165,Tables!$A$99:$A$118,1),1),ROWS(Tables!$A$99:$A$118)-1))+1)-INDEX(Tables!$A$99:$A$118,MAX(1,MIN(IFERROR(MATCH(AF165,Tables!$A$99:$A$118,1),1),ROWS(Tables!$A$99:$A$118)-1))))),IF(AD165=10000,(INDEX(Tables!$D$99:$D$118,MAX(1,MIN(IFERROR(MATCH(AF165,Tables!$C$99:$C$118,1),1),ROWS(Tables!$C$99:$C$118)-1)))+(AF165-INDEX(Tables!$C$99:$C$118,MAX(1,MIN(IFERROR(MATCH(AF165,Tables!$C$99:$C$118,1),1),ROWS(Tables!$C$99:$C$118)-1))))*(INDEX(Tables!$D$99:$D$118,MAX(1,MIN(IFERROR(MATCH(AF165,Tables!$C$99:$C$118,1),1),ROWS(Tables!$C$99:$C$118)-1))+1)-INDEX(Tables!$D$99:$D$118,MAX(1,MIN(IFERROR(MATCH(AF165,Tables!$C$99:$C$118,1),1),ROWS(Tables!$C$99:$C$118)-1))))/(INDEX(Tables!$C$99:$C$118,MAX(1,MIN(IFERROR(MATCH(AF165,Tables!$C$99:$C$118,1),1),ROWS(Tables!$C$99:$C$118)-1))+1)-INDEX(Tables!$C$99:$C$118,MAX(1,MIN(IFERROR(MATCH(AF165,Tables!$C$99:$C$118,1),1),ROWS(Tables!$C$99:$C$118)-1))))),(INDEX(Tables!$F$99:$F$118,MAX(1,MIN(IFERROR(MATCH(AF165,Tables!$E$99:$E$118,1),1),ROWS(Tables!$E$99:$E$118)-1)))+(AF165-INDEX(Tables!$E$99:$E$118,MAX(1,MIN(IFERROR(MATCH(AF165,Tables!$E$99:$E$118,1),1),ROWS(Tables!$E$99:$E$118)-1))))*(INDEX(Tables!$F$99:$F$118,MAX(1,MIN(IFERROR(MATCH(AF165,Tables!$E$99:$E$118,1),1),ROWS(Tables!$E$99:$E$118)-1))+1)-INDEX(Tables!$F$99:$F$118,MAX(1,MIN(IFERROR(MATCH(AF165,Tables!$E$99:$E$118,1),1),ROWS(Tables!$E$99:$E$118)-1))))/(INDEX(Tables!$E$99:$E$118,MAX(1,MIN(IFERROR(MATCH(AF165,Tables!$E$99:$E$118,1),1),ROWS(Tables!$E$99:$E$118)-1))+1)-INDEX(Tables!$E$99:$E$118,MAX(1,MIN(IFERROR(MATCH(AF165,Tables!$E$99:$E$118,1),1),ROWS(Tables!$E$99:$E$118)-1)))))))</f>
        <v>14.719467653728158</v>
      </c>
      <c r="AQ165" s="181">
        <f>IF(P165&lt;6,(INDEX(Tables!$B$123:$B$138,MAX(1,MIN(IFERROR(MATCH(U165,Tables!$A$123:$A$138,1),1),ROWS(Tables!$A$123:$A$138)-1)))+(U165-INDEX(Tables!$A$123:$A$138,MAX(1,MIN(IFERROR(MATCH(U165,Tables!$A$123:$A$138,1),1),ROWS(Tables!$A$123:$A$138)-1))))*(INDEX(Tables!$B$123:$B$138,MAX(1,MIN(IFERROR(MATCH(U165,Tables!$A$123:$A$138,1),1),ROWS(Tables!$A$123:$A$138)-1))+1)-INDEX(Tables!$B$123:$B$138,MAX(1,MIN(IFERROR(MATCH(U165,Tables!$A$123:$A$138,1),1),ROWS(Tables!$A$123:$A$138)-1))))/(INDEX(Tables!$A$123:$A$138,MAX(1,MIN(IFERROR(MATCH(U165,Tables!$A$123:$A$138,1),1),ROWS(Tables!$A$123:$A$138)-1))+1)-INDEX(Tables!$A$123:$A$138,MAX(1,MIN(IFERROR(MATCH(U165,Tables!$A$123:$A$138,1),1),ROWS(Tables!$A$123:$A$138)-1))))),IF(P165&lt;8,(INDEX(Tables!$D$123:$D$138,MAX(1,MIN(IFERROR(MATCH(U165,Tables!$C$123:$C$138,1),1),ROWS(Tables!$C$123:$C$138)-1)))+(U165-INDEX(Tables!$C$123:$C$138,MAX(1,MIN(IFERROR(MATCH(U165,Tables!$C$123:$C$138,1),1),ROWS(Tables!$C$123:$C$138)-1))))*(INDEX(Tables!$D$123:$D$138,MAX(1,MIN(IFERROR(MATCH(U165,Tables!$C$123:$C$138,1),1),ROWS(Tables!$C$123:$C$138)-1))+1)-INDEX(Tables!$D$123:$D$138,MAX(1,MIN(IFERROR(MATCH(U165,Tables!$C$123:$C$138,1),1),ROWS(Tables!$C$123:$C$138)-1))))/(INDEX(Tables!$C$123:$C$138,MAX(1,MIN(IFERROR(MATCH(U165,Tables!$C$123:$C$138,1),1),ROWS(Tables!$C$123:$C$138)-1))+1)-INDEX(Tables!$C$123:$C$138,MAX(1,MIN(IFERROR(MATCH(U165,Tables!$C$123:$C$138,1),1),ROWS(Tables!$C$123:$C$138)-1))))),IF(P165&lt;10,(INDEX(Tables!$F$123:$F$138,MAX(1,MIN(IFERROR(MATCH(U165,Tables!$E$123:$E$138,1),1),ROWS(Tables!$E$123:$E$138)-1)))+(U165-INDEX(Tables!$E$123:$E$138,MAX(1,MIN(IFERROR(MATCH(U165,Tables!$E$123:$E$138,1),1),ROWS(Tables!$E$123:$E$138)-1))))*(INDEX(Tables!$F$123:$F$138,MAX(1,MIN(IFERROR(MATCH(U165,Tables!$E$123:$E$138,1),1),ROWS(Tables!$E$123:$E$138)-1))+1)-INDEX(Tables!$F$123:$F$138,MAX(1,MIN(IFERROR(MATCH(U165,Tables!$E$123:$E$138,1),1),ROWS(Tables!$E$123:$E$138)-1))))/(INDEX(Tables!$E$123:$E$138,MAX(1,MIN(IFERROR(MATCH(U165,Tables!$E$123:$E$138,1),1),ROWS(Tables!$E$123:$E$138)-1))+1)-INDEX(Tables!$E$123:$E$138,MAX(1,MIN(IFERROR(MATCH(U165,Tables!$E$123:$E$138,1),1),ROWS(Tables!$E$123:$E$138)-1))))),(INDEX(Tables!$H$123:$H$138,MAX(1,MIN(IFERROR(MATCH(U165,Tables!$G$123:$G$138,1),1),ROWS(Tables!$G$123:$G$138)-1)))+(U165-INDEX(Tables!$G$123:$G$138,MAX(1,MIN(IFERROR(MATCH(U165,Tables!$G$123:$G$138,1),1),ROWS(Tables!$G$123:$G$138)-1))))*(INDEX(Tables!$H$123:$H$138,MAX(1,MIN(IFERROR(MATCH(U165,Tables!$G$123:$G$138,1),1),ROWS(Tables!$G$123:$G$138)-1))+1)-INDEX(Tables!$H$123:$H$138,MAX(1,MIN(IFERROR(MATCH(U165,Tables!$G$123:$G$138,1),1),ROWS(Tables!$G$123:$G$138)-1))))/(INDEX(Tables!$G$123:$G$138,MAX(1,MIN(IFERROR(MATCH(U165,Tables!$G$123:$G$138,1),1),ROWS(Tables!$G$123:$G$138)-1))+1)-INDEX(Tables!$G$123:$G$138,MAX(1,MIN(IFERROR(MATCH(U165,Tables!$G$123:$G$138,1),1),ROWS(Tables!$G$123:$G$138)-1))))))))</f>
        <v>1.01675</v>
      </c>
      <c r="AR165" s="181">
        <f>IF(OR(P165&gt;=4,U165&gt;12),VLOOKUP(R165&amp;" "&amp;S165,Tables!$D$143:$F$148,2,FALSE),VLOOKUP(R165&amp;" "&amp;S165,Tables!$A$143:$C$148,2,FALSE))</f>
        <v>1.1000000000000001</v>
      </c>
      <c r="AS165" s="181">
        <f>IF(OR(P165&gt;=4,U165&gt;12),VLOOKUP(R165&amp;" "&amp;S165,Tables!$D$143:$F$148,3,FALSE),VLOOKUP(R165&amp;" "&amp;S165,Tables!$A$143:$C$148,3,FALSE))</f>
        <v>0.65</v>
      </c>
      <c r="AT165" s="181">
        <f t="shared" si="168"/>
        <v>1316.3822623934761</v>
      </c>
      <c r="AU165" s="181">
        <f>IF(AD165=5000,(INDEX(Tables!$B$244:$B$263,MAX(1,MIN(IFERROR(MATCH(AF165,Tables!$A$244:$A$263,1),1),ROWS(Tables!$A$244:$A$263)-1)))+(AF165-INDEX(Tables!$A$244:$A$263,MAX(1,MIN(IFERROR(MATCH(AF165,Tables!$A$244:$A$263,1),1),ROWS(Tables!$A$244:$A$263)-1))))*(INDEX(Tables!$B$244:$B$263,MAX(1,MIN(IFERROR(MATCH(AF165,Tables!$A$244:$A$263,1),1),ROWS(Tables!$A$244:$A$263)-1))+1)-INDEX(Tables!$B$244:$B$263,MAX(1,MIN(IFERROR(MATCH(AF165,Tables!$A$244:$A$263,1),1),ROWS(Tables!$A$244:$A$263)-1))))/(INDEX(Tables!$A$244:$A$263,MAX(1,MIN(IFERROR(MATCH(AF165,Tables!$A$244:$A$263,1),1),ROWS(Tables!$A$244:$A$263)-1))+1)-INDEX(Tables!$A$244:$A$263,MAX(1,MIN(IFERROR(MATCH(AF165,Tables!$A$244:$A$263,1),1),ROWS(Tables!$A$244:$A$263)-1))))),IF(AD165=10000,(INDEX(Tables!$D$244:$D$263,MAX(1,MIN(IFERROR(MATCH(AF165,Tables!$C$244:$C$263,1),1),ROWS(Tables!$C$244:$C$263)-1)))+(AF165-INDEX(Tables!$C$244:$C$263,MAX(1,MIN(IFERROR(MATCH(AF165,Tables!$C$244:$C$263,1),1),ROWS(Tables!$C$244:$C$263)-1))))*(INDEX(Tables!$D$244:$D$263,MAX(1,MIN(IFERROR(MATCH(AF165,Tables!$C$244:$C$263,1),1),ROWS(Tables!$C$244:$C$263)-1))+1)-INDEX(Tables!$D$244:$D$263,MAX(1,MIN(IFERROR(MATCH(AF165,Tables!$C$244:$C$263,1),1),ROWS(Tables!$C$244:$C$263)-1))))/(INDEX(Tables!$C$244:$C$263,MAX(1,MIN(IFERROR(MATCH(AF165,Tables!$C$244:$C$263,1),1),ROWS(Tables!$C$244:$C$263)-1))+1)-INDEX(Tables!$C$244:$C$263,MAX(1,MIN(IFERROR(MATCH(AF165,Tables!$C$244:$C$263,1),1),ROWS(Tables!$C$244:$C$263)-1))))),(INDEX(Tables!$F$244:$F$263,MAX(1,MIN(IFERROR(MATCH(AF165,Tables!$E$244:$E$263,1),1),ROWS(Tables!$E$244:$E$263)-1)))+(AF165-INDEX(Tables!$E$244:$E$263,MAX(1,MIN(IFERROR(MATCH(AF165,Tables!$E$244:$E$263,1),1),ROWS(Tables!$E$244:$E$263)-1))))*(INDEX(Tables!$F$244:$F$263,MAX(1,MIN(IFERROR(MATCH(AF165,Tables!$E$244:$E$263,1),1),ROWS(Tables!$E$244:$E$263)-1))+1)-INDEX(Tables!$F$244:$F$263,MAX(1,MIN(IFERROR(MATCH(AF165,Tables!$E$244:$E$263,1),1),ROWS(Tables!$E$244:$E$263)-1))))/(INDEX(Tables!$E$244:$E$263,MAX(1,MIN(IFERROR(MATCH(AF165,Tables!$E$244:$E$263,1),1),ROWS(Tables!$E$244:$E$263)-1))+1)-INDEX(Tables!$E$244:$E$263,MAX(1,MIN(IFERROR(MATCH(AF165,Tables!$E$244:$E$263,1),1),ROWS(Tables!$E$244:$E$263)-1)))))))</f>
        <v>9.9936039215686279</v>
      </c>
      <c r="AV165" s="181">
        <f>IF(P165&lt;6,(INDEX(Tables!$B$260:$B$274,MAX(1,MIN(IFERROR(MATCH(U165,Tables!$A$260:$A$274,1),1),ROWS(Tables!$A$260:$A$274)-1)))+(U165-INDEX(Tables!$A$260:$A$274,MAX(1,MIN(IFERROR(MATCH(U165,Tables!$A$260:$A$274,1),1),ROWS(Tables!$A$260:$A$274)-1))))*(INDEX(Tables!$B$260:$B$274,MAX(1,MIN(IFERROR(MATCH(U165,Tables!$A$260:$A$274,1),1),ROWS(Tables!$A$260:$A$274)-1))+1)-INDEX(Tables!$B$260:$B$274,MAX(1,MIN(IFERROR(MATCH(U165,Tables!$A$260:$A$274,1),1),ROWS(Tables!$A$260:$A$274)-1))))/(INDEX(Tables!$A$260:$A$274,MAX(1,MIN(IFERROR(MATCH(U165,Tables!$A$260:$A$274,1),1),ROWS(Tables!$A$260:$A$274)-1))+1)-INDEX(Tables!$A$260:$A$274,MAX(1,MIN(IFERROR(MATCH(U165,Tables!$A$260:$A$274,1),1),ROWS(Tables!$A$260:$A$274)-1))))),IF(P165&lt;8,(INDEX(Tables!$D$260:$D$274,MAX(1,MIN(IFERROR(MATCH(U165,Tables!$C$260:$C$274,1),1),ROWS(Tables!$C$260:$C$274)-1)))+(U165-INDEX(Tables!$C$260:$C$274,MAX(1,MIN(IFERROR(MATCH(U165,Tables!$C$260:$C$274,1),1),ROWS(Tables!$C$260:$C$274)-1))))*(INDEX(Tables!$D$260:$D$274,MAX(1,MIN(IFERROR(MATCH(U165,Tables!$C$260:$C$274,1),1),ROWS(Tables!$C$260:$C$274)-1))+1)-INDEX(Tables!$D$260:$D$274,MAX(1,MIN(IFERROR(MATCH(U165,Tables!$C$260:$C$274,1),1),ROWS(Tables!$C$260:$C$274)-1))))/(INDEX(Tables!$C$260:$C$274,MAX(1,MIN(IFERROR(MATCH(U165,Tables!$C$260:$C$274,1),1),ROWS(Tables!$C$260:$C$274)-1))+1)-INDEX(Tables!$C$260:$C$274,MAX(1,MIN(IFERROR(MATCH(U165,Tables!$C$260:$C$274,1),1),ROWS(Tables!$C$260:$C$274)-1))))),IF(P165&lt;10,(INDEX(Tables!$F$260:$F$274,MAX(1,MIN(IFERROR(MATCH(U165,Tables!$E$260:$E$274,1),1),ROWS(Tables!$E$260:$E$274)-1)))+(U165-INDEX(Tables!$E$260:$E$274,MAX(1,MIN(IFERROR(MATCH(U165,Tables!$E$260:$E$274,1),1),ROWS(Tables!$E$260:$E$274)-1))))*(INDEX(Tables!$F$260:$F$274,MAX(1,MIN(IFERROR(MATCH(U165,Tables!$E$260:$E$274,1),1),ROWS(Tables!$E$260:$E$274)-1))+1)-INDEX(Tables!$F$260:$F$274,MAX(1,MIN(IFERROR(MATCH(U165,Tables!$E$260:$E$274,1),1),ROWS(Tables!$E$260:$E$274)-1))))/(INDEX(Tables!$E$260:$E$274,MAX(1,MIN(IFERROR(MATCH(U165,Tables!$E$260:$E$274,1),1),ROWS(Tables!$E$260:$E$274)-1))+1)-INDEX(Tables!$E$260:$E$274,MAX(1,MIN(IFERROR(MATCH(U165,Tables!$E$260:$E$274,1),1),ROWS(Tables!$E$260:$E$274)-1))))),(INDEX(Tables!$H$260:$H$274,MAX(1,MIN(IFERROR(MATCH(U165,Tables!$G$260:$G$274,1),1),ROWS(Tables!$G$260:$G$274)-1)))+(U165-INDEX(Tables!$G$260:$G$274,MAX(1,MIN(IFERROR(MATCH(U165,Tables!$G$260:$G$274,1),1),ROWS(Tables!$G$260:$G$274)-1))))*(INDEX(Tables!$H$260:$H$274,MAX(1,MIN(IFERROR(MATCH(U165,Tables!$G$260:$G$274,1),1),ROWS(Tables!$G$260:$G$274)-1))+1)-INDEX(Tables!$H$260:$H$274,MAX(1,MIN(IFERROR(MATCH(U165,Tables!$G$260:$G$274,1),1),ROWS(Tables!$G$260:$G$274)-1))))/(INDEX(Tables!$G$260:$G$274,MAX(1,MIN(IFERROR(MATCH(U165,Tables!$G$260:$G$274,1),1),ROWS(Tables!$G$260:$G$274)-1))+1)-INDEX(Tables!$G$260:$G$274,MAX(1,MIN(IFERROR(MATCH(U165,Tables!$G$260:$G$274,1),1),ROWS(Tables!$G$260:$G$274)-1))))))))</f>
        <v>1.0024999999999999</v>
      </c>
      <c r="AW165" s="181">
        <f t="shared" si="169"/>
        <v>881.21575142402719</v>
      </c>
      <c r="AX165" s="181">
        <f t="shared" si="170"/>
        <v>97593.264248704654</v>
      </c>
      <c r="AY165" s="181">
        <f t="shared" si="171"/>
        <v>103347.89347208597</v>
      </c>
      <c r="AZ165" s="181">
        <f t="shared" si="172"/>
        <v>31490.669114331773</v>
      </c>
      <c r="BA165" s="181">
        <f t="shared" si="173"/>
        <v>-3000</v>
      </c>
      <c r="BB165" s="181">
        <f t="shared" si="174"/>
        <v>93975.904875412321</v>
      </c>
      <c r="BC165" s="181">
        <f t="shared" si="175"/>
        <v>46800</v>
      </c>
      <c r="BD165" s="181">
        <f>VLOOKUP(V165&amp;" "&amp;J165,Tables!$A$152:$E$239,4,FALSE)</f>
        <v>12000</v>
      </c>
      <c r="BE165" s="181">
        <f>VLOOKUP(V165&amp;" "&amp;J165,Tables!$A$152:$E$239,5,FALSE)</f>
        <v>23000</v>
      </c>
      <c r="BF165" s="181">
        <f t="shared" si="176"/>
        <v>8640</v>
      </c>
      <c r="BG165" s="181">
        <f t="shared" si="177"/>
        <v>16560</v>
      </c>
      <c r="BH165" s="181">
        <f t="shared" si="178"/>
        <v>99093.264248704654</v>
      </c>
      <c r="BI165" s="181">
        <f t="shared" si="179"/>
        <v>46800</v>
      </c>
      <c r="BJ165" s="181">
        <f t="shared" si="180"/>
        <v>93975.904875412321</v>
      </c>
      <c r="BK165" s="181">
        <f t="shared" si="181"/>
        <v>46800</v>
      </c>
      <c r="BL165" s="181">
        <f t="shared" si="182"/>
        <v>881.21575142402719</v>
      </c>
      <c r="BM165" s="181">
        <f t="shared" si="183"/>
        <v>8640</v>
      </c>
      <c r="BN165" s="181">
        <f t="shared" si="184"/>
        <v>1316.3822623934761</v>
      </c>
      <c r="BO165" s="181">
        <f t="shared" si="185"/>
        <v>16560</v>
      </c>
      <c r="BP165" t="str">
        <f t="shared" si="186"/>
        <v>Fail</v>
      </c>
      <c r="BQ165" t="str">
        <f t="shared" si="187"/>
        <v>Fail</v>
      </c>
      <c r="BR165" t="str">
        <f t="shared" si="188"/>
        <v>Pass</v>
      </c>
      <c r="BS165" t="str">
        <f t="shared" si="189"/>
        <v>Pass</v>
      </c>
      <c r="BT165" t="str">
        <f t="shared" si="190"/>
        <v>Fail</v>
      </c>
      <c r="BU165" t="str">
        <f t="shared" si="191"/>
        <v>Barlow Stress</v>
      </c>
    </row>
    <row r="166" spans="1:73">
      <c r="A166" t="s">
        <v>758</v>
      </c>
      <c r="B166" s="181">
        <v>164</v>
      </c>
      <c r="C166" t="s">
        <v>594</v>
      </c>
      <c r="D166" s="181">
        <v>16</v>
      </c>
      <c r="E166" s="181">
        <v>0.20100000000000001</v>
      </c>
      <c r="F166" t="s">
        <v>117</v>
      </c>
      <c r="G166" t="s">
        <v>119</v>
      </c>
      <c r="H166" t="s">
        <v>122</v>
      </c>
      <c r="I166" s="181">
        <v>1</v>
      </c>
      <c r="J166" t="s">
        <v>126</v>
      </c>
      <c r="K166" t="s">
        <v>129</v>
      </c>
      <c r="L166" s="181">
        <v>70</v>
      </c>
      <c r="M166" s="181">
        <v>3000</v>
      </c>
      <c r="N166" t="s">
        <v>141</v>
      </c>
      <c r="O166" s="181">
        <v>120</v>
      </c>
      <c r="P166" s="181">
        <v>8</v>
      </c>
      <c r="Q166" s="181">
        <v>18</v>
      </c>
      <c r="R166" t="s">
        <v>417</v>
      </c>
      <c r="S166" t="s">
        <v>420</v>
      </c>
      <c r="T166" s="181">
        <v>70</v>
      </c>
      <c r="U166" s="181">
        <f>HLOOKUP(D166,'Highway Loading'!$C$155:$AD$156,2,FALSE)</f>
        <v>16</v>
      </c>
      <c r="V166" s="181">
        <f>IF(ISBLANK(G166),"",INDEX('Highway Loading'!$C$216:$AG$216,1,MATCH(G166,'Highway Loading'!$C$215:$AG$215,0)))</f>
        <v>65000</v>
      </c>
      <c r="W166" s="181">
        <f>INDEX('Highway Loading'!$I$245:$L$253,MATCH(H166,'Highway Loading'!$H$245:$H$253,0),MATCH(I166,'Highway Loading'!$I$244:$L$244,0))</f>
        <v>0.72</v>
      </c>
      <c r="X166" s="181">
        <f t="shared" si="160"/>
        <v>1</v>
      </c>
      <c r="Y166" s="181">
        <f>VLOOKUP(K166,'Highway Loading'!$B$283:$E$292,2,FALSE)</f>
        <v>29000000</v>
      </c>
      <c r="Z166" s="181">
        <f>VLOOKUP(K166,'Highway Loading'!$B$283:$E$292,3,FALSE)</f>
        <v>0.3</v>
      </c>
      <c r="AA166" s="181">
        <f>VLOOKUP(K166,'Highway Loading'!$B$283:$E$292,4,FALSE)</f>
        <v>6.4999999999999996E-6</v>
      </c>
      <c r="AB166" s="181">
        <f t="shared" si="161"/>
        <v>1</v>
      </c>
      <c r="AC166" s="181">
        <f>VLOOKUP(N166,'Highway Loading'!$B$256:$D$261,2,FALSE)</f>
        <v>500</v>
      </c>
      <c r="AD166" s="181">
        <f>VLOOKUP(N166,'Highway Loading'!$B$256:$D$261,3,FALSE)</f>
        <v>10000</v>
      </c>
      <c r="AE166" s="181">
        <f>VLOOKUP(S166,'Highway Loading'!$B$340:$C$341,2,FALSE)</f>
        <v>12000</v>
      </c>
      <c r="AF166" s="181">
        <f t="shared" si="162"/>
        <v>1.2562500000000001E-2</v>
      </c>
      <c r="AG166" s="181">
        <f t="shared" si="163"/>
        <v>5.333333333333333</v>
      </c>
      <c r="AH166" s="181">
        <f t="shared" si="164"/>
        <v>1.125</v>
      </c>
      <c r="AI166" s="181">
        <f t="shared" si="165"/>
        <v>119402.98507462686</v>
      </c>
      <c r="AJ166" s="181">
        <f t="shared" si="166"/>
        <v>46800</v>
      </c>
      <c r="AK166" s="181">
        <f>IF(AC166=200,(INDEX(Tables!$B$17:$B$38,MAX(1,MIN(IFERROR(MATCH(AF166,Tables!$A$17:$A$38,1),1),ROWS(Tables!$A$17:$A$38)-1)))+(AF166-INDEX(Tables!$A$17:$A$38,MAX(1,MIN(IFERROR(MATCH(AF166,Tables!$A$17:$A$38,1),1),ROWS(Tables!$A$17:$A$38)-1))))*(INDEX(Tables!$B$17:$B$38,MAX(1,MIN(IFERROR(MATCH(AF166,Tables!$A$17:$A$38,1),1),ROWS(Tables!$A$17:$A$38)-1))+1)-INDEX(Tables!$B$17:$B$38,MAX(1,MIN(IFERROR(MATCH(AF166,Tables!$A$17:$A$38,1),1),ROWS(Tables!$A$17:$A$38)-1))))/(INDEX(Tables!$A$17:$A$38,MAX(1,MIN(IFERROR(MATCH(AF166,Tables!$A$17:$A$38,1),1),ROWS(Tables!$A$17:$A$38)-1))+1)-INDEX(Tables!$A$17:$A$38,MAX(1,MIN(IFERROR(MATCH(AF166,Tables!$A$17:$A$38,1),1),ROWS(Tables!$A$17:$A$38)-1))))),IF(AC166=500,(INDEX(Tables!$D$17:$D$38,MAX(1,MIN(IFERROR(MATCH(AF166,Tables!$C$17:$C$38,1),1),ROWS(Tables!$C$17:$C$38)-1)))+(AF166-INDEX(Tables!$C$17:$C$38,MAX(1,MIN(IFERROR(MATCH(AF166,Tables!$C$17:$C$38,1),1),ROWS(Tables!$C$17:$C$38)-1))))*(INDEX(Tables!$D$17:$D$38,MAX(1,MIN(IFERROR(MATCH(AF166,Tables!$C$17:$C$38,1),1),ROWS(Tables!$C$17:$C$38)-1))+1)-INDEX(Tables!$D$17:$D$38,MAX(1,MIN(IFERROR(MATCH(AF166,Tables!$C$17:$C$38,1),1),ROWS(Tables!$C$17:$C$38)-1))))/(INDEX(Tables!$C$17:$C$38,MAX(1,MIN(IFERROR(MATCH(AF166,Tables!$C$17:$C$38,1),1),ROWS(Tables!$C$17:$C$38)-1))+1)-INDEX(Tables!$C$17:$C$38,MAX(1,MIN(IFERROR(MATCH(AF166,Tables!$C$17:$C$38,1),1),ROWS(Tables!$C$17:$C$38)-1))))),IF(AC166=1000,(INDEX(Tables!$F$17:$F$38,MAX(1,MIN(IFERROR(MATCH(AF166,Tables!$E$17:$E$38,1),1),ROWS(Tables!$E$17:$E$38)-1)))+(AF166-INDEX(Tables!$E$17:$E$38,MAX(1,MIN(IFERROR(MATCH(AF166,Tables!$E$17:$E$38,1),1),ROWS(Tables!$E$17:$E$38)-1))))*(INDEX(Tables!$F$17:$F$38,MAX(1,MIN(IFERROR(MATCH(AF166,Tables!$E$17:$E$38,1),1),ROWS(Tables!$E$17:$E$38)-1))+1)-INDEX(Tables!$F$17:$F$38,MAX(1,MIN(IFERROR(MATCH(AF166,Tables!$E$17:$E$38,1),1),ROWS(Tables!$E$17:$E$38)-1))))/(INDEX(Tables!$E$17:$E$38,MAX(1,MIN(IFERROR(MATCH(AF166,Tables!$E$17:$E$38,1),1),ROWS(Tables!$E$17:$E$38)-1))+1)-INDEX(Tables!$E$17:$E$38,MAX(1,MIN(IFERROR(MATCH(AF166,Tables!$E$17:$E$38,1),1),ROWS(Tables!$E$17:$E$38)-1))))),(INDEX(Tables!$H$17:$H$38,MAX(1,MIN(IFERROR(MATCH(AF166,Tables!$G$17:$G$38,1),1),ROWS(Tables!$G$17:$G$38)-1)))+(AF166-INDEX(Tables!$G$17:$G$38,MAX(1,MIN(IFERROR(MATCH(AF166,Tables!$G$17:$G$38,1),1),ROWS(Tables!$G$17:$G$38)-1))))*(INDEX(Tables!$H$17:$H$38,MAX(1,MIN(IFERROR(MATCH(AF166,Tables!$G$17:$G$38,1),1),ROWS(Tables!$G$17:$G$38)-1))+1)-INDEX(Tables!$H$17:$H$38,MAX(1,MIN(IFERROR(MATCH(AF166,Tables!$G$17:$G$38,1),1),ROWS(Tables!$G$17:$G$38)-1))))/(INDEX(Tables!$G$17:$G$38,MAX(1,MIN(IFERROR(MATCH(AF166,Tables!$G$17:$G$38,1),1),ROWS(Tables!$G$17:$G$38)-1))+1)-INDEX(Tables!$G$17:$G$38,MAX(1,MIN(IFERROR(MATCH(AF166,Tables!$G$17:$G$38,1),1),ROWS(Tables!$G$17:$G$38)-1))))))))</f>
        <v>5347.2749999999996</v>
      </c>
      <c r="AL166" s="181">
        <f>IF(AC166&lt;1000,(INDEX(Tables!$B$43:$B$76,MAX(1,MIN(IFERROR(MATCH(AG166,Tables!$A$43:$A$76,1),1),ROWS(Tables!$A$43:$A$76)-1)))+(AG166-INDEX(Tables!$A$43:$A$76,MAX(1,MIN(IFERROR(MATCH(AG166,Tables!$A$43:$A$76,1),1),ROWS(Tables!$A$43:$A$76)-1))))*(INDEX(Tables!$B$43:$B$76,MAX(1,MIN(IFERROR(MATCH(AG166,Tables!$A$43:$A$76,1),1),ROWS(Tables!$A$43:$A$76)-1))+1)-INDEX(Tables!$B$43:$B$76,MAX(1,MIN(IFERROR(MATCH(AG166,Tables!$A$43:$A$76,1),1),ROWS(Tables!$A$43:$A$76)-1))))/(INDEX(Tables!$A$43:$A$76,MAX(1,MIN(IFERROR(MATCH(AG166,Tables!$A$43:$A$76,1),1),ROWS(Tables!$A$43:$A$76)-1))+1)-INDEX(Tables!$A$43:$A$76,MAX(1,MIN(IFERROR(MATCH(AG166,Tables!$A$43:$A$76,1),1),ROWS(Tables!$A$43:$A$76)-1))))),(INDEX(Tables!$D$43:$D$76,MAX(1,MIN(IFERROR(MATCH(AG166,Tables!$C$43:$C$76,1),1),ROWS(Tables!$C$43:$C$76)-1)))+(AG166-INDEX(Tables!$C$43:$C$76,MAX(1,MIN(IFERROR(MATCH(AG166,Tables!$C$43:$C$76,1),1),ROWS(Tables!$C$43:$C$76)-1))))*(INDEX(Tables!$D$43:$D$76,MAX(1,MIN(IFERROR(MATCH(AG166,Tables!$C$43:$C$76,1),1),ROWS(Tables!$C$43:$C$76)-1))+1)-INDEX(Tables!$D$43:$D$76,MAX(1,MIN(IFERROR(MATCH(AG166,Tables!$C$43:$C$76,1),1),ROWS(Tables!$C$43:$C$76)-1))))/(INDEX(Tables!$C$43:$C$76,MAX(1,MIN(IFERROR(MATCH(AG166,Tables!$C$43:$C$76,1),1),ROWS(Tables!$C$43:$C$76)-1))+1)-INDEX(Tables!$C$43:$C$76,MAX(1,MIN(IFERROR(MATCH(AG166,Tables!$C$43:$C$76,1),1),ROWS(Tables!$C$43:$C$76)-1))))))</f>
        <v>1.1053333333333333</v>
      </c>
      <c r="AM166" s="181">
        <f>(INDEX(Tables!$B$80:$B$87,MAX(1,MIN(IFERROR(MATCH(AH166,Tables!$A$80:$A$87,1),1),ROWS(Tables!$A$80:$A$87)-1)))+(AH166-INDEX(Tables!$A$80:$A$87,MAX(1,MIN(IFERROR(MATCH(AH166,Tables!$A$80:$A$87,1),1),ROWS(Tables!$A$80:$A$87)-1))))*(INDEX(Tables!$B$80:$B$87,MAX(1,MIN(IFERROR(MATCH(AH166,Tables!$A$80:$A$87,1),1),ROWS(Tables!$A$80:$A$87)-1))+1)-INDEX(Tables!$B$80:$B$87,MAX(1,MIN(IFERROR(MATCH(AH166,Tables!$A$80:$A$87,1),1),ROWS(Tables!$A$80:$A$87)-1))))/(INDEX(Tables!$A$80:$A$87,MAX(1,MIN(IFERROR(MATCH(AH166,Tables!$A$80:$A$87,1),1),ROWS(Tables!$A$80:$A$87)-1))+1)-INDEX(Tables!$A$80:$A$87,MAX(1,MIN(IFERROR(MATCH(AH166,Tables!$A$80:$A$87,1),1),ROWS(Tables!$A$80:$A$87)-1)))))</f>
        <v>1.04345</v>
      </c>
      <c r="AN166" s="181">
        <f t="shared" si="167"/>
        <v>6852.5927227611101</v>
      </c>
      <c r="AO166" s="181">
        <f>(INDEX(Tables!$B$91:$B$94,MAX(1,MIN(IFERROR(MATCH(P166,Tables!$A$91:$A$94,1),1),ROWS(Tables!$A$91:$A$94)-1)))+(P166-INDEX(Tables!$A$91:$A$94,MAX(1,MIN(IFERROR(MATCH(P166,Tables!$A$91:$A$94,1),1),ROWS(Tables!$A$91:$A$94)-1))))*(INDEX(Tables!$B$91:$B$94,MAX(1,MIN(IFERROR(MATCH(P166,Tables!$A$91:$A$94,1),1),ROWS(Tables!$A$91:$A$94)-1))+1)-INDEX(Tables!$B$91:$B$94,MAX(1,MIN(IFERROR(MATCH(P166,Tables!$A$91:$A$94,1),1),ROWS(Tables!$A$91:$A$94)-1))))/(INDEX(Tables!$A$91:$A$94,MAX(1,MIN(IFERROR(MATCH(P166,Tables!$A$91:$A$94,1),1),ROWS(Tables!$A$91:$A$94)-1))+1)-INDEX(Tables!$A$91:$A$94,MAX(1,MIN(IFERROR(MATCH(P166,Tables!$A$91:$A$94,1),1),ROWS(Tables!$A$91:$A$94)-1)))))</f>
        <v>1.4152439024390244</v>
      </c>
      <c r="AP166" s="181">
        <f>IF(AD166=5000,(INDEX(Tables!$B$99:$B$118,MAX(1,MIN(IFERROR(MATCH(AF166,Tables!$A$99:$A$118,1),1),ROWS(Tables!$A$99:$A$118)-1)))+(AF166-INDEX(Tables!$A$99:$A$118,MAX(1,MIN(IFERROR(MATCH(AF166,Tables!$A$99:$A$118,1),1),ROWS(Tables!$A$99:$A$118)-1))))*(INDEX(Tables!$B$99:$B$118,MAX(1,MIN(IFERROR(MATCH(AF166,Tables!$A$99:$A$118,1),1),ROWS(Tables!$A$99:$A$118)-1))+1)-INDEX(Tables!$B$99:$B$118,MAX(1,MIN(IFERROR(MATCH(AF166,Tables!$A$99:$A$118,1),1),ROWS(Tables!$A$99:$A$118)-1))))/(INDEX(Tables!$A$99:$A$118,MAX(1,MIN(IFERROR(MATCH(AF166,Tables!$A$99:$A$118,1),1),ROWS(Tables!$A$99:$A$118)-1))+1)-INDEX(Tables!$A$99:$A$118,MAX(1,MIN(IFERROR(MATCH(AF166,Tables!$A$99:$A$118,1),1),ROWS(Tables!$A$99:$A$118)-1))))),IF(AD166=10000,(INDEX(Tables!$D$99:$D$118,MAX(1,MIN(IFERROR(MATCH(AF166,Tables!$C$99:$C$118,1),1),ROWS(Tables!$C$99:$C$118)-1)))+(AF166-INDEX(Tables!$C$99:$C$118,MAX(1,MIN(IFERROR(MATCH(AF166,Tables!$C$99:$C$118,1),1),ROWS(Tables!$C$99:$C$118)-1))))*(INDEX(Tables!$D$99:$D$118,MAX(1,MIN(IFERROR(MATCH(AF166,Tables!$C$99:$C$118,1),1),ROWS(Tables!$C$99:$C$118)-1))+1)-INDEX(Tables!$D$99:$D$118,MAX(1,MIN(IFERROR(MATCH(AF166,Tables!$C$99:$C$118,1),1),ROWS(Tables!$C$99:$C$118)-1))))/(INDEX(Tables!$C$99:$C$118,MAX(1,MIN(IFERROR(MATCH(AF166,Tables!$C$99:$C$118,1),1),ROWS(Tables!$C$99:$C$118)-1))+1)-INDEX(Tables!$C$99:$C$118,MAX(1,MIN(IFERROR(MATCH(AF166,Tables!$C$99:$C$118,1),1),ROWS(Tables!$C$99:$C$118)-1))))),(INDEX(Tables!$F$99:$F$118,MAX(1,MIN(IFERROR(MATCH(AF166,Tables!$E$99:$E$118,1),1),ROWS(Tables!$E$99:$E$118)-1)))+(AF166-INDEX(Tables!$E$99:$E$118,MAX(1,MIN(IFERROR(MATCH(AF166,Tables!$E$99:$E$118,1),1),ROWS(Tables!$E$99:$E$118)-1))))*(INDEX(Tables!$F$99:$F$118,MAX(1,MIN(IFERROR(MATCH(AF166,Tables!$E$99:$E$118,1),1),ROWS(Tables!$E$99:$E$118)-1))+1)-INDEX(Tables!$F$99:$F$118,MAX(1,MIN(IFERROR(MATCH(AF166,Tables!$E$99:$E$118,1),1),ROWS(Tables!$E$99:$E$118)-1))))/(INDEX(Tables!$E$99:$E$118,MAX(1,MIN(IFERROR(MATCH(AF166,Tables!$E$99:$E$118,1),1),ROWS(Tables!$E$99:$E$118)-1))+1)-INDEX(Tables!$E$99:$E$118,MAX(1,MIN(IFERROR(MATCH(AF166,Tables!$E$99:$E$118,1),1),ROWS(Tables!$E$99:$E$118)-1)))))))</f>
        <v>14.196524590163936</v>
      </c>
      <c r="AQ166" s="181">
        <f>IF(P166&lt;6,(INDEX(Tables!$B$123:$B$138,MAX(1,MIN(IFERROR(MATCH(U166,Tables!$A$123:$A$138,1),1),ROWS(Tables!$A$123:$A$138)-1)))+(U166-INDEX(Tables!$A$123:$A$138,MAX(1,MIN(IFERROR(MATCH(U166,Tables!$A$123:$A$138,1),1),ROWS(Tables!$A$123:$A$138)-1))))*(INDEX(Tables!$B$123:$B$138,MAX(1,MIN(IFERROR(MATCH(U166,Tables!$A$123:$A$138,1),1),ROWS(Tables!$A$123:$A$138)-1))+1)-INDEX(Tables!$B$123:$B$138,MAX(1,MIN(IFERROR(MATCH(U166,Tables!$A$123:$A$138,1),1),ROWS(Tables!$A$123:$A$138)-1))))/(INDEX(Tables!$A$123:$A$138,MAX(1,MIN(IFERROR(MATCH(U166,Tables!$A$123:$A$138,1),1),ROWS(Tables!$A$123:$A$138)-1))+1)-INDEX(Tables!$A$123:$A$138,MAX(1,MIN(IFERROR(MATCH(U166,Tables!$A$123:$A$138,1),1),ROWS(Tables!$A$123:$A$138)-1))))),IF(P166&lt;8,(INDEX(Tables!$D$123:$D$138,MAX(1,MIN(IFERROR(MATCH(U166,Tables!$C$123:$C$138,1),1),ROWS(Tables!$C$123:$C$138)-1)))+(U166-INDEX(Tables!$C$123:$C$138,MAX(1,MIN(IFERROR(MATCH(U166,Tables!$C$123:$C$138,1),1),ROWS(Tables!$C$123:$C$138)-1))))*(INDEX(Tables!$D$123:$D$138,MAX(1,MIN(IFERROR(MATCH(U166,Tables!$C$123:$C$138,1),1),ROWS(Tables!$C$123:$C$138)-1))+1)-INDEX(Tables!$D$123:$D$138,MAX(1,MIN(IFERROR(MATCH(U166,Tables!$C$123:$C$138,1),1),ROWS(Tables!$C$123:$C$138)-1))))/(INDEX(Tables!$C$123:$C$138,MAX(1,MIN(IFERROR(MATCH(U166,Tables!$C$123:$C$138,1),1),ROWS(Tables!$C$123:$C$138)-1))+1)-INDEX(Tables!$C$123:$C$138,MAX(1,MIN(IFERROR(MATCH(U166,Tables!$C$123:$C$138,1),1),ROWS(Tables!$C$123:$C$138)-1))))),IF(P166&lt;10,(INDEX(Tables!$F$123:$F$138,MAX(1,MIN(IFERROR(MATCH(U166,Tables!$E$123:$E$138,1),1),ROWS(Tables!$E$123:$E$138)-1)))+(U166-INDEX(Tables!$E$123:$E$138,MAX(1,MIN(IFERROR(MATCH(U166,Tables!$E$123:$E$138,1),1),ROWS(Tables!$E$123:$E$138)-1))))*(INDEX(Tables!$F$123:$F$138,MAX(1,MIN(IFERROR(MATCH(U166,Tables!$E$123:$E$138,1),1),ROWS(Tables!$E$123:$E$138)-1))+1)-INDEX(Tables!$F$123:$F$138,MAX(1,MIN(IFERROR(MATCH(U166,Tables!$E$123:$E$138,1),1),ROWS(Tables!$E$123:$E$138)-1))))/(INDEX(Tables!$E$123:$E$138,MAX(1,MIN(IFERROR(MATCH(U166,Tables!$E$123:$E$138,1),1),ROWS(Tables!$E$123:$E$138)-1))+1)-INDEX(Tables!$E$123:$E$138,MAX(1,MIN(IFERROR(MATCH(U166,Tables!$E$123:$E$138,1),1),ROWS(Tables!$E$123:$E$138)-1))))),(INDEX(Tables!$H$123:$H$138,MAX(1,MIN(IFERROR(MATCH(U166,Tables!$G$123:$G$138,1),1),ROWS(Tables!$G$123:$G$138)-1)))+(U166-INDEX(Tables!$G$123:$G$138,MAX(1,MIN(IFERROR(MATCH(U166,Tables!$G$123:$G$138,1),1),ROWS(Tables!$G$123:$G$138)-1))))*(INDEX(Tables!$H$123:$H$138,MAX(1,MIN(IFERROR(MATCH(U166,Tables!$G$123:$G$138,1),1),ROWS(Tables!$G$123:$G$138)-1))+1)-INDEX(Tables!$H$123:$H$138,MAX(1,MIN(IFERROR(MATCH(U166,Tables!$G$123:$G$138,1),1),ROWS(Tables!$G$123:$G$138)-1))))/(INDEX(Tables!$G$123:$G$138,MAX(1,MIN(IFERROR(MATCH(U166,Tables!$G$123:$G$138,1),1),ROWS(Tables!$G$123:$G$138)-1))+1)-INDEX(Tables!$G$123:$G$138,MAX(1,MIN(IFERROR(MATCH(U166,Tables!$G$123:$G$138,1),1),ROWS(Tables!$G$123:$G$138)-1))))))))</f>
        <v>0.79200000000000004</v>
      </c>
      <c r="AR166" s="181">
        <f>IF(OR(P166&gt;=4,U166&gt;12),VLOOKUP(R166&amp;" "&amp;S166,Tables!$D$143:$F$148,2,FALSE),VLOOKUP(R166&amp;" "&amp;S166,Tables!$A$143:$C$148,2,FALSE))</f>
        <v>1.1000000000000001</v>
      </c>
      <c r="AS166" s="181">
        <f>IF(OR(P166&gt;=4,U166&gt;12),VLOOKUP(R166&amp;" "&amp;S166,Tables!$D$143:$F$148,3,FALSE),VLOOKUP(R166&amp;" "&amp;S166,Tables!$A$143:$C$148,3,FALSE))</f>
        <v>0.65</v>
      </c>
      <c r="AT166" s="181">
        <f t="shared" si="168"/>
        <v>948.12000204038429</v>
      </c>
      <c r="AU166" s="181">
        <f>IF(AD166=5000,(INDEX(Tables!$B$244:$B$263,MAX(1,MIN(IFERROR(MATCH(AF166,Tables!$A$244:$A$263,1),1),ROWS(Tables!$A$244:$A$263)-1)))+(AF166-INDEX(Tables!$A$244:$A$263,MAX(1,MIN(IFERROR(MATCH(AF166,Tables!$A$244:$A$263,1),1),ROWS(Tables!$A$244:$A$263)-1))))*(INDEX(Tables!$B$244:$B$263,MAX(1,MIN(IFERROR(MATCH(AF166,Tables!$A$244:$A$263,1),1),ROWS(Tables!$A$244:$A$263)-1))+1)-INDEX(Tables!$B$244:$B$263,MAX(1,MIN(IFERROR(MATCH(AF166,Tables!$A$244:$A$263,1),1),ROWS(Tables!$A$244:$A$263)-1))))/(INDEX(Tables!$A$244:$A$263,MAX(1,MIN(IFERROR(MATCH(AF166,Tables!$A$244:$A$263,1),1),ROWS(Tables!$A$244:$A$263)-1))+1)-INDEX(Tables!$A$244:$A$263,MAX(1,MIN(IFERROR(MATCH(AF166,Tables!$A$244:$A$263,1),1),ROWS(Tables!$A$244:$A$263)-1))))),IF(AD166=10000,(INDEX(Tables!$D$244:$D$263,MAX(1,MIN(IFERROR(MATCH(AF166,Tables!$C$244:$C$263,1),1),ROWS(Tables!$C$244:$C$263)-1)))+(AF166-INDEX(Tables!$C$244:$C$263,MAX(1,MIN(IFERROR(MATCH(AF166,Tables!$C$244:$C$263,1),1),ROWS(Tables!$C$244:$C$263)-1))))*(INDEX(Tables!$D$244:$D$263,MAX(1,MIN(IFERROR(MATCH(AF166,Tables!$C$244:$C$263,1),1),ROWS(Tables!$C$244:$C$263)-1))+1)-INDEX(Tables!$D$244:$D$263,MAX(1,MIN(IFERROR(MATCH(AF166,Tables!$C$244:$C$263,1),1),ROWS(Tables!$C$244:$C$263)-1))))/(INDEX(Tables!$C$244:$C$263,MAX(1,MIN(IFERROR(MATCH(AF166,Tables!$C$244:$C$263,1),1),ROWS(Tables!$C$244:$C$263)-1))+1)-INDEX(Tables!$C$244:$C$263,MAX(1,MIN(IFERROR(MATCH(AF166,Tables!$C$244:$C$263,1),1),ROWS(Tables!$C$244:$C$263)-1))))),(INDEX(Tables!$F$244:$F$263,MAX(1,MIN(IFERROR(MATCH(AF166,Tables!$E$244:$E$263,1),1),ROWS(Tables!$E$244:$E$263)-1)))+(AF166-INDEX(Tables!$E$244:$E$263,MAX(1,MIN(IFERROR(MATCH(AF166,Tables!$E$244:$E$263,1),1),ROWS(Tables!$E$244:$E$263)-1))))*(INDEX(Tables!$F$244:$F$263,MAX(1,MIN(IFERROR(MATCH(AF166,Tables!$E$244:$E$263,1),1),ROWS(Tables!$E$244:$E$263)-1))+1)-INDEX(Tables!$F$244:$F$263,MAX(1,MIN(IFERROR(MATCH(AF166,Tables!$E$244:$E$263,1),1),ROWS(Tables!$E$244:$E$263)-1))))/(INDEX(Tables!$E$244:$E$263,MAX(1,MIN(IFERROR(MATCH(AF166,Tables!$E$244:$E$263,1),1),ROWS(Tables!$E$244:$E$263)-1))+1)-INDEX(Tables!$E$244:$E$263,MAX(1,MIN(IFERROR(MATCH(AF166,Tables!$E$244:$E$263,1),1),ROWS(Tables!$E$244:$E$263)-1)))))))</f>
        <v>9.8737916666666656</v>
      </c>
      <c r="AV166" s="181">
        <f>IF(P166&lt;6,(INDEX(Tables!$B$260:$B$274,MAX(1,MIN(IFERROR(MATCH(U166,Tables!$A$260:$A$274,1),1),ROWS(Tables!$A$260:$A$274)-1)))+(U166-INDEX(Tables!$A$260:$A$274,MAX(1,MIN(IFERROR(MATCH(U166,Tables!$A$260:$A$274,1),1),ROWS(Tables!$A$260:$A$274)-1))))*(INDEX(Tables!$B$260:$B$274,MAX(1,MIN(IFERROR(MATCH(U166,Tables!$A$260:$A$274,1),1),ROWS(Tables!$A$260:$A$274)-1))+1)-INDEX(Tables!$B$260:$B$274,MAX(1,MIN(IFERROR(MATCH(U166,Tables!$A$260:$A$274,1),1),ROWS(Tables!$A$260:$A$274)-1))))/(INDEX(Tables!$A$260:$A$274,MAX(1,MIN(IFERROR(MATCH(U166,Tables!$A$260:$A$274,1),1),ROWS(Tables!$A$260:$A$274)-1))+1)-INDEX(Tables!$A$260:$A$274,MAX(1,MIN(IFERROR(MATCH(U166,Tables!$A$260:$A$274,1),1),ROWS(Tables!$A$260:$A$274)-1))))),IF(P166&lt;8,(INDEX(Tables!$D$260:$D$274,MAX(1,MIN(IFERROR(MATCH(U166,Tables!$C$260:$C$274,1),1),ROWS(Tables!$C$260:$C$274)-1)))+(U166-INDEX(Tables!$C$260:$C$274,MAX(1,MIN(IFERROR(MATCH(U166,Tables!$C$260:$C$274,1),1),ROWS(Tables!$C$260:$C$274)-1))))*(INDEX(Tables!$D$260:$D$274,MAX(1,MIN(IFERROR(MATCH(U166,Tables!$C$260:$C$274,1),1),ROWS(Tables!$C$260:$C$274)-1))+1)-INDEX(Tables!$D$260:$D$274,MAX(1,MIN(IFERROR(MATCH(U166,Tables!$C$260:$C$274,1),1),ROWS(Tables!$C$260:$C$274)-1))))/(INDEX(Tables!$C$260:$C$274,MAX(1,MIN(IFERROR(MATCH(U166,Tables!$C$260:$C$274,1),1),ROWS(Tables!$C$260:$C$274)-1))+1)-INDEX(Tables!$C$260:$C$274,MAX(1,MIN(IFERROR(MATCH(U166,Tables!$C$260:$C$274,1),1),ROWS(Tables!$C$260:$C$274)-1))))),IF(P166&lt;10,(INDEX(Tables!$F$260:$F$274,MAX(1,MIN(IFERROR(MATCH(U166,Tables!$E$260:$E$274,1),1),ROWS(Tables!$E$260:$E$274)-1)))+(U166-INDEX(Tables!$E$260:$E$274,MAX(1,MIN(IFERROR(MATCH(U166,Tables!$E$260:$E$274,1),1),ROWS(Tables!$E$260:$E$274)-1))))*(INDEX(Tables!$F$260:$F$274,MAX(1,MIN(IFERROR(MATCH(U166,Tables!$E$260:$E$274,1),1),ROWS(Tables!$E$260:$E$274)-1))+1)-INDEX(Tables!$F$260:$F$274,MAX(1,MIN(IFERROR(MATCH(U166,Tables!$E$260:$E$274,1),1),ROWS(Tables!$E$260:$E$274)-1))))/(INDEX(Tables!$E$260:$E$274,MAX(1,MIN(IFERROR(MATCH(U166,Tables!$E$260:$E$274,1),1),ROWS(Tables!$E$260:$E$274)-1))+1)-INDEX(Tables!$E$260:$E$274,MAX(1,MIN(IFERROR(MATCH(U166,Tables!$E$260:$E$274,1),1),ROWS(Tables!$E$260:$E$274)-1))))),(INDEX(Tables!$H$260:$H$274,MAX(1,MIN(IFERROR(MATCH(U166,Tables!$G$260:$G$274,1),1),ROWS(Tables!$G$260:$G$274)-1)))+(U166-INDEX(Tables!$G$260:$G$274,MAX(1,MIN(IFERROR(MATCH(U166,Tables!$G$260:$G$274,1),1),ROWS(Tables!$G$260:$G$274)-1))))*(INDEX(Tables!$H$260:$H$274,MAX(1,MIN(IFERROR(MATCH(U166,Tables!$G$260:$G$274,1),1),ROWS(Tables!$G$260:$G$274)-1))+1)-INDEX(Tables!$H$260:$H$274,MAX(1,MIN(IFERROR(MATCH(U166,Tables!$G$260:$G$274,1),1),ROWS(Tables!$G$260:$G$274)-1))))/(INDEX(Tables!$G$260:$G$274,MAX(1,MIN(IFERROR(MATCH(U166,Tables!$G$260:$G$274,1),1),ROWS(Tables!$G$260:$G$274)-1))+1)-INDEX(Tables!$G$260:$G$274,MAX(1,MIN(IFERROR(MATCH(U166,Tables!$G$260:$G$274,1),1),ROWS(Tables!$G$260:$G$274)-1))))))))</f>
        <v>0.84099999999999997</v>
      </c>
      <c r="AW166" s="181">
        <f t="shared" si="169"/>
        <v>700.22247066324724</v>
      </c>
      <c r="AX166" s="181">
        <f t="shared" si="170"/>
        <v>117902.98507462686</v>
      </c>
      <c r="AY166" s="181">
        <f t="shared" si="171"/>
        <v>125703.69779942835</v>
      </c>
      <c r="AZ166" s="181">
        <f t="shared" si="172"/>
        <v>38126.895809879636</v>
      </c>
      <c r="BA166" s="181">
        <f t="shared" si="173"/>
        <v>-3000</v>
      </c>
      <c r="BB166" s="181">
        <f t="shared" si="174"/>
        <v>113854.64336802407</v>
      </c>
      <c r="BC166" s="181">
        <f t="shared" si="175"/>
        <v>46800</v>
      </c>
      <c r="BD166" s="181">
        <f>VLOOKUP(V166&amp;" "&amp;J166,Tables!$A$152:$E$239,4,FALSE)</f>
        <v>12000</v>
      </c>
      <c r="BE166" s="181">
        <f>VLOOKUP(V166&amp;" "&amp;J166,Tables!$A$152:$E$239,5,FALSE)</f>
        <v>23000</v>
      </c>
      <c r="BF166" s="181">
        <f t="shared" si="176"/>
        <v>8640</v>
      </c>
      <c r="BG166" s="181">
        <f t="shared" si="177"/>
        <v>16560</v>
      </c>
      <c r="BH166" s="181">
        <f t="shared" si="178"/>
        <v>119402.98507462686</v>
      </c>
      <c r="BI166" s="181">
        <f t="shared" si="179"/>
        <v>46800</v>
      </c>
      <c r="BJ166" s="181">
        <f t="shared" si="180"/>
        <v>113854.64336802407</v>
      </c>
      <c r="BK166" s="181">
        <f t="shared" si="181"/>
        <v>46800</v>
      </c>
      <c r="BL166" s="181">
        <f t="shared" si="182"/>
        <v>700.22247066324724</v>
      </c>
      <c r="BM166" s="181">
        <f t="shared" si="183"/>
        <v>8640</v>
      </c>
      <c r="BN166" s="181">
        <f t="shared" si="184"/>
        <v>948.12000204038429</v>
      </c>
      <c r="BO166" s="181">
        <f t="shared" si="185"/>
        <v>16560</v>
      </c>
      <c r="BP166" t="str">
        <f t="shared" si="186"/>
        <v>Fail</v>
      </c>
      <c r="BQ166" t="str">
        <f t="shared" si="187"/>
        <v>Fail</v>
      </c>
      <c r="BR166" t="str">
        <f t="shared" si="188"/>
        <v>Pass</v>
      </c>
      <c r="BS166" t="str">
        <f t="shared" si="189"/>
        <v>Pass</v>
      </c>
      <c r="BT166" t="str">
        <f t="shared" si="190"/>
        <v>Fail</v>
      </c>
      <c r="BU166" t="str">
        <f t="shared" si="191"/>
        <v>Barlow Stress</v>
      </c>
    </row>
    <row r="167" spans="1:73">
      <c r="A167" t="s">
        <v>759</v>
      </c>
      <c r="B167" s="181">
        <v>165</v>
      </c>
      <c r="C167" t="s">
        <v>594</v>
      </c>
      <c r="D167" s="181">
        <v>24</v>
      </c>
      <c r="E167" s="181">
        <v>0.26300000000000001</v>
      </c>
      <c r="F167" t="s">
        <v>117</v>
      </c>
      <c r="G167" t="s">
        <v>119</v>
      </c>
      <c r="H167" t="s">
        <v>122</v>
      </c>
      <c r="I167" s="181">
        <v>1</v>
      </c>
      <c r="J167" t="s">
        <v>126</v>
      </c>
      <c r="K167" t="s">
        <v>129</v>
      </c>
      <c r="L167" s="181">
        <v>70</v>
      </c>
      <c r="M167" s="181">
        <v>6000</v>
      </c>
      <c r="N167" t="s">
        <v>390</v>
      </c>
      <c r="O167" s="181">
        <v>120</v>
      </c>
      <c r="P167" s="181">
        <v>10</v>
      </c>
      <c r="Q167" s="181">
        <v>26</v>
      </c>
      <c r="R167" t="s">
        <v>417</v>
      </c>
      <c r="S167" t="s">
        <v>156</v>
      </c>
      <c r="T167" s="181">
        <v>70</v>
      </c>
      <c r="U167" s="181">
        <f>HLOOKUP(D167,'Highway Loading'!$C$155:$AD$156,2,FALSE)</f>
        <v>24</v>
      </c>
      <c r="V167" s="181">
        <f>IF(ISBLANK(G167),"",INDEX('Highway Loading'!$C$216:$AG$216,1,MATCH(G167,'Highway Loading'!$C$215:$AG$215,0)))</f>
        <v>65000</v>
      </c>
      <c r="W167" s="181">
        <f>INDEX('Highway Loading'!$I$245:$L$253,MATCH(H167,'Highway Loading'!$H$245:$H$253,0),MATCH(I167,'Highway Loading'!$I$244:$L$244,0))</f>
        <v>0.72</v>
      </c>
      <c r="X167" s="181">
        <f t="shared" si="160"/>
        <v>1</v>
      </c>
      <c r="Y167" s="181">
        <f>VLOOKUP(K167,'Highway Loading'!$B$283:$E$292,2,FALSE)</f>
        <v>29000000</v>
      </c>
      <c r="Z167" s="181">
        <f>VLOOKUP(K167,'Highway Loading'!$B$283:$E$292,3,FALSE)</f>
        <v>0.3</v>
      </c>
      <c r="AA167" s="181">
        <f>VLOOKUP(K167,'Highway Loading'!$B$283:$E$292,4,FALSE)</f>
        <v>6.4999999999999996E-6</v>
      </c>
      <c r="AB167" s="181">
        <f t="shared" si="161"/>
        <v>1</v>
      </c>
      <c r="AC167" s="181">
        <f>VLOOKUP(N167,'Highway Loading'!$B$256:$D$261,2,FALSE)</f>
        <v>1000</v>
      </c>
      <c r="AD167" s="181">
        <f>VLOOKUP(N167,'Highway Loading'!$B$256:$D$261,3,FALSE)</f>
        <v>10000</v>
      </c>
      <c r="AE167" s="181">
        <f>VLOOKUP(S167,'Highway Loading'!$B$340:$C$341,2,FALSE)</f>
        <v>10000</v>
      </c>
      <c r="AF167" s="181">
        <f t="shared" si="162"/>
        <v>1.0958333333333334E-2</v>
      </c>
      <c r="AG167" s="181">
        <f t="shared" si="163"/>
        <v>4.615384615384615</v>
      </c>
      <c r="AH167" s="181">
        <f t="shared" si="164"/>
        <v>1.0833333333333333</v>
      </c>
      <c r="AI167" s="181">
        <f t="shared" si="165"/>
        <v>273764.25855513307</v>
      </c>
      <c r="AJ167" s="181">
        <f t="shared" si="166"/>
        <v>46800</v>
      </c>
      <c r="AK167" s="181">
        <f>IF(AC167=200,(INDEX(Tables!$B$17:$B$38,MAX(1,MIN(IFERROR(MATCH(AF167,Tables!$A$17:$A$38,1),1),ROWS(Tables!$A$17:$A$38)-1)))+(AF167-INDEX(Tables!$A$17:$A$38,MAX(1,MIN(IFERROR(MATCH(AF167,Tables!$A$17:$A$38,1),1),ROWS(Tables!$A$17:$A$38)-1))))*(INDEX(Tables!$B$17:$B$38,MAX(1,MIN(IFERROR(MATCH(AF167,Tables!$A$17:$A$38,1),1),ROWS(Tables!$A$17:$A$38)-1))+1)-INDEX(Tables!$B$17:$B$38,MAX(1,MIN(IFERROR(MATCH(AF167,Tables!$A$17:$A$38,1),1),ROWS(Tables!$A$17:$A$38)-1))))/(INDEX(Tables!$A$17:$A$38,MAX(1,MIN(IFERROR(MATCH(AF167,Tables!$A$17:$A$38,1),1),ROWS(Tables!$A$17:$A$38)-1))+1)-INDEX(Tables!$A$17:$A$38,MAX(1,MIN(IFERROR(MATCH(AF167,Tables!$A$17:$A$38,1),1),ROWS(Tables!$A$17:$A$38)-1))))),IF(AC167=500,(INDEX(Tables!$D$17:$D$38,MAX(1,MIN(IFERROR(MATCH(AF167,Tables!$C$17:$C$38,1),1),ROWS(Tables!$C$17:$C$38)-1)))+(AF167-INDEX(Tables!$C$17:$C$38,MAX(1,MIN(IFERROR(MATCH(AF167,Tables!$C$17:$C$38,1),1),ROWS(Tables!$C$17:$C$38)-1))))*(INDEX(Tables!$D$17:$D$38,MAX(1,MIN(IFERROR(MATCH(AF167,Tables!$C$17:$C$38,1),1),ROWS(Tables!$C$17:$C$38)-1))+1)-INDEX(Tables!$D$17:$D$38,MAX(1,MIN(IFERROR(MATCH(AF167,Tables!$C$17:$C$38,1),1),ROWS(Tables!$C$17:$C$38)-1))))/(INDEX(Tables!$C$17:$C$38,MAX(1,MIN(IFERROR(MATCH(AF167,Tables!$C$17:$C$38,1),1),ROWS(Tables!$C$17:$C$38)-1))+1)-INDEX(Tables!$C$17:$C$38,MAX(1,MIN(IFERROR(MATCH(AF167,Tables!$C$17:$C$38,1),1),ROWS(Tables!$C$17:$C$38)-1))))),IF(AC167=1000,(INDEX(Tables!$F$17:$F$38,MAX(1,MIN(IFERROR(MATCH(AF167,Tables!$E$17:$E$38,1),1),ROWS(Tables!$E$17:$E$38)-1)))+(AF167-INDEX(Tables!$E$17:$E$38,MAX(1,MIN(IFERROR(MATCH(AF167,Tables!$E$17:$E$38,1),1),ROWS(Tables!$E$17:$E$38)-1))))*(INDEX(Tables!$F$17:$F$38,MAX(1,MIN(IFERROR(MATCH(AF167,Tables!$E$17:$E$38,1),1),ROWS(Tables!$E$17:$E$38)-1))+1)-INDEX(Tables!$F$17:$F$38,MAX(1,MIN(IFERROR(MATCH(AF167,Tables!$E$17:$E$38,1),1),ROWS(Tables!$E$17:$E$38)-1))))/(INDEX(Tables!$E$17:$E$38,MAX(1,MIN(IFERROR(MATCH(AF167,Tables!$E$17:$E$38,1),1),ROWS(Tables!$E$17:$E$38)-1))+1)-INDEX(Tables!$E$17:$E$38,MAX(1,MIN(IFERROR(MATCH(AF167,Tables!$E$17:$E$38,1),1),ROWS(Tables!$E$17:$E$38)-1))))),(INDEX(Tables!$H$17:$H$38,MAX(1,MIN(IFERROR(MATCH(AF167,Tables!$G$17:$G$38,1),1),ROWS(Tables!$G$17:$G$38)-1)))+(AF167-INDEX(Tables!$G$17:$G$38,MAX(1,MIN(IFERROR(MATCH(AF167,Tables!$G$17:$G$38,1),1),ROWS(Tables!$G$17:$G$38)-1))))*(INDEX(Tables!$H$17:$H$38,MAX(1,MIN(IFERROR(MATCH(AF167,Tables!$G$17:$G$38,1),1),ROWS(Tables!$G$17:$G$38)-1))+1)-INDEX(Tables!$H$17:$H$38,MAX(1,MIN(IFERROR(MATCH(AF167,Tables!$G$17:$G$38,1),1),ROWS(Tables!$G$17:$G$38)-1))))/(INDEX(Tables!$G$17:$G$38,MAX(1,MIN(IFERROR(MATCH(AF167,Tables!$G$17:$G$38,1),1),ROWS(Tables!$G$17:$G$38)-1))+1)-INDEX(Tables!$G$17:$G$38,MAX(1,MIN(IFERROR(MATCH(AF167,Tables!$G$17:$G$38,1),1),ROWS(Tables!$G$17:$G$38)-1))))))))</f>
        <v>4262.4833333333336</v>
      </c>
      <c r="AL167" s="181">
        <f>IF(AC167&lt;1000,(INDEX(Tables!$B$43:$B$76,MAX(1,MIN(IFERROR(MATCH(AG167,Tables!$A$43:$A$76,1),1),ROWS(Tables!$A$43:$A$76)-1)))+(AG167-INDEX(Tables!$A$43:$A$76,MAX(1,MIN(IFERROR(MATCH(AG167,Tables!$A$43:$A$76,1),1),ROWS(Tables!$A$43:$A$76)-1))))*(INDEX(Tables!$B$43:$B$76,MAX(1,MIN(IFERROR(MATCH(AG167,Tables!$A$43:$A$76,1),1),ROWS(Tables!$A$43:$A$76)-1))+1)-INDEX(Tables!$B$43:$B$76,MAX(1,MIN(IFERROR(MATCH(AG167,Tables!$A$43:$A$76,1),1),ROWS(Tables!$A$43:$A$76)-1))))/(INDEX(Tables!$A$43:$A$76,MAX(1,MIN(IFERROR(MATCH(AG167,Tables!$A$43:$A$76,1),1),ROWS(Tables!$A$43:$A$76)-1))+1)-INDEX(Tables!$A$43:$A$76,MAX(1,MIN(IFERROR(MATCH(AG167,Tables!$A$43:$A$76,1),1),ROWS(Tables!$A$43:$A$76)-1))))),(INDEX(Tables!$D$43:$D$76,MAX(1,MIN(IFERROR(MATCH(AG167,Tables!$C$43:$C$76,1),1),ROWS(Tables!$C$43:$C$76)-1)))+(AG167-INDEX(Tables!$C$43:$C$76,MAX(1,MIN(IFERROR(MATCH(AG167,Tables!$C$43:$C$76,1),1),ROWS(Tables!$C$43:$C$76)-1))))*(INDEX(Tables!$D$43:$D$76,MAX(1,MIN(IFERROR(MATCH(AG167,Tables!$C$43:$C$76,1),1),ROWS(Tables!$C$43:$C$76)-1))+1)-INDEX(Tables!$D$43:$D$76,MAX(1,MIN(IFERROR(MATCH(AG167,Tables!$C$43:$C$76,1),1),ROWS(Tables!$C$43:$C$76)-1))))/(INDEX(Tables!$C$43:$C$76,MAX(1,MIN(IFERROR(MATCH(AG167,Tables!$C$43:$C$76,1),1),ROWS(Tables!$C$43:$C$76)-1))+1)-INDEX(Tables!$C$43:$C$76,MAX(1,MIN(IFERROR(MATCH(AG167,Tables!$C$43:$C$76,1),1),ROWS(Tables!$C$43:$C$76)-1))))))</f>
        <v>0.9366923076923076</v>
      </c>
      <c r="AM167" s="181">
        <f>(INDEX(Tables!$B$80:$B$87,MAX(1,MIN(IFERROR(MATCH(AH167,Tables!$A$80:$A$87,1),1),ROWS(Tables!$A$80:$A$87)-1)))+(AH167-INDEX(Tables!$A$80:$A$87,MAX(1,MIN(IFERROR(MATCH(AH167,Tables!$A$80:$A$87,1),1),ROWS(Tables!$A$80:$A$87)-1))))*(INDEX(Tables!$B$80:$B$87,MAX(1,MIN(IFERROR(MATCH(AH167,Tables!$A$80:$A$87,1),1),ROWS(Tables!$A$80:$A$87)-1))+1)-INDEX(Tables!$B$80:$B$87,MAX(1,MIN(IFERROR(MATCH(AH167,Tables!$A$80:$A$87,1),1),ROWS(Tables!$A$80:$A$87)-1))))/(INDEX(Tables!$A$80:$A$87,MAX(1,MIN(IFERROR(MATCH(AH167,Tables!$A$80:$A$87,1),1),ROWS(Tables!$A$80:$A$87)-1))+1)-INDEX(Tables!$A$80:$A$87,MAX(1,MIN(IFERROR(MATCH(AH167,Tables!$A$80:$A$87,1),1),ROWS(Tables!$A$80:$A$87)-1)))))</f>
        <v>0.96739999999999982</v>
      </c>
      <c r="AN167" s="181">
        <f t="shared" si="167"/>
        <v>6437.4590626499994</v>
      </c>
      <c r="AO167" s="181">
        <f>(INDEX(Tables!$B$91:$B$94,MAX(1,MIN(IFERROR(MATCH(P167,Tables!$A$91:$A$94,1),1),ROWS(Tables!$A$91:$A$94)-1)))+(P167-INDEX(Tables!$A$91:$A$94,MAX(1,MIN(IFERROR(MATCH(P167,Tables!$A$91:$A$94,1),1),ROWS(Tables!$A$91:$A$94)-1))))*(INDEX(Tables!$B$91:$B$94,MAX(1,MIN(IFERROR(MATCH(P167,Tables!$A$91:$A$94,1),1),ROWS(Tables!$A$91:$A$94)-1))+1)-INDEX(Tables!$B$91:$B$94,MAX(1,MIN(IFERROR(MATCH(P167,Tables!$A$91:$A$94,1),1),ROWS(Tables!$A$91:$A$94)-1))))/(INDEX(Tables!$A$91:$A$94,MAX(1,MIN(IFERROR(MATCH(P167,Tables!$A$91:$A$94,1),1),ROWS(Tables!$A$91:$A$94)-1))+1)-INDEX(Tables!$A$91:$A$94,MAX(1,MIN(IFERROR(MATCH(P167,Tables!$A$91:$A$94,1),1),ROWS(Tables!$A$91:$A$94)-1)))))</f>
        <v>1.3542682926829268</v>
      </c>
      <c r="AP167" s="181">
        <f>IF(AD167=5000,(INDEX(Tables!$B$99:$B$118,MAX(1,MIN(IFERROR(MATCH(AF167,Tables!$A$99:$A$118,1),1),ROWS(Tables!$A$99:$A$118)-1)))+(AF167-INDEX(Tables!$A$99:$A$118,MAX(1,MIN(IFERROR(MATCH(AF167,Tables!$A$99:$A$118,1),1),ROWS(Tables!$A$99:$A$118)-1))))*(INDEX(Tables!$B$99:$B$118,MAX(1,MIN(IFERROR(MATCH(AF167,Tables!$A$99:$A$118,1),1),ROWS(Tables!$A$99:$A$118)-1))+1)-INDEX(Tables!$B$99:$B$118,MAX(1,MIN(IFERROR(MATCH(AF167,Tables!$A$99:$A$118,1),1),ROWS(Tables!$A$99:$A$118)-1))))/(INDEX(Tables!$A$99:$A$118,MAX(1,MIN(IFERROR(MATCH(AF167,Tables!$A$99:$A$118,1),1),ROWS(Tables!$A$99:$A$118)-1))+1)-INDEX(Tables!$A$99:$A$118,MAX(1,MIN(IFERROR(MATCH(AF167,Tables!$A$99:$A$118,1),1),ROWS(Tables!$A$99:$A$118)-1))))),IF(AD167=10000,(INDEX(Tables!$D$99:$D$118,MAX(1,MIN(IFERROR(MATCH(AF167,Tables!$C$99:$C$118,1),1),ROWS(Tables!$C$99:$C$118)-1)))+(AF167-INDEX(Tables!$C$99:$C$118,MAX(1,MIN(IFERROR(MATCH(AF167,Tables!$C$99:$C$118,1),1),ROWS(Tables!$C$99:$C$118)-1))))*(INDEX(Tables!$D$99:$D$118,MAX(1,MIN(IFERROR(MATCH(AF167,Tables!$C$99:$C$118,1),1),ROWS(Tables!$C$99:$C$118)-1))+1)-INDEX(Tables!$D$99:$D$118,MAX(1,MIN(IFERROR(MATCH(AF167,Tables!$C$99:$C$118,1),1),ROWS(Tables!$C$99:$C$118)-1))))/(INDEX(Tables!$C$99:$C$118,MAX(1,MIN(IFERROR(MATCH(AF167,Tables!$C$99:$C$118,1),1),ROWS(Tables!$C$99:$C$118)-1))+1)-INDEX(Tables!$C$99:$C$118,MAX(1,MIN(IFERROR(MATCH(AF167,Tables!$C$99:$C$118,1),1),ROWS(Tables!$C$99:$C$118)-1))))),(INDEX(Tables!$F$99:$F$118,MAX(1,MIN(IFERROR(MATCH(AF167,Tables!$E$99:$E$118,1),1),ROWS(Tables!$E$99:$E$118)-1)))+(AF167-INDEX(Tables!$E$99:$E$118,MAX(1,MIN(IFERROR(MATCH(AF167,Tables!$E$99:$E$118,1),1),ROWS(Tables!$E$99:$E$118)-1))))*(INDEX(Tables!$F$99:$F$118,MAX(1,MIN(IFERROR(MATCH(AF167,Tables!$E$99:$E$118,1),1),ROWS(Tables!$E$99:$E$118)-1))+1)-INDEX(Tables!$F$99:$F$118,MAX(1,MIN(IFERROR(MATCH(AF167,Tables!$E$99:$E$118,1),1),ROWS(Tables!$E$99:$E$118)-1))))/(INDEX(Tables!$E$99:$E$118,MAX(1,MIN(IFERROR(MATCH(AF167,Tables!$E$99:$E$118,1),1),ROWS(Tables!$E$99:$E$118)-1))+1)-INDEX(Tables!$E$99:$E$118,MAX(1,MIN(IFERROR(MATCH(AF167,Tables!$E$99:$E$118,1),1),ROWS(Tables!$E$99:$E$118)-1)))))))</f>
        <v>13.297525555555557</v>
      </c>
      <c r="AQ167" s="181">
        <f>IF(P167&lt;6,(INDEX(Tables!$B$123:$B$138,MAX(1,MIN(IFERROR(MATCH(U167,Tables!$A$123:$A$138,1),1),ROWS(Tables!$A$123:$A$138)-1)))+(U167-INDEX(Tables!$A$123:$A$138,MAX(1,MIN(IFERROR(MATCH(U167,Tables!$A$123:$A$138,1),1),ROWS(Tables!$A$123:$A$138)-1))))*(INDEX(Tables!$B$123:$B$138,MAX(1,MIN(IFERROR(MATCH(U167,Tables!$A$123:$A$138,1),1),ROWS(Tables!$A$123:$A$138)-1))+1)-INDEX(Tables!$B$123:$B$138,MAX(1,MIN(IFERROR(MATCH(U167,Tables!$A$123:$A$138,1),1),ROWS(Tables!$A$123:$A$138)-1))))/(INDEX(Tables!$A$123:$A$138,MAX(1,MIN(IFERROR(MATCH(U167,Tables!$A$123:$A$138,1),1),ROWS(Tables!$A$123:$A$138)-1))+1)-INDEX(Tables!$A$123:$A$138,MAX(1,MIN(IFERROR(MATCH(U167,Tables!$A$123:$A$138,1),1),ROWS(Tables!$A$123:$A$138)-1))))),IF(P167&lt;8,(INDEX(Tables!$D$123:$D$138,MAX(1,MIN(IFERROR(MATCH(U167,Tables!$C$123:$C$138,1),1),ROWS(Tables!$C$123:$C$138)-1)))+(U167-INDEX(Tables!$C$123:$C$138,MAX(1,MIN(IFERROR(MATCH(U167,Tables!$C$123:$C$138,1),1),ROWS(Tables!$C$123:$C$138)-1))))*(INDEX(Tables!$D$123:$D$138,MAX(1,MIN(IFERROR(MATCH(U167,Tables!$C$123:$C$138,1),1),ROWS(Tables!$C$123:$C$138)-1))+1)-INDEX(Tables!$D$123:$D$138,MAX(1,MIN(IFERROR(MATCH(U167,Tables!$C$123:$C$138,1),1),ROWS(Tables!$C$123:$C$138)-1))))/(INDEX(Tables!$C$123:$C$138,MAX(1,MIN(IFERROR(MATCH(U167,Tables!$C$123:$C$138,1),1),ROWS(Tables!$C$123:$C$138)-1))+1)-INDEX(Tables!$C$123:$C$138,MAX(1,MIN(IFERROR(MATCH(U167,Tables!$C$123:$C$138,1),1),ROWS(Tables!$C$123:$C$138)-1))))),IF(P167&lt;10,(INDEX(Tables!$F$123:$F$138,MAX(1,MIN(IFERROR(MATCH(U167,Tables!$E$123:$E$138,1),1),ROWS(Tables!$E$123:$E$138)-1)))+(U167-INDEX(Tables!$E$123:$E$138,MAX(1,MIN(IFERROR(MATCH(U167,Tables!$E$123:$E$138,1),1),ROWS(Tables!$E$123:$E$138)-1))))*(INDEX(Tables!$F$123:$F$138,MAX(1,MIN(IFERROR(MATCH(U167,Tables!$E$123:$E$138,1),1),ROWS(Tables!$E$123:$E$138)-1))+1)-INDEX(Tables!$F$123:$F$138,MAX(1,MIN(IFERROR(MATCH(U167,Tables!$E$123:$E$138,1),1),ROWS(Tables!$E$123:$E$138)-1))))/(INDEX(Tables!$E$123:$E$138,MAX(1,MIN(IFERROR(MATCH(U167,Tables!$E$123:$E$138,1),1),ROWS(Tables!$E$123:$E$138)-1))+1)-INDEX(Tables!$E$123:$E$138,MAX(1,MIN(IFERROR(MATCH(U167,Tables!$E$123:$E$138,1),1),ROWS(Tables!$E$123:$E$138)-1))))),(INDEX(Tables!$H$123:$H$138,MAX(1,MIN(IFERROR(MATCH(U167,Tables!$G$123:$G$138,1),1),ROWS(Tables!$G$123:$G$138)-1)))+(U167-INDEX(Tables!$G$123:$G$138,MAX(1,MIN(IFERROR(MATCH(U167,Tables!$G$123:$G$138,1),1),ROWS(Tables!$G$123:$G$138)-1))))*(INDEX(Tables!$H$123:$H$138,MAX(1,MIN(IFERROR(MATCH(U167,Tables!$G$123:$G$138,1),1),ROWS(Tables!$G$123:$G$138)-1))+1)-INDEX(Tables!$H$123:$H$138,MAX(1,MIN(IFERROR(MATCH(U167,Tables!$G$123:$G$138,1),1),ROWS(Tables!$G$123:$G$138)-1))))/(INDEX(Tables!$G$123:$G$138,MAX(1,MIN(IFERROR(MATCH(U167,Tables!$G$123:$G$138,1),1),ROWS(Tables!$G$123:$G$138)-1))+1)-INDEX(Tables!$G$123:$G$138,MAX(1,MIN(IFERROR(MATCH(U167,Tables!$G$123:$G$138,1),1),ROWS(Tables!$G$123:$G$138)-1))))))))</f>
        <v>0.57750000000000001</v>
      </c>
      <c r="AR167" s="181">
        <f>IF(OR(P167&gt;=4,U167&gt;12),VLOOKUP(R167&amp;" "&amp;S167,Tables!$D$143:$F$148,2,FALSE),VLOOKUP(R167&amp;" "&amp;S167,Tables!$A$143:$C$148,2,FALSE))</f>
        <v>1.1000000000000001</v>
      </c>
      <c r="AS167" s="181">
        <f>IF(OR(P167&gt;=4,U167&gt;12),VLOOKUP(R167&amp;" "&amp;S167,Tables!$D$143:$F$148,3,FALSE),VLOOKUP(R167&amp;" "&amp;S167,Tables!$A$143:$C$148,3,FALSE))</f>
        <v>1</v>
      </c>
      <c r="AT167" s="181">
        <f t="shared" si="168"/>
        <v>794.43382263970068</v>
      </c>
      <c r="AU167" s="181">
        <f>IF(AD167=5000,(INDEX(Tables!$B$244:$B$263,MAX(1,MIN(IFERROR(MATCH(AF167,Tables!$A$244:$A$263,1),1),ROWS(Tables!$A$244:$A$263)-1)))+(AF167-INDEX(Tables!$A$244:$A$263,MAX(1,MIN(IFERROR(MATCH(AF167,Tables!$A$244:$A$263,1),1),ROWS(Tables!$A$244:$A$263)-1))))*(INDEX(Tables!$B$244:$B$263,MAX(1,MIN(IFERROR(MATCH(AF167,Tables!$A$244:$A$263,1),1),ROWS(Tables!$A$244:$A$263)-1))+1)-INDEX(Tables!$B$244:$B$263,MAX(1,MIN(IFERROR(MATCH(AF167,Tables!$A$244:$A$263,1),1),ROWS(Tables!$A$244:$A$263)-1))))/(INDEX(Tables!$A$244:$A$263,MAX(1,MIN(IFERROR(MATCH(AF167,Tables!$A$244:$A$263,1),1),ROWS(Tables!$A$244:$A$263)-1))+1)-INDEX(Tables!$A$244:$A$263,MAX(1,MIN(IFERROR(MATCH(AF167,Tables!$A$244:$A$263,1),1),ROWS(Tables!$A$244:$A$263)-1))))),IF(AD167=10000,(INDEX(Tables!$D$244:$D$263,MAX(1,MIN(IFERROR(MATCH(AF167,Tables!$C$244:$C$263,1),1),ROWS(Tables!$C$244:$C$263)-1)))+(AF167-INDEX(Tables!$C$244:$C$263,MAX(1,MIN(IFERROR(MATCH(AF167,Tables!$C$244:$C$263,1),1),ROWS(Tables!$C$244:$C$263)-1))))*(INDEX(Tables!$D$244:$D$263,MAX(1,MIN(IFERROR(MATCH(AF167,Tables!$C$244:$C$263,1),1),ROWS(Tables!$C$244:$C$263)-1))+1)-INDEX(Tables!$D$244:$D$263,MAX(1,MIN(IFERROR(MATCH(AF167,Tables!$C$244:$C$263,1),1),ROWS(Tables!$C$244:$C$263)-1))))/(INDEX(Tables!$C$244:$C$263,MAX(1,MIN(IFERROR(MATCH(AF167,Tables!$C$244:$C$263,1),1),ROWS(Tables!$C$244:$C$263)-1))+1)-INDEX(Tables!$C$244:$C$263,MAX(1,MIN(IFERROR(MATCH(AF167,Tables!$C$244:$C$263,1),1),ROWS(Tables!$C$244:$C$263)-1))))),(INDEX(Tables!$F$244:$F$263,MAX(1,MIN(IFERROR(MATCH(AF167,Tables!$E$244:$E$263,1),1),ROWS(Tables!$E$244:$E$263)-1)))+(AF167-INDEX(Tables!$E$244:$E$263,MAX(1,MIN(IFERROR(MATCH(AF167,Tables!$E$244:$E$263,1),1),ROWS(Tables!$E$244:$E$263)-1))))*(INDEX(Tables!$F$244:$F$263,MAX(1,MIN(IFERROR(MATCH(AF167,Tables!$E$244:$E$263,1),1),ROWS(Tables!$E$244:$E$263)-1))+1)-INDEX(Tables!$F$244:$F$263,MAX(1,MIN(IFERROR(MATCH(AF167,Tables!$E$244:$E$263,1),1),ROWS(Tables!$E$244:$E$263)-1))))/(INDEX(Tables!$E$244:$E$263,MAX(1,MIN(IFERROR(MATCH(AF167,Tables!$E$244:$E$263,1),1),ROWS(Tables!$E$244:$E$263)-1))+1)-INDEX(Tables!$E$244:$E$263,MAX(1,MIN(IFERROR(MATCH(AF167,Tables!$E$244:$E$263,1),1),ROWS(Tables!$E$244:$E$263)-1)))))))</f>
        <v>9.7907314814814814</v>
      </c>
      <c r="AV167" s="181">
        <f>IF(P167&lt;6,(INDEX(Tables!$B$260:$B$274,MAX(1,MIN(IFERROR(MATCH(U167,Tables!$A$260:$A$274,1),1),ROWS(Tables!$A$260:$A$274)-1)))+(U167-INDEX(Tables!$A$260:$A$274,MAX(1,MIN(IFERROR(MATCH(U167,Tables!$A$260:$A$274,1),1),ROWS(Tables!$A$260:$A$274)-1))))*(INDEX(Tables!$B$260:$B$274,MAX(1,MIN(IFERROR(MATCH(U167,Tables!$A$260:$A$274,1),1),ROWS(Tables!$A$260:$A$274)-1))+1)-INDEX(Tables!$B$260:$B$274,MAX(1,MIN(IFERROR(MATCH(U167,Tables!$A$260:$A$274,1),1),ROWS(Tables!$A$260:$A$274)-1))))/(INDEX(Tables!$A$260:$A$274,MAX(1,MIN(IFERROR(MATCH(U167,Tables!$A$260:$A$274,1),1),ROWS(Tables!$A$260:$A$274)-1))+1)-INDEX(Tables!$A$260:$A$274,MAX(1,MIN(IFERROR(MATCH(U167,Tables!$A$260:$A$274,1),1),ROWS(Tables!$A$260:$A$274)-1))))),IF(P167&lt;8,(INDEX(Tables!$D$260:$D$274,MAX(1,MIN(IFERROR(MATCH(U167,Tables!$C$260:$C$274,1),1),ROWS(Tables!$C$260:$C$274)-1)))+(U167-INDEX(Tables!$C$260:$C$274,MAX(1,MIN(IFERROR(MATCH(U167,Tables!$C$260:$C$274,1),1),ROWS(Tables!$C$260:$C$274)-1))))*(INDEX(Tables!$D$260:$D$274,MAX(1,MIN(IFERROR(MATCH(U167,Tables!$C$260:$C$274,1),1),ROWS(Tables!$C$260:$C$274)-1))+1)-INDEX(Tables!$D$260:$D$274,MAX(1,MIN(IFERROR(MATCH(U167,Tables!$C$260:$C$274,1),1),ROWS(Tables!$C$260:$C$274)-1))))/(INDEX(Tables!$C$260:$C$274,MAX(1,MIN(IFERROR(MATCH(U167,Tables!$C$260:$C$274,1),1),ROWS(Tables!$C$260:$C$274)-1))+1)-INDEX(Tables!$C$260:$C$274,MAX(1,MIN(IFERROR(MATCH(U167,Tables!$C$260:$C$274,1),1),ROWS(Tables!$C$260:$C$274)-1))))),IF(P167&lt;10,(INDEX(Tables!$F$260:$F$274,MAX(1,MIN(IFERROR(MATCH(U167,Tables!$E$260:$E$274,1),1),ROWS(Tables!$E$260:$E$274)-1)))+(U167-INDEX(Tables!$E$260:$E$274,MAX(1,MIN(IFERROR(MATCH(U167,Tables!$E$260:$E$274,1),1),ROWS(Tables!$E$260:$E$274)-1))))*(INDEX(Tables!$F$260:$F$274,MAX(1,MIN(IFERROR(MATCH(U167,Tables!$E$260:$E$274,1),1),ROWS(Tables!$E$260:$E$274)-1))+1)-INDEX(Tables!$F$260:$F$274,MAX(1,MIN(IFERROR(MATCH(U167,Tables!$E$260:$E$274,1),1),ROWS(Tables!$E$260:$E$274)-1))))/(INDEX(Tables!$E$260:$E$274,MAX(1,MIN(IFERROR(MATCH(U167,Tables!$E$260:$E$274,1),1),ROWS(Tables!$E$260:$E$274)-1))+1)-INDEX(Tables!$E$260:$E$274,MAX(1,MIN(IFERROR(MATCH(U167,Tables!$E$260:$E$274,1),1),ROWS(Tables!$E$260:$E$274)-1))))),(INDEX(Tables!$H$260:$H$274,MAX(1,MIN(IFERROR(MATCH(U167,Tables!$G$260:$G$274,1),1),ROWS(Tables!$G$260:$G$274)-1)))+(U167-INDEX(Tables!$G$260:$G$274,MAX(1,MIN(IFERROR(MATCH(U167,Tables!$G$260:$G$274,1),1),ROWS(Tables!$G$260:$G$274)-1))))*(INDEX(Tables!$H$260:$H$274,MAX(1,MIN(IFERROR(MATCH(U167,Tables!$G$260:$G$274,1),1),ROWS(Tables!$G$260:$G$274)-1))+1)-INDEX(Tables!$H$260:$H$274,MAX(1,MIN(IFERROR(MATCH(U167,Tables!$G$260:$G$274,1),1),ROWS(Tables!$G$260:$G$274)-1))))/(INDEX(Tables!$G$260:$G$274,MAX(1,MIN(IFERROR(MATCH(U167,Tables!$G$260:$G$274,1),1),ROWS(Tables!$G$260:$G$274)-1))+1)-INDEX(Tables!$G$260:$G$274,MAX(1,MIN(IFERROR(MATCH(U167,Tables!$G$260:$G$274,1),1),ROWS(Tables!$G$260:$G$274)-1))))))))</f>
        <v>0.64533333333333331</v>
      </c>
      <c r="AW167" s="181">
        <f t="shared" si="169"/>
        <v>653.63325789776343</v>
      </c>
      <c r="AX167" s="181">
        <f t="shared" si="170"/>
        <v>270764.25855513307</v>
      </c>
      <c r="AY167" s="181">
        <f t="shared" si="171"/>
        <v>277996.15144042275</v>
      </c>
      <c r="AZ167" s="181">
        <f t="shared" si="172"/>
        <v>83814.148543232674</v>
      </c>
      <c r="BA167" s="181">
        <f t="shared" si="173"/>
        <v>-6000</v>
      </c>
      <c r="BB167" s="181">
        <f t="shared" si="174"/>
        <v>251422.99572700358</v>
      </c>
      <c r="BC167" s="181">
        <f t="shared" si="175"/>
        <v>46800</v>
      </c>
      <c r="BD167" s="181">
        <f>VLOOKUP(V167&amp;" "&amp;J167,Tables!$A$152:$E$239,4,FALSE)</f>
        <v>12000</v>
      </c>
      <c r="BE167" s="181">
        <f>VLOOKUP(V167&amp;" "&amp;J167,Tables!$A$152:$E$239,5,FALSE)</f>
        <v>23000</v>
      </c>
      <c r="BF167" s="181">
        <f t="shared" si="176"/>
        <v>8640</v>
      </c>
      <c r="BG167" s="181">
        <f t="shared" si="177"/>
        <v>16560</v>
      </c>
      <c r="BH167" s="181">
        <f t="shared" si="178"/>
        <v>273764.25855513307</v>
      </c>
      <c r="BI167" s="181">
        <f t="shared" si="179"/>
        <v>46800</v>
      </c>
      <c r="BJ167" s="181">
        <f t="shared" si="180"/>
        <v>251422.99572700358</v>
      </c>
      <c r="BK167" s="181">
        <f t="shared" si="181"/>
        <v>46800</v>
      </c>
      <c r="BL167" s="181">
        <f t="shared" si="182"/>
        <v>653.63325789776343</v>
      </c>
      <c r="BM167" s="181">
        <f t="shared" si="183"/>
        <v>8640</v>
      </c>
      <c r="BN167" s="181">
        <f t="shared" si="184"/>
        <v>794.43382263970068</v>
      </c>
      <c r="BO167" s="181">
        <f t="shared" si="185"/>
        <v>16560</v>
      </c>
      <c r="BP167" t="str">
        <f t="shared" si="186"/>
        <v>Fail</v>
      </c>
      <c r="BQ167" t="str">
        <f t="shared" si="187"/>
        <v>Fail</v>
      </c>
      <c r="BR167" t="str">
        <f t="shared" si="188"/>
        <v>Pass</v>
      </c>
      <c r="BS167" t="str">
        <f t="shared" si="189"/>
        <v>Pass</v>
      </c>
      <c r="BT167" t="str">
        <f t="shared" si="190"/>
        <v>Fail</v>
      </c>
      <c r="BU167" t="str">
        <f t="shared" si="191"/>
        <v>Barlow Stress</v>
      </c>
    </row>
    <row r="168" spans="1:73">
      <c r="A168" t="s">
        <v>760</v>
      </c>
      <c r="B168" s="181">
        <v>166</v>
      </c>
      <c r="C168" t="s">
        <v>594</v>
      </c>
      <c r="D168" s="181">
        <v>36</v>
      </c>
      <c r="E168" s="181">
        <v>0.32500000000000001</v>
      </c>
      <c r="F168" t="s">
        <v>117</v>
      </c>
      <c r="G168" t="s">
        <v>119</v>
      </c>
      <c r="H168" t="s">
        <v>122</v>
      </c>
      <c r="I168" s="181">
        <v>1</v>
      </c>
      <c r="J168" t="s">
        <v>126</v>
      </c>
      <c r="K168" t="s">
        <v>129</v>
      </c>
      <c r="L168" s="181">
        <v>70</v>
      </c>
      <c r="M168" s="181">
        <v>6000</v>
      </c>
      <c r="N168" t="s">
        <v>390</v>
      </c>
      <c r="O168" s="181">
        <v>120</v>
      </c>
      <c r="P168" s="181">
        <v>14</v>
      </c>
      <c r="Q168" s="181">
        <v>38</v>
      </c>
      <c r="R168" t="s">
        <v>417</v>
      </c>
      <c r="S168" t="s">
        <v>156</v>
      </c>
      <c r="T168" s="181">
        <v>70</v>
      </c>
      <c r="U168" s="181">
        <f>HLOOKUP(D168,'Highway Loading'!$C$155:$AD$156,2,FALSE)</f>
        <v>36</v>
      </c>
      <c r="V168" s="181">
        <f>IF(ISBLANK(G168),"",INDEX('Highway Loading'!$C$216:$AG$216,1,MATCH(G168,'Highway Loading'!$C$215:$AG$215,0)))</f>
        <v>65000</v>
      </c>
      <c r="W168" s="181">
        <f>INDEX('Highway Loading'!$I$245:$L$253,MATCH(H168,'Highway Loading'!$H$245:$H$253,0),MATCH(I168,'Highway Loading'!$I$244:$L$244,0))</f>
        <v>0.72</v>
      </c>
      <c r="X168" s="181">
        <f t="shared" si="160"/>
        <v>1</v>
      </c>
      <c r="Y168" s="181">
        <f>VLOOKUP(K168,'Highway Loading'!$B$283:$E$292,2,FALSE)</f>
        <v>29000000</v>
      </c>
      <c r="Z168" s="181">
        <f>VLOOKUP(K168,'Highway Loading'!$B$283:$E$292,3,FALSE)</f>
        <v>0.3</v>
      </c>
      <c r="AA168" s="181">
        <f>VLOOKUP(K168,'Highway Loading'!$B$283:$E$292,4,FALSE)</f>
        <v>6.4999999999999996E-6</v>
      </c>
      <c r="AB168" s="181">
        <f t="shared" si="161"/>
        <v>1</v>
      </c>
      <c r="AC168" s="181">
        <f>VLOOKUP(N168,'Highway Loading'!$B$256:$D$261,2,FALSE)</f>
        <v>1000</v>
      </c>
      <c r="AD168" s="181">
        <f>VLOOKUP(N168,'Highway Loading'!$B$256:$D$261,3,FALSE)</f>
        <v>10000</v>
      </c>
      <c r="AE168" s="181">
        <f>VLOOKUP(S168,'Highway Loading'!$B$340:$C$341,2,FALSE)</f>
        <v>10000</v>
      </c>
      <c r="AF168" s="181">
        <f t="shared" si="162"/>
        <v>9.0277777777777787E-3</v>
      </c>
      <c r="AG168" s="181">
        <f t="shared" si="163"/>
        <v>4.4210526315789478</v>
      </c>
      <c r="AH168" s="181">
        <f t="shared" si="164"/>
        <v>1.0555555555555556</v>
      </c>
      <c r="AI168" s="181">
        <f t="shared" si="165"/>
        <v>332307.69230769231</v>
      </c>
      <c r="AJ168" s="181">
        <f t="shared" si="166"/>
        <v>46800</v>
      </c>
      <c r="AK168" s="181">
        <f>IF(AC168=200,(INDEX(Tables!$B$17:$B$38,MAX(1,MIN(IFERROR(MATCH(AF168,Tables!$A$17:$A$38,1),1),ROWS(Tables!$A$17:$A$38)-1)))+(AF168-INDEX(Tables!$A$17:$A$38,MAX(1,MIN(IFERROR(MATCH(AF168,Tables!$A$17:$A$38,1),1),ROWS(Tables!$A$17:$A$38)-1))))*(INDEX(Tables!$B$17:$B$38,MAX(1,MIN(IFERROR(MATCH(AF168,Tables!$A$17:$A$38,1),1),ROWS(Tables!$A$17:$A$38)-1))+1)-INDEX(Tables!$B$17:$B$38,MAX(1,MIN(IFERROR(MATCH(AF168,Tables!$A$17:$A$38,1),1),ROWS(Tables!$A$17:$A$38)-1))))/(INDEX(Tables!$A$17:$A$38,MAX(1,MIN(IFERROR(MATCH(AF168,Tables!$A$17:$A$38,1),1),ROWS(Tables!$A$17:$A$38)-1))+1)-INDEX(Tables!$A$17:$A$38,MAX(1,MIN(IFERROR(MATCH(AF168,Tables!$A$17:$A$38,1),1),ROWS(Tables!$A$17:$A$38)-1))))),IF(AC168=500,(INDEX(Tables!$D$17:$D$38,MAX(1,MIN(IFERROR(MATCH(AF168,Tables!$C$17:$C$38,1),1),ROWS(Tables!$C$17:$C$38)-1)))+(AF168-INDEX(Tables!$C$17:$C$38,MAX(1,MIN(IFERROR(MATCH(AF168,Tables!$C$17:$C$38,1),1),ROWS(Tables!$C$17:$C$38)-1))))*(INDEX(Tables!$D$17:$D$38,MAX(1,MIN(IFERROR(MATCH(AF168,Tables!$C$17:$C$38,1),1),ROWS(Tables!$C$17:$C$38)-1))+1)-INDEX(Tables!$D$17:$D$38,MAX(1,MIN(IFERROR(MATCH(AF168,Tables!$C$17:$C$38,1),1),ROWS(Tables!$C$17:$C$38)-1))))/(INDEX(Tables!$C$17:$C$38,MAX(1,MIN(IFERROR(MATCH(AF168,Tables!$C$17:$C$38,1),1),ROWS(Tables!$C$17:$C$38)-1))+1)-INDEX(Tables!$C$17:$C$38,MAX(1,MIN(IFERROR(MATCH(AF168,Tables!$C$17:$C$38,1),1),ROWS(Tables!$C$17:$C$38)-1))))),IF(AC168=1000,(INDEX(Tables!$F$17:$F$38,MAX(1,MIN(IFERROR(MATCH(AF168,Tables!$E$17:$E$38,1),1),ROWS(Tables!$E$17:$E$38)-1)))+(AF168-INDEX(Tables!$E$17:$E$38,MAX(1,MIN(IFERROR(MATCH(AF168,Tables!$E$17:$E$38,1),1),ROWS(Tables!$E$17:$E$38)-1))))*(INDEX(Tables!$F$17:$F$38,MAX(1,MIN(IFERROR(MATCH(AF168,Tables!$E$17:$E$38,1),1),ROWS(Tables!$E$17:$E$38)-1))+1)-INDEX(Tables!$F$17:$F$38,MAX(1,MIN(IFERROR(MATCH(AF168,Tables!$E$17:$E$38,1),1),ROWS(Tables!$E$17:$E$38)-1))))/(INDEX(Tables!$E$17:$E$38,MAX(1,MIN(IFERROR(MATCH(AF168,Tables!$E$17:$E$38,1),1),ROWS(Tables!$E$17:$E$38)-1))+1)-INDEX(Tables!$E$17:$E$38,MAX(1,MIN(IFERROR(MATCH(AF168,Tables!$E$17:$E$38,1),1),ROWS(Tables!$E$17:$E$38)-1))))),(INDEX(Tables!$H$17:$H$38,MAX(1,MIN(IFERROR(MATCH(AF168,Tables!$G$17:$G$38,1),1),ROWS(Tables!$G$17:$G$38)-1)))+(AF168-INDEX(Tables!$G$17:$G$38,MAX(1,MIN(IFERROR(MATCH(AF168,Tables!$G$17:$G$38,1),1),ROWS(Tables!$G$17:$G$38)-1))))*(INDEX(Tables!$H$17:$H$38,MAX(1,MIN(IFERROR(MATCH(AF168,Tables!$G$17:$G$38,1),1),ROWS(Tables!$G$17:$G$38)-1))+1)-INDEX(Tables!$H$17:$H$38,MAX(1,MIN(IFERROR(MATCH(AF168,Tables!$G$17:$G$38,1),1),ROWS(Tables!$G$17:$G$38)-1))))/(INDEX(Tables!$G$17:$G$38,MAX(1,MIN(IFERROR(MATCH(AF168,Tables!$G$17:$G$38,1),1),ROWS(Tables!$G$17:$G$38)-1))+1)-INDEX(Tables!$G$17:$G$38,MAX(1,MIN(IFERROR(MATCH(AF168,Tables!$G$17:$G$38,1),1),ROWS(Tables!$G$17:$G$38)-1))))))))</f>
        <v>4874.5555555555557</v>
      </c>
      <c r="AL168" s="181">
        <f>IF(AC168&lt;1000,(INDEX(Tables!$B$43:$B$76,MAX(1,MIN(IFERROR(MATCH(AG168,Tables!$A$43:$A$76,1),1),ROWS(Tables!$A$43:$A$76)-1)))+(AG168-INDEX(Tables!$A$43:$A$76,MAX(1,MIN(IFERROR(MATCH(AG168,Tables!$A$43:$A$76,1),1),ROWS(Tables!$A$43:$A$76)-1))))*(INDEX(Tables!$B$43:$B$76,MAX(1,MIN(IFERROR(MATCH(AG168,Tables!$A$43:$A$76,1),1),ROWS(Tables!$A$43:$A$76)-1))+1)-INDEX(Tables!$B$43:$B$76,MAX(1,MIN(IFERROR(MATCH(AG168,Tables!$A$43:$A$76,1),1),ROWS(Tables!$A$43:$A$76)-1))))/(INDEX(Tables!$A$43:$A$76,MAX(1,MIN(IFERROR(MATCH(AG168,Tables!$A$43:$A$76,1),1),ROWS(Tables!$A$43:$A$76)-1))+1)-INDEX(Tables!$A$43:$A$76,MAX(1,MIN(IFERROR(MATCH(AG168,Tables!$A$43:$A$76,1),1),ROWS(Tables!$A$43:$A$76)-1))))),(INDEX(Tables!$D$43:$D$76,MAX(1,MIN(IFERROR(MATCH(AG168,Tables!$C$43:$C$76,1),1),ROWS(Tables!$C$43:$C$76)-1)))+(AG168-INDEX(Tables!$C$43:$C$76,MAX(1,MIN(IFERROR(MATCH(AG168,Tables!$C$43:$C$76,1),1),ROWS(Tables!$C$43:$C$76)-1))))*(INDEX(Tables!$D$43:$D$76,MAX(1,MIN(IFERROR(MATCH(AG168,Tables!$C$43:$C$76,1),1),ROWS(Tables!$C$43:$C$76)-1))+1)-INDEX(Tables!$D$43:$D$76,MAX(1,MIN(IFERROR(MATCH(AG168,Tables!$C$43:$C$76,1),1),ROWS(Tables!$C$43:$C$76)-1))))/(INDEX(Tables!$C$43:$C$76,MAX(1,MIN(IFERROR(MATCH(AG168,Tables!$C$43:$C$76,1),1),ROWS(Tables!$C$43:$C$76)-1))+1)-INDEX(Tables!$C$43:$C$76,MAX(1,MIN(IFERROR(MATCH(AG168,Tables!$C$43:$C$76,1),1),ROWS(Tables!$C$43:$C$76)-1))))))</f>
        <v>0.92289473684210532</v>
      </c>
      <c r="AM168" s="181">
        <f>(INDEX(Tables!$B$80:$B$87,MAX(1,MIN(IFERROR(MATCH(AH168,Tables!$A$80:$A$87,1),1),ROWS(Tables!$A$80:$A$87)-1)))+(AH168-INDEX(Tables!$A$80:$A$87,MAX(1,MIN(IFERROR(MATCH(AH168,Tables!$A$80:$A$87,1),1),ROWS(Tables!$A$80:$A$87)-1))))*(INDEX(Tables!$B$80:$B$87,MAX(1,MIN(IFERROR(MATCH(AH168,Tables!$A$80:$A$87,1),1),ROWS(Tables!$A$80:$A$87)-1))+1)-INDEX(Tables!$B$80:$B$87,MAX(1,MIN(IFERROR(MATCH(AH168,Tables!$A$80:$A$87,1),1),ROWS(Tables!$A$80:$A$87)-1))))/(INDEX(Tables!$A$80:$A$87,MAX(1,MIN(IFERROR(MATCH(AH168,Tables!$A$80:$A$87,1),1),ROWS(Tables!$A$80:$A$87)-1))+1)-INDEX(Tables!$A$80:$A$87,MAX(1,MIN(IFERROR(MATCH(AH168,Tables!$A$80:$A$87,1),1),ROWS(Tables!$A$80:$A$87)-1)))))</f>
        <v>0.91873333333333329</v>
      </c>
      <c r="AN168" s="181">
        <f t="shared" si="167"/>
        <v>10332.767944722224</v>
      </c>
      <c r="AO168" s="181">
        <f>(INDEX(Tables!$B$91:$B$94,MAX(1,MIN(IFERROR(MATCH(P168,Tables!$A$91:$A$94,1),1),ROWS(Tables!$A$91:$A$94)-1)))+(P168-INDEX(Tables!$A$91:$A$94,MAX(1,MIN(IFERROR(MATCH(P168,Tables!$A$91:$A$94,1),1),ROWS(Tables!$A$91:$A$94)-1))))*(INDEX(Tables!$B$91:$B$94,MAX(1,MIN(IFERROR(MATCH(P168,Tables!$A$91:$A$94,1),1),ROWS(Tables!$A$91:$A$94)-1))+1)-INDEX(Tables!$B$91:$B$94,MAX(1,MIN(IFERROR(MATCH(P168,Tables!$A$91:$A$94,1),1),ROWS(Tables!$A$91:$A$94)-1))))/(INDEX(Tables!$A$91:$A$94,MAX(1,MIN(IFERROR(MATCH(P168,Tables!$A$91:$A$94,1),1),ROWS(Tables!$A$91:$A$94)-1))+1)-INDEX(Tables!$A$91:$A$94,MAX(1,MIN(IFERROR(MATCH(P168,Tables!$A$91:$A$94,1),1),ROWS(Tables!$A$91:$A$94)-1)))))</f>
        <v>1.2323170731707318</v>
      </c>
      <c r="AP168" s="181">
        <f>IF(AD168=5000,(INDEX(Tables!$B$99:$B$118,MAX(1,MIN(IFERROR(MATCH(AF168,Tables!$A$99:$A$118,1),1),ROWS(Tables!$A$99:$A$118)-1)))+(AF168-INDEX(Tables!$A$99:$A$118,MAX(1,MIN(IFERROR(MATCH(AF168,Tables!$A$99:$A$118,1),1),ROWS(Tables!$A$99:$A$118)-1))))*(INDEX(Tables!$B$99:$B$118,MAX(1,MIN(IFERROR(MATCH(AF168,Tables!$A$99:$A$118,1),1),ROWS(Tables!$A$99:$A$118)-1))+1)-INDEX(Tables!$B$99:$B$118,MAX(1,MIN(IFERROR(MATCH(AF168,Tables!$A$99:$A$118,1),1),ROWS(Tables!$A$99:$A$118)-1))))/(INDEX(Tables!$A$99:$A$118,MAX(1,MIN(IFERROR(MATCH(AF168,Tables!$A$99:$A$118,1),1),ROWS(Tables!$A$99:$A$118)-1))+1)-INDEX(Tables!$A$99:$A$118,MAX(1,MIN(IFERROR(MATCH(AF168,Tables!$A$99:$A$118,1),1),ROWS(Tables!$A$99:$A$118)-1))))),IF(AD168=10000,(INDEX(Tables!$D$99:$D$118,MAX(1,MIN(IFERROR(MATCH(AF168,Tables!$C$99:$C$118,1),1),ROWS(Tables!$C$99:$C$118)-1)))+(AF168-INDEX(Tables!$C$99:$C$118,MAX(1,MIN(IFERROR(MATCH(AF168,Tables!$C$99:$C$118,1),1),ROWS(Tables!$C$99:$C$118)-1))))*(INDEX(Tables!$D$99:$D$118,MAX(1,MIN(IFERROR(MATCH(AF168,Tables!$C$99:$C$118,1),1),ROWS(Tables!$C$99:$C$118)-1))+1)-INDEX(Tables!$D$99:$D$118,MAX(1,MIN(IFERROR(MATCH(AF168,Tables!$C$99:$C$118,1),1),ROWS(Tables!$C$99:$C$118)-1))))/(INDEX(Tables!$C$99:$C$118,MAX(1,MIN(IFERROR(MATCH(AF168,Tables!$C$99:$C$118,1),1),ROWS(Tables!$C$99:$C$118)-1))+1)-INDEX(Tables!$C$99:$C$118,MAX(1,MIN(IFERROR(MATCH(AF168,Tables!$C$99:$C$118,1),1),ROWS(Tables!$C$99:$C$118)-1))))),(INDEX(Tables!$F$99:$F$118,MAX(1,MIN(IFERROR(MATCH(AF168,Tables!$E$99:$E$118,1),1),ROWS(Tables!$E$99:$E$118)-1)))+(AF168-INDEX(Tables!$E$99:$E$118,MAX(1,MIN(IFERROR(MATCH(AF168,Tables!$E$99:$E$118,1),1),ROWS(Tables!$E$99:$E$118)-1))))*(INDEX(Tables!$F$99:$F$118,MAX(1,MIN(IFERROR(MATCH(AF168,Tables!$E$99:$E$118,1),1),ROWS(Tables!$E$99:$E$118)-1))+1)-INDEX(Tables!$F$99:$F$118,MAX(1,MIN(IFERROR(MATCH(AF168,Tables!$E$99:$E$118,1),1),ROWS(Tables!$E$99:$E$118)-1))))/(INDEX(Tables!$E$99:$E$118,MAX(1,MIN(IFERROR(MATCH(AF168,Tables!$E$99:$E$118,1),1),ROWS(Tables!$E$99:$E$118)-1))+1)-INDEX(Tables!$E$99:$E$118,MAX(1,MIN(IFERROR(MATCH(AF168,Tables!$E$99:$E$118,1),1),ROWS(Tables!$E$99:$E$118)-1)))))))</f>
        <v>11.770785529715763</v>
      </c>
      <c r="AQ168" s="181">
        <f>IF(P168&lt;6,(INDEX(Tables!$B$123:$B$138,MAX(1,MIN(IFERROR(MATCH(U168,Tables!$A$123:$A$138,1),1),ROWS(Tables!$A$123:$A$138)-1)))+(U168-INDEX(Tables!$A$123:$A$138,MAX(1,MIN(IFERROR(MATCH(U168,Tables!$A$123:$A$138,1),1),ROWS(Tables!$A$123:$A$138)-1))))*(INDEX(Tables!$B$123:$B$138,MAX(1,MIN(IFERROR(MATCH(U168,Tables!$A$123:$A$138,1),1),ROWS(Tables!$A$123:$A$138)-1))+1)-INDEX(Tables!$B$123:$B$138,MAX(1,MIN(IFERROR(MATCH(U168,Tables!$A$123:$A$138,1),1),ROWS(Tables!$A$123:$A$138)-1))))/(INDEX(Tables!$A$123:$A$138,MAX(1,MIN(IFERROR(MATCH(U168,Tables!$A$123:$A$138,1),1),ROWS(Tables!$A$123:$A$138)-1))+1)-INDEX(Tables!$A$123:$A$138,MAX(1,MIN(IFERROR(MATCH(U168,Tables!$A$123:$A$138,1),1),ROWS(Tables!$A$123:$A$138)-1))))),IF(P168&lt;8,(INDEX(Tables!$D$123:$D$138,MAX(1,MIN(IFERROR(MATCH(U168,Tables!$C$123:$C$138,1),1),ROWS(Tables!$C$123:$C$138)-1)))+(U168-INDEX(Tables!$C$123:$C$138,MAX(1,MIN(IFERROR(MATCH(U168,Tables!$C$123:$C$138,1),1),ROWS(Tables!$C$123:$C$138)-1))))*(INDEX(Tables!$D$123:$D$138,MAX(1,MIN(IFERROR(MATCH(U168,Tables!$C$123:$C$138,1),1),ROWS(Tables!$C$123:$C$138)-1))+1)-INDEX(Tables!$D$123:$D$138,MAX(1,MIN(IFERROR(MATCH(U168,Tables!$C$123:$C$138,1),1),ROWS(Tables!$C$123:$C$138)-1))))/(INDEX(Tables!$C$123:$C$138,MAX(1,MIN(IFERROR(MATCH(U168,Tables!$C$123:$C$138,1),1),ROWS(Tables!$C$123:$C$138)-1))+1)-INDEX(Tables!$C$123:$C$138,MAX(1,MIN(IFERROR(MATCH(U168,Tables!$C$123:$C$138,1),1),ROWS(Tables!$C$123:$C$138)-1))))),IF(P168&lt;10,(INDEX(Tables!$F$123:$F$138,MAX(1,MIN(IFERROR(MATCH(U168,Tables!$E$123:$E$138,1),1),ROWS(Tables!$E$123:$E$138)-1)))+(U168-INDEX(Tables!$E$123:$E$138,MAX(1,MIN(IFERROR(MATCH(U168,Tables!$E$123:$E$138,1),1),ROWS(Tables!$E$123:$E$138)-1))))*(INDEX(Tables!$F$123:$F$138,MAX(1,MIN(IFERROR(MATCH(U168,Tables!$E$123:$E$138,1),1),ROWS(Tables!$E$123:$E$138)-1))+1)-INDEX(Tables!$F$123:$F$138,MAX(1,MIN(IFERROR(MATCH(U168,Tables!$E$123:$E$138,1),1),ROWS(Tables!$E$123:$E$138)-1))))/(INDEX(Tables!$E$123:$E$138,MAX(1,MIN(IFERROR(MATCH(U168,Tables!$E$123:$E$138,1),1),ROWS(Tables!$E$123:$E$138)-1))+1)-INDEX(Tables!$E$123:$E$138,MAX(1,MIN(IFERROR(MATCH(U168,Tables!$E$123:$E$138,1),1),ROWS(Tables!$E$123:$E$138)-1))))),(INDEX(Tables!$H$123:$H$138,MAX(1,MIN(IFERROR(MATCH(U168,Tables!$G$123:$G$138,1),1),ROWS(Tables!$G$123:$G$138)-1)))+(U168-INDEX(Tables!$G$123:$G$138,MAX(1,MIN(IFERROR(MATCH(U168,Tables!$G$123:$G$138,1),1),ROWS(Tables!$G$123:$G$138)-1))))*(INDEX(Tables!$H$123:$H$138,MAX(1,MIN(IFERROR(MATCH(U168,Tables!$G$123:$G$138,1),1),ROWS(Tables!$G$123:$G$138)-1))+1)-INDEX(Tables!$H$123:$H$138,MAX(1,MIN(IFERROR(MATCH(U168,Tables!$G$123:$G$138,1),1),ROWS(Tables!$G$123:$G$138)-1))))/(INDEX(Tables!$G$123:$G$138,MAX(1,MIN(IFERROR(MATCH(U168,Tables!$G$123:$G$138,1),1),ROWS(Tables!$G$123:$G$138)-1))+1)-INDEX(Tables!$G$123:$G$138,MAX(1,MIN(IFERROR(MATCH(U168,Tables!$G$123:$G$138,1),1),ROWS(Tables!$G$123:$G$138)-1))))))))</f>
        <v>0.50060000000000004</v>
      </c>
      <c r="AR168" s="181">
        <f>IF(OR(P168&gt;=4,U168&gt;12),VLOOKUP(R168&amp;" "&amp;S168,Tables!$D$143:$F$148,2,FALSE),VLOOKUP(R168&amp;" "&amp;S168,Tables!$A$143:$C$148,2,FALSE))</f>
        <v>1.1000000000000001</v>
      </c>
      <c r="AS168" s="181">
        <f>IF(OR(P168&gt;=4,U168&gt;12),VLOOKUP(R168&amp;" "&amp;S168,Tables!$D$143:$F$148,3,FALSE),VLOOKUP(R168&amp;" "&amp;S168,Tables!$A$143:$C$148,3,FALSE))</f>
        <v>1</v>
      </c>
      <c r="AT168" s="181">
        <f t="shared" si="168"/>
        <v>554.68822982478935</v>
      </c>
      <c r="AU168" s="181">
        <f>IF(AD168=5000,(INDEX(Tables!$B$244:$B$263,MAX(1,MIN(IFERROR(MATCH(AF168,Tables!$A$244:$A$263,1),1),ROWS(Tables!$A$244:$A$263)-1)))+(AF168-INDEX(Tables!$A$244:$A$263,MAX(1,MIN(IFERROR(MATCH(AF168,Tables!$A$244:$A$263,1),1),ROWS(Tables!$A$244:$A$263)-1))))*(INDEX(Tables!$B$244:$B$263,MAX(1,MIN(IFERROR(MATCH(AF168,Tables!$A$244:$A$263,1),1),ROWS(Tables!$A$244:$A$263)-1))+1)-INDEX(Tables!$B$244:$B$263,MAX(1,MIN(IFERROR(MATCH(AF168,Tables!$A$244:$A$263,1),1),ROWS(Tables!$A$244:$A$263)-1))))/(INDEX(Tables!$A$244:$A$263,MAX(1,MIN(IFERROR(MATCH(AF168,Tables!$A$244:$A$263,1),1),ROWS(Tables!$A$244:$A$263)-1))+1)-INDEX(Tables!$A$244:$A$263,MAX(1,MIN(IFERROR(MATCH(AF168,Tables!$A$244:$A$263,1),1),ROWS(Tables!$A$244:$A$263)-1))))),IF(AD168=10000,(INDEX(Tables!$D$244:$D$263,MAX(1,MIN(IFERROR(MATCH(AF168,Tables!$C$244:$C$263,1),1),ROWS(Tables!$C$244:$C$263)-1)))+(AF168-INDEX(Tables!$C$244:$C$263,MAX(1,MIN(IFERROR(MATCH(AF168,Tables!$C$244:$C$263,1),1),ROWS(Tables!$C$244:$C$263)-1))))*(INDEX(Tables!$D$244:$D$263,MAX(1,MIN(IFERROR(MATCH(AF168,Tables!$C$244:$C$263,1),1),ROWS(Tables!$C$244:$C$263)-1))+1)-INDEX(Tables!$D$244:$D$263,MAX(1,MIN(IFERROR(MATCH(AF168,Tables!$C$244:$C$263,1),1),ROWS(Tables!$C$244:$C$263)-1))))/(INDEX(Tables!$C$244:$C$263,MAX(1,MIN(IFERROR(MATCH(AF168,Tables!$C$244:$C$263,1),1),ROWS(Tables!$C$244:$C$263)-1))+1)-INDEX(Tables!$C$244:$C$263,MAX(1,MIN(IFERROR(MATCH(AF168,Tables!$C$244:$C$263,1),1),ROWS(Tables!$C$244:$C$263)-1))))),(INDEX(Tables!$F$244:$F$263,MAX(1,MIN(IFERROR(MATCH(AF168,Tables!$E$244:$E$263,1),1),ROWS(Tables!$E$244:$E$263)-1)))+(AF168-INDEX(Tables!$E$244:$E$263,MAX(1,MIN(IFERROR(MATCH(AF168,Tables!$E$244:$E$263,1),1),ROWS(Tables!$E$244:$E$263)-1))))*(INDEX(Tables!$F$244:$F$263,MAX(1,MIN(IFERROR(MATCH(AF168,Tables!$E$244:$E$263,1),1),ROWS(Tables!$E$244:$E$263)-1))+1)-INDEX(Tables!$F$244:$F$263,MAX(1,MIN(IFERROR(MATCH(AF168,Tables!$E$244:$E$263,1),1),ROWS(Tables!$E$244:$E$263)-1))))/(INDEX(Tables!$E$244:$E$263,MAX(1,MIN(IFERROR(MATCH(AF168,Tables!$E$244:$E$263,1),1),ROWS(Tables!$E$244:$E$263)-1))+1)-INDEX(Tables!$E$244:$E$263,MAX(1,MIN(IFERROR(MATCH(AF168,Tables!$E$244:$E$263,1),1),ROWS(Tables!$E$244:$E$263)-1)))))))</f>
        <v>9.7669999999999995</v>
      </c>
      <c r="AV168" s="181">
        <f>IF(P168&lt;6,(INDEX(Tables!$B$260:$B$274,MAX(1,MIN(IFERROR(MATCH(U168,Tables!$A$260:$A$274,1),1),ROWS(Tables!$A$260:$A$274)-1)))+(U168-INDEX(Tables!$A$260:$A$274,MAX(1,MIN(IFERROR(MATCH(U168,Tables!$A$260:$A$274,1),1),ROWS(Tables!$A$260:$A$274)-1))))*(INDEX(Tables!$B$260:$B$274,MAX(1,MIN(IFERROR(MATCH(U168,Tables!$A$260:$A$274,1),1),ROWS(Tables!$A$260:$A$274)-1))+1)-INDEX(Tables!$B$260:$B$274,MAX(1,MIN(IFERROR(MATCH(U168,Tables!$A$260:$A$274,1),1),ROWS(Tables!$A$260:$A$274)-1))))/(INDEX(Tables!$A$260:$A$274,MAX(1,MIN(IFERROR(MATCH(U168,Tables!$A$260:$A$274,1),1),ROWS(Tables!$A$260:$A$274)-1))+1)-INDEX(Tables!$A$260:$A$274,MAX(1,MIN(IFERROR(MATCH(U168,Tables!$A$260:$A$274,1),1),ROWS(Tables!$A$260:$A$274)-1))))),IF(P168&lt;8,(INDEX(Tables!$D$260:$D$274,MAX(1,MIN(IFERROR(MATCH(U168,Tables!$C$260:$C$274,1),1),ROWS(Tables!$C$260:$C$274)-1)))+(U168-INDEX(Tables!$C$260:$C$274,MAX(1,MIN(IFERROR(MATCH(U168,Tables!$C$260:$C$274,1),1),ROWS(Tables!$C$260:$C$274)-1))))*(INDEX(Tables!$D$260:$D$274,MAX(1,MIN(IFERROR(MATCH(U168,Tables!$C$260:$C$274,1),1),ROWS(Tables!$C$260:$C$274)-1))+1)-INDEX(Tables!$D$260:$D$274,MAX(1,MIN(IFERROR(MATCH(U168,Tables!$C$260:$C$274,1),1),ROWS(Tables!$C$260:$C$274)-1))))/(INDEX(Tables!$C$260:$C$274,MAX(1,MIN(IFERROR(MATCH(U168,Tables!$C$260:$C$274,1),1),ROWS(Tables!$C$260:$C$274)-1))+1)-INDEX(Tables!$C$260:$C$274,MAX(1,MIN(IFERROR(MATCH(U168,Tables!$C$260:$C$274,1),1),ROWS(Tables!$C$260:$C$274)-1))))),IF(P168&lt;10,(INDEX(Tables!$F$260:$F$274,MAX(1,MIN(IFERROR(MATCH(U168,Tables!$E$260:$E$274,1),1),ROWS(Tables!$E$260:$E$274)-1)))+(U168-INDEX(Tables!$E$260:$E$274,MAX(1,MIN(IFERROR(MATCH(U168,Tables!$E$260:$E$274,1),1),ROWS(Tables!$E$260:$E$274)-1))))*(INDEX(Tables!$F$260:$F$274,MAX(1,MIN(IFERROR(MATCH(U168,Tables!$E$260:$E$274,1),1),ROWS(Tables!$E$260:$E$274)-1))+1)-INDEX(Tables!$F$260:$F$274,MAX(1,MIN(IFERROR(MATCH(U168,Tables!$E$260:$E$274,1),1),ROWS(Tables!$E$260:$E$274)-1))))/(INDEX(Tables!$E$260:$E$274,MAX(1,MIN(IFERROR(MATCH(U168,Tables!$E$260:$E$274,1),1),ROWS(Tables!$E$260:$E$274)-1))+1)-INDEX(Tables!$E$260:$E$274,MAX(1,MIN(IFERROR(MATCH(U168,Tables!$E$260:$E$274,1),1),ROWS(Tables!$E$260:$E$274)-1))))),(INDEX(Tables!$H$260:$H$274,MAX(1,MIN(IFERROR(MATCH(U168,Tables!$G$260:$G$274,1),1),ROWS(Tables!$G$260:$G$274)-1)))+(U168-INDEX(Tables!$G$260:$G$274,MAX(1,MIN(IFERROR(MATCH(U168,Tables!$G$260:$G$274,1),1),ROWS(Tables!$G$260:$G$274)-1))))*(INDEX(Tables!$H$260:$H$274,MAX(1,MIN(IFERROR(MATCH(U168,Tables!$G$260:$G$274,1),1),ROWS(Tables!$G$260:$G$274)-1))+1)-INDEX(Tables!$H$260:$H$274,MAX(1,MIN(IFERROR(MATCH(U168,Tables!$G$260:$G$274,1),1),ROWS(Tables!$G$260:$G$274)-1))))/(INDEX(Tables!$G$260:$G$274,MAX(1,MIN(IFERROR(MATCH(U168,Tables!$G$260:$G$274,1),1),ROWS(Tables!$G$260:$G$274)-1))+1)-INDEX(Tables!$G$260:$G$274,MAX(1,MIN(IFERROR(MATCH(U168,Tables!$G$260:$G$274,1),1),ROWS(Tables!$G$260:$G$274)-1))))))))</f>
        <v>0.51828571428571424</v>
      </c>
      <c r="AW168" s="181">
        <f t="shared" si="169"/>
        <v>476.52214125774293</v>
      </c>
      <c r="AX168" s="181">
        <f t="shared" si="170"/>
        <v>329307.69230769225</v>
      </c>
      <c r="AY168" s="181">
        <f t="shared" si="171"/>
        <v>340195.14848223928</v>
      </c>
      <c r="AZ168" s="181">
        <f t="shared" si="172"/>
        <v>102368.66021698207</v>
      </c>
      <c r="BA168" s="181">
        <f t="shared" si="173"/>
        <v>-6000</v>
      </c>
      <c r="BB168" s="181">
        <f t="shared" si="174"/>
        <v>306721.60493715463</v>
      </c>
      <c r="BC168" s="181">
        <f t="shared" si="175"/>
        <v>46800</v>
      </c>
      <c r="BD168" s="181">
        <f>VLOOKUP(V168&amp;" "&amp;J168,Tables!$A$152:$E$239,4,FALSE)</f>
        <v>12000</v>
      </c>
      <c r="BE168" s="181">
        <f>VLOOKUP(V168&amp;" "&amp;J168,Tables!$A$152:$E$239,5,FALSE)</f>
        <v>23000</v>
      </c>
      <c r="BF168" s="181">
        <f t="shared" si="176"/>
        <v>8640</v>
      </c>
      <c r="BG168" s="181">
        <f t="shared" si="177"/>
        <v>16560</v>
      </c>
      <c r="BH168" s="181">
        <f t="shared" si="178"/>
        <v>332307.69230769231</v>
      </c>
      <c r="BI168" s="181">
        <f t="shared" si="179"/>
        <v>46800</v>
      </c>
      <c r="BJ168" s="181">
        <f t="shared" si="180"/>
        <v>306721.60493715463</v>
      </c>
      <c r="BK168" s="181">
        <f t="shared" si="181"/>
        <v>46800</v>
      </c>
      <c r="BL168" s="181">
        <f t="shared" si="182"/>
        <v>476.52214125774293</v>
      </c>
      <c r="BM168" s="181">
        <f t="shared" si="183"/>
        <v>8640</v>
      </c>
      <c r="BN168" s="181">
        <f t="shared" si="184"/>
        <v>554.68822982478935</v>
      </c>
      <c r="BO168" s="181">
        <f t="shared" si="185"/>
        <v>16560</v>
      </c>
      <c r="BP168" t="str">
        <f t="shared" si="186"/>
        <v>Fail</v>
      </c>
      <c r="BQ168" t="str">
        <f t="shared" si="187"/>
        <v>Fail</v>
      </c>
      <c r="BR168" t="str">
        <f t="shared" si="188"/>
        <v>Pass</v>
      </c>
      <c r="BS168" t="str">
        <f t="shared" si="189"/>
        <v>Pass</v>
      </c>
      <c r="BT168" t="str">
        <f t="shared" si="190"/>
        <v>Fail</v>
      </c>
      <c r="BU168" t="str">
        <f t="shared" si="191"/>
        <v>Barlow Stress</v>
      </c>
    </row>
    <row r="169" spans="1:73">
      <c r="A169" t="s">
        <v>761</v>
      </c>
      <c r="B169" s="181">
        <v>167</v>
      </c>
      <c r="C169" t="s">
        <v>594</v>
      </c>
      <c r="D169" s="181">
        <v>48</v>
      </c>
      <c r="E169" s="181">
        <v>0.38800000000000001</v>
      </c>
      <c r="F169" t="s">
        <v>117</v>
      </c>
      <c r="G169" t="s">
        <v>119</v>
      </c>
      <c r="H169" t="s">
        <v>122</v>
      </c>
      <c r="I169" s="181">
        <v>1</v>
      </c>
      <c r="J169" t="s">
        <v>126</v>
      </c>
      <c r="K169" t="s">
        <v>129</v>
      </c>
      <c r="L169" s="181">
        <v>70</v>
      </c>
      <c r="M169" s="181">
        <v>6000</v>
      </c>
      <c r="N169" t="s">
        <v>390</v>
      </c>
      <c r="O169" s="181">
        <v>120</v>
      </c>
      <c r="P169" s="181">
        <v>30</v>
      </c>
      <c r="Q169" s="181">
        <v>50</v>
      </c>
      <c r="R169" t="s">
        <v>417</v>
      </c>
      <c r="S169" t="s">
        <v>156</v>
      </c>
      <c r="T169" s="181">
        <v>70</v>
      </c>
      <c r="U169" s="181">
        <f>HLOOKUP(D169,'Highway Loading'!$C$155:$AD$156,2,FALSE)</f>
        <v>48</v>
      </c>
      <c r="V169" s="181">
        <f>IF(ISBLANK(G169),"",INDEX('Highway Loading'!$C$216:$AG$216,1,MATCH(G169,'Highway Loading'!$C$215:$AG$215,0)))</f>
        <v>65000</v>
      </c>
      <c r="W169" s="181">
        <f>INDEX('Highway Loading'!$I$245:$L$253,MATCH(H169,'Highway Loading'!$H$245:$H$253,0),MATCH(I169,'Highway Loading'!$I$244:$L$244,0))</f>
        <v>0.72</v>
      </c>
      <c r="X169" s="181">
        <f t="shared" si="160"/>
        <v>1</v>
      </c>
      <c r="Y169" s="181">
        <f>VLOOKUP(K169,'Highway Loading'!$B$283:$E$292,2,FALSE)</f>
        <v>29000000</v>
      </c>
      <c r="Z169" s="181">
        <f>VLOOKUP(K169,'Highway Loading'!$B$283:$E$292,3,FALSE)</f>
        <v>0.3</v>
      </c>
      <c r="AA169" s="181">
        <f>VLOOKUP(K169,'Highway Loading'!$B$283:$E$292,4,FALSE)</f>
        <v>6.4999999999999996E-6</v>
      </c>
      <c r="AB169" s="181">
        <f t="shared" si="161"/>
        <v>1</v>
      </c>
      <c r="AC169" s="181">
        <f>VLOOKUP(N169,'Highway Loading'!$B$256:$D$261,2,FALSE)</f>
        <v>1000</v>
      </c>
      <c r="AD169" s="181">
        <f>VLOOKUP(N169,'Highway Loading'!$B$256:$D$261,3,FALSE)</f>
        <v>10000</v>
      </c>
      <c r="AE169" s="181">
        <f>VLOOKUP(S169,'Highway Loading'!$B$340:$C$341,2,FALSE)</f>
        <v>10000</v>
      </c>
      <c r="AF169" s="181">
        <f t="shared" si="162"/>
        <v>8.083333333333333E-3</v>
      </c>
      <c r="AG169" s="181">
        <f t="shared" si="163"/>
        <v>7.2</v>
      </c>
      <c r="AH169" s="181">
        <f t="shared" si="164"/>
        <v>1.0416666666666667</v>
      </c>
      <c r="AI169" s="181">
        <f t="shared" si="165"/>
        <v>371134.02061855671</v>
      </c>
      <c r="AJ169" s="181">
        <f t="shared" si="166"/>
        <v>46800</v>
      </c>
      <c r="AK169" s="181">
        <f>IF(AC169=200,(INDEX(Tables!$B$17:$B$38,MAX(1,MIN(IFERROR(MATCH(AF169,Tables!$A$17:$A$38,1),1),ROWS(Tables!$A$17:$A$38)-1)))+(AF169-INDEX(Tables!$A$17:$A$38,MAX(1,MIN(IFERROR(MATCH(AF169,Tables!$A$17:$A$38,1),1),ROWS(Tables!$A$17:$A$38)-1))))*(INDEX(Tables!$B$17:$B$38,MAX(1,MIN(IFERROR(MATCH(AF169,Tables!$A$17:$A$38,1),1),ROWS(Tables!$A$17:$A$38)-1))+1)-INDEX(Tables!$B$17:$B$38,MAX(1,MIN(IFERROR(MATCH(AF169,Tables!$A$17:$A$38,1),1),ROWS(Tables!$A$17:$A$38)-1))))/(INDEX(Tables!$A$17:$A$38,MAX(1,MIN(IFERROR(MATCH(AF169,Tables!$A$17:$A$38,1),1),ROWS(Tables!$A$17:$A$38)-1))+1)-INDEX(Tables!$A$17:$A$38,MAX(1,MIN(IFERROR(MATCH(AF169,Tables!$A$17:$A$38,1),1),ROWS(Tables!$A$17:$A$38)-1))))),IF(AC169=500,(INDEX(Tables!$D$17:$D$38,MAX(1,MIN(IFERROR(MATCH(AF169,Tables!$C$17:$C$38,1),1),ROWS(Tables!$C$17:$C$38)-1)))+(AF169-INDEX(Tables!$C$17:$C$38,MAX(1,MIN(IFERROR(MATCH(AF169,Tables!$C$17:$C$38,1),1),ROWS(Tables!$C$17:$C$38)-1))))*(INDEX(Tables!$D$17:$D$38,MAX(1,MIN(IFERROR(MATCH(AF169,Tables!$C$17:$C$38,1),1),ROWS(Tables!$C$17:$C$38)-1))+1)-INDEX(Tables!$D$17:$D$38,MAX(1,MIN(IFERROR(MATCH(AF169,Tables!$C$17:$C$38,1),1),ROWS(Tables!$C$17:$C$38)-1))))/(INDEX(Tables!$C$17:$C$38,MAX(1,MIN(IFERROR(MATCH(AF169,Tables!$C$17:$C$38,1),1),ROWS(Tables!$C$17:$C$38)-1))+1)-INDEX(Tables!$C$17:$C$38,MAX(1,MIN(IFERROR(MATCH(AF169,Tables!$C$17:$C$38,1),1),ROWS(Tables!$C$17:$C$38)-1))))),IF(AC169=1000,(INDEX(Tables!$F$17:$F$38,MAX(1,MIN(IFERROR(MATCH(AF169,Tables!$E$17:$E$38,1),1),ROWS(Tables!$E$17:$E$38)-1)))+(AF169-INDEX(Tables!$E$17:$E$38,MAX(1,MIN(IFERROR(MATCH(AF169,Tables!$E$17:$E$38,1),1),ROWS(Tables!$E$17:$E$38)-1))))*(INDEX(Tables!$F$17:$F$38,MAX(1,MIN(IFERROR(MATCH(AF169,Tables!$E$17:$E$38,1),1),ROWS(Tables!$E$17:$E$38)-1))+1)-INDEX(Tables!$F$17:$F$38,MAX(1,MIN(IFERROR(MATCH(AF169,Tables!$E$17:$E$38,1),1),ROWS(Tables!$E$17:$E$38)-1))))/(INDEX(Tables!$E$17:$E$38,MAX(1,MIN(IFERROR(MATCH(AF169,Tables!$E$17:$E$38,1),1),ROWS(Tables!$E$17:$E$38)-1))+1)-INDEX(Tables!$E$17:$E$38,MAX(1,MIN(IFERROR(MATCH(AF169,Tables!$E$17:$E$38,1),1),ROWS(Tables!$E$17:$E$38)-1))))),(INDEX(Tables!$H$17:$H$38,MAX(1,MIN(IFERROR(MATCH(AF169,Tables!$G$17:$G$38,1),1),ROWS(Tables!$G$17:$G$38)-1)))+(AF169-INDEX(Tables!$G$17:$G$38,MAX(1,MIN(IFERROR(MATCH(AF169,Tables!$G$17:$G$38,1),1),ROWS(Tables!$G$17:$G$38)-1))))*(INDEX(Tables!$H$17:$H$38,MAX(1,MIN(IFERROR(MATCH(AF169,Tables!$G$17:$G$38,1),1),ROWS(Tables!$G$17:$G$38)-1))+1)-INDEX(Tables!$H$17:$H$38,MAX(1,MIN(IFERROR(MATCH(AF169,Tables!$G$17:$G$38,1),1),ROWS(Tables!$G$17:$G$38)-1))))/(INDEX(Tables!$G$17:$G$38,MAX(1,MIN(IFERROR(MATCH(AF169,Tables!$G$17:$G$38,1),1),ROWS(Tables!$G$17:$G$38)-1))+1)-INDEX(Tables!$G$17:$G$38,MAX(1,MIN(IFERROR(MATCH(AF169,Tables!$G$17:$G$38,1),1),ROWS(Tables!$G$17:$G$38)-1))))))))</f>
        <v>5266.3333333333339</v>
      </c>
      <c r="AL169" s="181">
        <f>IF(AC169&lt;1000,(INDEX(Tables!$B$43:$B$76,MAX(1,MIN(IFERROR(MATCH(AG169,Tables!$A$43:$A$76,1),1),ROWS(Tables!$A$43:$A$76)-1)))+(AG169-INDEX(Tables!$A$43:$A$76,MAX(1,MIN(IFERROR(MATCH(AG169,Tables!$A$43:$A$76,1),1),ROWS(Tables!$A$43:$A$76)-1))))*(INDEX(Tables!$B$43:$B$76,MAX(1,MIN(IFERROR(MATCH(AG169,Tables!$A$43:$A$76,1),1),ROWS(Tables!$A$43:$A$76)-1))+1)-INDEX(Tables!$B$43:$B$76,MAX(1,MIN(IFERROR(MATCH(AG169,Tables!$A$43:$A$76,1),1),ROWS(Tables!$A$43:$A$76)-1))))/(INDEX(Tables!$A$43:$A$76,MAX(1,MIN(IFERROR(MATCH(AG169,Tables!$A$43:$A$76,1),1),ROWS(Tables!$A$43:$A$76)-1))+1)-INDEX(Tables!$A$43:$A$76,MAX(1,MIN(IFERROR(MATCH(AG169,Tables!$A$43:$A$76,1),1),ROWS(Tables!$A$43:$A$76)-1))))),(INDEX(Tables!$D$43:$D$76,MAX(1,MIN(IFERROR(MATCH(AG169,Tables!$C$43:$C$76,1),1),ROWS(Tables!$C$43:$C$76)-1)))+(AG169-INDEX(Tables!$C$43:$C$76,MAX(1,MIN(IFERROR(MATCH(AG169,Tables!$C$43:$C$76,1),1),ROWS(Tables!$C$43:$C$76)-1))))*(INDEX(Tables!$D$43:$D$76,MAX(1,MIN(IFERROR(MATCH(AG169,Tables!$C$43:$C$76,1),1),ROWS(Tables!$C$43:$C$76)-1))+1)-INDEX(Tables!$D$43:$D$76,MAX(1,MIN(IFERROR(MATCH(AG169,Tables!$C$43:$C$76,1),1),ROWS(Tables!$C$43:$C$76)-1))))/(INDEX(Tables!$C$43:$C$76,MAX(1,MIN(IFERROR(MATCH(AG169,Tables!$C$43:$C$76,1),1),ROWS(Tables!$C$43:$C$76)-1))+1)-INDEX(Tables!$C$43:$C$76,MAX(1,MIN(IFERROR(MATCH(AG169,Tables!$C$43:$C$76,1),1),ROWS(Tables!$C$43:$C$76)-1))))))</f>
        <v>1.0784</v>
      </c>
      <c r="AM169" s="181">
        <f>(INDEX(Tables!$B$80:$B$87,MAX(1,MIN(IFERROR(MATCH(AH169,Tables!$A$80:$A$87,1),1),ROWS(Tables!$A$80:$A$87)-1)))+(AH169-INDEX(Tables!$A$80:$A$87,MAX(1,MIN(IFERROR(MATCH(AH169,Tables!$A$80:$A$87,1),1),ROWS(Tables!$A$80:$A$87)-1))))*(INDEX(Tables!$B$80:$B$87,MAX(1,MIN(IFERROR(MATCH(AH169,Tables!$A$80:$A$87,1),1),ROWS(Tables!$A$80:$A$87)-1))+1)-INDEX(Tables!$B$80:$B$87,MAX(1,MIN(IFERROR(MATCH(AH169,Tables!$A$80:$A$87,1),1),ROWS(Tables!$A$80:$A$87)-1))))/(INDEX(Tables!$A$80:$A$87,MAX(1,MIN(IFERROR(MATCH(AH169,Tables!$A$80:$A$87,1),1),ROWS(Tables!$A$80:$A$87)-1))+1)-INDEX(Tables!$A$80:$A$87,MAX(1,MIN(IFERROR(MATCH(AH169,Tables!$A$80:$A$87,1),1),ROWS(Tables!$A$80:$A$87)-1)))))</f>
        <v>0.89595000000000002</v>
      </c>
      <c r="AN169" s="181">
        <f t="shared" si="167"/>
        <v>16960.972212800003</v>
      </c>
      <c r="AO169" s="181">
        <f>(INDEX(Tables!$B$91:$B$94,MAX(1,MIN(IFERROR(MATCH(P169,Tables!$A$91:$A$94,1),1),ROWS(Tables!$A$91:$A$94)-1)))+(P169-INDEX(Tables!$A$91:$A$94,MAX(1,MIN(IFERROR(MATCH(P169,Tables!$A$91:$A$94,1),1),ROWS(Tables!$A$91:$A$94)-1))))*(INDEX(Tables!$B$91:$B$94,MAX(1,MIN(IFERROR(MATCH(P169,Tables!$A$91:$A$94,1),1),ROWS(Tables!$A$91:$A$94)-1))+1)-INDEX(Tables!$B$91:$B$94,MAX(1,MIN(IFERROR(MATCH(P169,Tables!$A$91:$A$94,1),1),ROWS(Tables!$A$91:$A$94)-1))))/(INDEX(Tables!$A$91:$A$94,MAX(1,MIN(IFERROR(MATCH(P169,Tables!$A$91:$A$94,1),1),ROWS(Tables!$A$91:$A$94)-1))+1)-INDEX(Tables!$A$91:$A$94,MAX(1,MIN(IFERROR(MATCH(P169,Tables!$A$91:$A$94,1),1),ROWS(Tables!$A$91:$A$94)-1)))))</f>
        <v>1</v>
      </c>
      <c r="AP169" s="181">
        <f>IF(AD169=5000,(INDEX(Tables!$B$99:$B$118,MAX(1,MIN(IFERROR(MATCH(AF169,Tables!$A$99:$A$118,1),1),ROWS(Tables!$A$99:$A$118)-1)))+(AF169-INDEX(Tables!$A$99:$A$118,MAX(1,MIN(IFERROR(MATCH(AF169,Tables!$A$99:$A$118,1),1),ROWS(Tables!$A$99:$A$118)-1))))*(INDEX(Tables!$B$99:$B$118,MAX(1,MIN(IFERROR(MATCH(AF169,Tables!$A$99:$A$118,1),1),ROWS(Tables!$A$99:$A$118)-1))+1)-INDEX(Tables!$B$99:$B$118,MAX(1,MIN(IFERROR(MATCH(AF169,Tables!$A$99:$A$118,1),1),ROWS(Tables!$A$99:$A$118)-1))))/(INDEX(Tables!$A$99:$A$118,MAX(1,MIN(IFERROR(MATCH(AF169,Tables!$A$99:$A$118,1),1),ROWS(Tables!$A$99:$A$118)-1))+1)-INDEX(Tables!$A$99:$A$118,MAX(1,MIN(IFERROR(MATCH(AF169,Tables!$A$99:$A$118,1),1),ROWS(Tables!$A$99:$A$118)-1))))),IF(AD169=10000,(INDEX(Tables!$D$99:$D$118,MAX(1,MIN(IFERROR(MATCH(AF169,Tables!$C$99:$C$118,1),1),ROWS(Tables!$C$99:$C$118)-1)))+(AF169-INDEX(Tables!$C$99:$C$118,MAX(1,MIN(IFERROR(MATCH(AF169,Tables!$C$99:$C$118,1),1),ROWS(Tables!$C$99:$C$118)-1))))*(INDEX(Tables!$D$99:$D$118,MAX(1,MIN(IFERROR(MATCH(AF169,Tables!$C$99:$C$118,1),1),ROWS(Tables!$C$99:$C$118)-1))+1)-INDEX(Tables!$D$99:$D$118,MAX(1,MIN(IFERROR(MATCH(AF169,Tables!$C$99:$C$118,1),1),ROWS(Tables!$C$99:$C$118)-1))))/(INDEX(Tables!$C$99:$C$118,MAX(1,MIN(IFERROR(MATCH(AF169,Tables!$C$99:$C$118,1),1),ROWS(Tables!$C$99:$C$118)-1))+1)-INDEX(Tables!$C$99:$C$118,MAX(1,MIN(IFERROR(MATCH(AF169,Tables!$C$99:$C$118,1),1),ROWS(Tables!$C$99:$C$118)-1))))),(INDEX(Tables!$F$99:$F$118,MAX(1,MIN(IFERROR(MATCH(AF169,Tables!$E$99:$E$118,1),1),ROWS(Tables!$E$99:$E$118)-1)))+(AF169-INDEX(Tables!$E$99:$E$118,MAX(1,MIN(IFERROR(MATCH(AF169,Tables!$E$99:$E$118,1),1),ROWS(Tables!$E$99:$E$118)-1))))*(INDEX(Tables!$F$99:$F$118,MAX(1,MIN(IFERROR(MATCH(AF169,Tables!$E$99:$E$118,1),1),ROWS(Tables!$E$99:$E$118)-1))+1)-INDEX(Tables!$F$99:$F$118,MAX(1,MIN(IFERROR(MATCH(AF169,Tables!$E$99:$E$118,1),1),ROWS(Tables!$E$99:$E$118)-1))))/(INDEX(Tables!$E$99:$E$118,MAX(1,MIN(IFERROR(MATCH(AF169,Tables!$E$99:$E$118,1),1),ROWS(Tables!$E$99:$E$118)-1))+1)-INDEX(Tables!$E$99:$E$118,MAX(1,MIN(IFERROR(MATCH(AF169,Tables!$E$99:$E$118,1),1),ROWS(Tables!$E$99:$E$118)-1)))))))</f>
        <v>10.99765891472868</v>
      </c>
      <c r="AQ169" s="181">
        <f>IF(P169&lt;6,(INDEX(Tables!$B$123:$B$138,MAX(1,MIN(IFERROR(MATCH(U169,Tables!$A$123:$A$138,1),1),ROWS(Tables!$A$123:$A$138)-1)))+(U169-INDEX(Tables!$A$123:$A$138,MAX(1,MIN(IFERROR(MATCH(U169,Tables!$A$123:$A$138,1),1),ROWS(Tables!$A$123:$A$138)-1))))*(INDEX(Tables!$B$123:$B$138,MAX(1,MIN(IFERROR(MATCH(U169,Tables!$A$123:$A$138,1),1),ROWS(Tables!$A$123:$A$138)-1))+1)-INDEX(Tables!$B$123:$B$138,MAX(1,MIN(IFERROR(MATCH(U169,Tables!$A$123:$A$138,1),1),ROWS(Tables!$A$123:$A$138)-1))))/(INDEX(Tables!$A$123:$A$138,MAX(1,MIN(IFERROR(MATCH(U169,Tables!$A$123:$A$138,1),1),ROWS(Tables!$A$123:$A$138)-1))+1)-INDEX(Tables!$A$123:$A$138,MAX(1,MIN(IFERROR(MATCH(U169,Tables!$A$123:$A$138,1),1),ROWS(Tables!$A$123:$A$138)-1))))),IF(P169&lt;8,(INDEX(Tables!$D$123:$D$138,MAX(1,MIN(IFERROR(MATCH(U169,Tables!$C$123:$C$138,1),1),ROWS(Tables!$C$123:$C$138)-1)))+(U169-INDEX(Tables!$C$123:$C$138,MAX(1,MIN(IFERROR(MATCH(U169,Tables!$C$123:$C$138,1),1),ROWS(Tables!$C$123:$C$138)-1))))*(INDEX(Tables!$D$123:$D$138,MAX(1,MIN(IFERROR(MATCH(U169,Tables!$C$123:$C$138,1),1),ROWS(Tables!$C$123:$C$138)-1))+1)-INDEX(Tables!$D$123:$D$138,MAX(1,MIN(IFERROR(MATCH(U169,Tables!$C$123:$C$138,1),1),ROWS(Tables!$C$123:$C$138)-1))))/(INDEX(Tables!$C$123:$C$138,MAX(1,MIN(IFERROR(MATCH(U169,Tables!$C$123:$C$138,1),1),ROWS(Tables!$C$123:$C$138)-1))+1)-INDEX(Tables!$C$123:$C$138,MAX(1,MIN(IFERROR(MATCH(U169,Tables!$C$123:$C$138,1),1),ROWS(Tables!$C$123:$C$138)-1))))),IF(P169&lt;10,(INDEX(Tables!$F$123:$F$138,MAX(1,MIN(IFERROR(MATCH(U169,Tables!$E$123:$E$138,1),1),ROWS(Tables!$E$123:$E$138)-1)))+(U169-INDEX(Tables!$E$123:$E$138,MAX(1,MIN(IFERROR(MATCH(U169,Tables!$E$123:$E$138,1),1),ROWS(Tables!$E$123:$E$138)-1))))*(INDEX(Tables!$F$123:$F$138,MAX(1,MIN(IFERROR(MATCH(U169,Tables!$E$123:$E$138,1),1),ROWS(Tables!$E$123:$E$138)-1))+1)-INDEX(Tables!$F$123:$F$138,MAX(1,MIN(IFERROR(MATCH(U169,Tables!$E$123:$E$138,1),1),ROWS(Tables!$E$123:$E$138)-1))))/(INDEX(Tables!$E$123:$E$138,MAX(1,MIN(IFERROR(MATCH(U169,Tables!$E$123:$E$138,1),1),ROWS(Tables!$E$123:$E$138)-1))+1)-INDEX(Tables!$E$123:$E$138,MAX(1,MIN(IFERROR(MATCH(U169,Tables!$E$123:$E$138,1),1),ROWS(Tables!$E$123:$E$138)-1))))),(INDEX(Tables!$H$123:$H$138,MAX(1,MIN(IFERROR(MATCH(U169,Tables!$G$123:$G$138,1),1),ROWS(Tables!$G$123:$G$138)-1)))+(U169-INDEX(Tables!$G$123:$G$138,MAX(1,MIN(IFERROR(MATCH(U169,Tables!$G$123:$G$138,1),1),ROWS(Tables!$G$123:$G$138)-1))))*(INDEX(Tables!$H$123:$H$138,MAX(1,MIN(IFERROR(MATCH(U169,Tables!$G$123:$G$138,1),1),ROWS(Tables!$G$123:$G$138)-1))+1)-INDEX(Tables!$H$123:$H$138,MAX(1,MIN(IFERROR(MATCH(U169,Tables!$G$123:$G$138,1),1),ROWS(Tables!$G$123:$G$138)-1))))/(INDEX(Tables!$G$123:$G$138,MAX(1,MIN(IFERROR(MATCH(U169,Tables!$G$123:$G$138,1),1),ROWS(Tables!$G$123:$G$138)-1))+1)-INDEX(Tables!$G$123:$G$138,MAX(1,MIN(IFERROR(MATCH(U169,Tables!$G$123:$G$138,1),1),ROWS(Tables!$G$123:$G$138)-1))))))))</f>
        <v>0.46899999999999997</v>
      </c>
      <c r="AR169" s="181">
        <f>IF(OR(P169&gt;=4,U169&gt;12),VLOOKUP(R169&amp;" "&amp;S169,Tables!$D$143:$F$148,2,FALSE),VLOOKUP(R169&amp;" "&amp;S169,Tables!$A$143:$C$148,2,FALSE))</f>
        <v>1.1000000000000001</v>
      </c>
      <c r="AS169" s="181">
        <f>IF(OR(P169&gt;=4,U169&gt;12),VLOOKUP(R169&amp;" "&amp;S169,Tables!$D$143:$F$148,3,FALSE),VLOOKUP(R169&amp;" "&amp;S169,Tables!$A$143:$C$148,3,FALSE))</f>
        <v>1</v>
      </c>
      <c r="AT169" s="181">
        <f t="shared" si="168"/>
        <v>394.00640514642538</v>
      </c>
      <c r="AU169" s="181">
        <f>IF(AD169=5000,(INDEX(Tables!$B$244:$B$263,MAX(1,MIN(IFERROR(MATCH(AF169,Tables!$A$244:$A$263,1),1),ROWS(Tables!$A$244:$A$263)-1)))+(AF169-INDEX(Tables!$A$244:$A$263,MAX(1,MIN(IFERROR(MATCH(AF169,Tables!$A$244:$A$263,1),1),ROWS(Tables!$A$244:$A$263)-1))))*(INDEX(Tables!$B$244:$B$263,MAX(1,MIN(IFERROR(MATCH(AF169,Tables!$A$244:$A$263,1),1),ROWS(Tables!$A$244:$A$263)-1))+1)-INDEX(Tables!$B$244:$B$263,MAX(1,MIN(IFERROR(MATCH(AF169,Tables!$A$244:$A$263,1),1),ROWS(Tables!$A$244:$A$263)-1))))/(INDEX(Tables!$A$244:$A$263,MAX(1,MIN(IFERROR(MATCH(AF169,Tables!$A$244:$A$263,1),1),ROWS(Tables!$A$244:$A$263)-1))+1)-INDEX(Tables!$A$244:$A$263,MAX(1,MIN(IFERROR(MATCH(AF169,Tables!$A$244:$A$263,1),1),ROWS(Tables!$A$244:$A$263)-1))))),IF(AD169=10000,(INDEX(Tables!$D$244:$D$263,MAX(1,MIN(IFERROR(MATCH(AF169,Tables!$C$244:$C$263,1),1),ROWS(Tables!$C$244:$C$263)-1)))+(AF169-INDEX(Tables!$C$244:$C$263,MAX(1,MIN(IFERROR(MATCH(AF169,Tables!$C$244:$C$263,1),1),ROWS(Tables!$C$244:$C$263)-1))))*(INDEX(Tables!$D$244:$D$263,MAX(1,MIN(IFERROR(MATCH(AF169,Tables!$C$244:$C$263,1),1),ROWS(Tables!$C$244:$C$263)-1))+1)-INDEX(Tables!$D$244:$D$263,MAX(1,MIN(IFERROR(MATCH(AF169,Tables!$C$244:$C$263,1),1),ROWS(Tables!$C$244:$C$263)-1))))/(INDEX(Tables!$C$244:$C$263,MAX(1,MIN(IFERROR(MATCH(AF169,Tables!$C$244:$C$263,1),1),ROWS(Tables!$C$244:$C$263)-1))+1)-INDEX(Tables!$C$244:$C$263,MAX(1,MIN(IFERROR(MATCH(AF169,Tables!$C$244:$C$263,1),1),ROWS(Tables!$C$244:$C$263)-1))))),(INDEX(Tables!$F$244:$F$263,MAX(1,MIN(IFERROR(MATCH(AF169,Tables!$E$244:$E$263,1),1),ROWS(Tables!$E$244:$E$263)-1)))+(AF169-INDEX(Tables!$E$244:$E$263,MAX(1,MIN(IFERROR(MATCH(AF169,Tables!$E$244:$E$263,1),1),ROWS(Tables!$E$244:$E$263)-1))))*(INDEX(Tables!$F$244:$F$263,MAX(1,MIN(IFERROR(MATCH(AF169,Tables!$E$244:$E$263,1),1),ROWS(Tables!$E$244:$E$263)-1))+1)-INDEX(Tables!$F$244:$F$263,MAX(1,MIN(IFERROR(MATCH(AF169,Tables!$E$244:$E$263,1),1),ROWS(Tables!$E$244:$E$263)-1))))/(INDEX(Tables!$E$244:$E$263,MAX(1,MIN(IFERROR(MATCH(AF169,Tables!$E$244:$E$263,1),1),ROWS(Tables!$E$244:$E$263)-1))+1)-INDEX(Tables!$E$244:$E$263,MAX(1,MIN(IFERROR(MATCH(AF169,Tables!$E$244:$E$263,1),1),ROWS(Tables!$E$244:$E$263)-1)))))))</f>
        <v>9.7669999999999995</v>
      </c>
      <c r="AV169" s="181">
        <f>IF(P169&lt;6,(INDEX(Tables!$B$260:$B$274,MAX(1,MIN(IFERROR(MATCH(U169,Tables!$A$260:$A$274,1),1),ROWS(Tables!$A$260:$A$274)-1)))+(U169-INDEX(Tables!$A$260:$A$274,MAX(1,MIN(IFERROR(MATCH(U169,Tables!$A$260:$A$274,1),1),ROWS(Tables!$A$260:$A$274)-1))))*(INDEX(Tables!$B$260:$B$274,MAX(1,MIN(IFERROR(MATCH(U169,Tables!$A$260:$A$274,1),1),ROWS(Tables!$A$260:$A$274)-1))+1)-INDEX(Tables!$B$260:$B$274,MAX(1,MIN(IFERROR(MATCH(U169,Tables!$A$260:$A$274,1),1),ROWS(Tables!$A$260:$A$274)-1))))/(INDEX(Tables!$A$260:$A$274,MAX(1,MIN(IFERROR(MATCH(U169,Tables!$A$260:$A$274,1),1),ROWS(Tables!$A$260:$A$274)-1))+1)-INDEX(Tables!$A$260:$A$274,MAX(1,MIN(IFERROR(MATCH(U169,Tables!$A$260:$A$274,1),1),ROWS(Tables!$A$260:$A$274)-1))))),IF(P169&lt;8,(INDEX(Tables!$D$260:$D$274,MAX(1,MIN(IFERROR(MATCH(U169,Tables!$C$260:$C$274,1),1),ROWS(Tables!$C$260:$C$274)-1)))+(U169-INDEX(Tables!$C$260:$C$274,MAX(1,MIN(IFERROR(MATCH(U169,Tables!$C$260:$C$274,1),1),ROWS(Tables!$C$260:$C$274)-1))))*(INDEX(Tables!$D$260:$D$274,MAX(1,MIN(IFERROR(MATCH(U169,Tables!$C$260:$C$274,1),1),ROWS(Tables!$C$260:$C$274)-1))+1)-INDEX(Tables!$D$260:$D$274,MAX(1,MIN(IFERROR(MATCH(U169,Tables!$C$260:$C$274,1),1),ROWS(Tables!$C$260:$C$274)-1))))/(INDEX(Tables!$C$260:$C$274,MAX(1,MIN(IFERROR(MATCH(U169,Tables!$C$260:$C$274,1),1),ROWS(Tables!$C$260:$C$274)-1))+1)-INDEX(Tables!$C$260:$C$274,MAX(1,MIN(IFERROR(MATCH(U169,Tables!$C$260:$C$274,1),1),ROWS(Tables!$C$260:$C$274)-1))))),IF(P169&lt;10,(INDEX(Tables!$F$260:$F$274,MAX(1,MIN(IFERROR(MATCH(U169,Tables!$E$260:$E$274,1),1),ROWS(Tables!$E$260:$E$274)-1)))+(U169-INDEX(Tables!$E$260:$E$274,MAX(1,MIN(IFERROR(MATCH(U169,Tables!$E$260:$E$274,1),1),ROWS(Tables!$E$260:$E$274)-1))))*(INDEX(Tables!$F$260:$F$274,MAX(1,MIN(IFERROR(MATCH(U169,Tables!$E$260:$E$274,1),1),ROWS(Tables!$E$260:$E$274)-1))+1)-INDEX(Tables!$F$260:$F$274,MAX(1,MIN(IFERROR(MATCH(U169,Tables!$E$260:$E$274,1),1),ROWS(Tables!$E$260:$E$274)-1))))/(INDEX(Tables!$E$260:$E$274,MAX(1,MIN(IFERROR(MATCH(U169,Tables!$E$260:$E$274,1),1),ROWS(Tables!$E$260:$E$274)-1))+1)-INDEX(Tables!$E$260:$E$274,MAX(1,MIN(IFERROR(MATCH(U169,Tables!$E$260:$E$274,1),1),ROWS(Tables!$E$260:$E$274)-1))))),(INDEX(Tables!$H$260:$H$274,MAX(1,MIN(IFERROR(MATCH(U169,Tables!$G$260:$G$274,1),1),ROWS(Tables!$G$260:$G$274)-1)))+(U169-INDEX(Tables!$G$260:$G$274,MAX(1,MIN(IFERROR(MATCH(U169,Tables!$G$260:$G$274,1),1),ROWS(Tables!$G$260:$G$274)-1))))*(INDEX(Tables!$H$260:$H$274,MAX(1,MIN(IFERROR(MATCH(U169,Tables!$G$260:$G$274,1),1),ROWS(Tables!$G$260:$G$274)-1))+1)-INDEX(Tables!$H$260:$H$274,MAX(1,MIN(IFERROR(MATCH(U169,Tables!$G$260:$G$274,1),1),ROWS(Tables!$G$260:$G$274)-1))))/(INDEX(Tables!$G$260:$G$274,MAX(1,MIN(IFERROR(MATCH(U169,Tables!$G$260:$G$274,1),1),ROWS(Tables!$G$260:$G$274)-1))+1)-INDEX(Tables!$G$260:$G$274,MAX(1,MIN(IFERROR(MATCH(U169,Tables!$G$260:$G$274,1),1),ROWS(Tables!$G$260:$G$274)-1))))))))</f>
        <v>0.45700000000000002</v>
      </c>
      <c r="AW169" s="181">
        <f t="shared" si="169"/>
        <v>340.96325694444448</v>
      </c>
      <c r="AX169" s="181">
        <f t="shared" si="170"/>
        <v>368134.02061855671</v>
      </c>
      <c r="AY169" s="181">
        <f t="shared" si="171"/>
        <v>385488.99923650315</v>
      </c>
      <c r="AZ169" s="181">
        <f t="shared" si="172"/>
        <v>115869.46110635146</v>
      </c>
      <c r="BA169" s="181">
        <f t="shared" si="173"/>
        <v>-6000</v>
      </c>
      <c r="BB169" s="181">
        <f t="shared" si="174"/>
        <v>346994.59463734273</v>
      </c>
      <c r="BC169" s="181">
        <f t="shared" si="175"/>
        <v>46800</v>
      </c>
      <c r="BD169" s="181">
        <f>VLOOKUP(V169&amp;" "&amp;J169,Tables!$A$152:$E$239,4,FALSE)</f>
        <v>12000</v>
      </c>
      <c r="BE169" s="181">
        <f>VLOOKUP(V169&amp;" "&amp;J169,Tables!$A$152:$E$239,5,FALSE)</f>
        <v>23000</v>
      </c>
      <c r="BF169" s="181">
        <f t="shared" si="176"/>
        <v>8640</v>
      </c>
      <c r="BG169" s="181">
        <f t="shared" si="177"/>
        <v>16560</v>
      </c>
      <c r="BH169" s="181">
        <f t="shared" si="178"/>
        <v>371134.02061855671</v>
      </c>
      <c r="BI169" s="181">
        <f t="shared" si="179"/>
        <v>46800</v>
      </c>
      <c r="BJ169" s="181">
        <f t="shared" si="180"/>
        <v>346994.59463734273</v>
      </c>
      <c r="BK169" s="181">
        <f t="shared" si="181"/>
        <v>46800</v>
      </c>
      <c r="BL169" s="181">
        <f t="shared" si="182"/>
        <v>340.96325694444448</v>
      </c>
      <c r="BM169" s="181">
        <f t="shared" si="183"/>
        <v>8640</v>
      </c>
      <c r="BN169" s="181">
        <f t="shared" si="184"/>
        <v>394.00640514642538</v>
      </c>
      <c r="BO169" s="181">
        <f t="shared" si="185"/>
        <v>16560</v>
      </c>
      <c r="BP169" t="str">
        <f t="shared" si="186"/>
        <v>Fail</v>
      </c>
      <c r="BQ169" t="str">
        <f t="shared" si="187"/>
        <v>Fail</v>
      </c>
      <c r="BR169" t="str">
        <f t="shared" si="188"/>
        <v>Pass</v>
      </c>
      <c r="BS169" t="str">
        <f t="shared" si="189"/>
        <v>Pass</v>
      </c>
      <c r="BT169" t="str">
        <f t="shared" si="190"/>
        <v>Fail</v>
      </c>
      <c r="BU169" t="str">
        <f t="shared" si="191"/>
        <v>Barlow Stress</v>
      </c>
    </row>
  </sheetData>
  <conditionalFormatting sqref="BP2:BP169">
    <cfRule type="expression" dxfId="9" priority="1">
      <formula>BP2="Fail"</formula>
    </cfRule>
    <cfRule type="expression" dxfId="8" priority="2">
      <formula>BP2="Pass"</formula>
    </cfRule>
  </conditionalFormatting>
  <conditionalFormatting sqref="BQ2:BQ169">
    <cfRule type="expression" dxfId="7" priority="3">
      <formula>BQ2="Fail"</formula>
    </cfRule>
    <cfRule type="expression" dxfId="6" priority="4">
      <formula>BQ2="Pass"</formula>
    </cfRule>
  </conditionalFormatting>
  <conditionalFormatting sqref="BR2:BR169">
    <cfRule type="expression" dxfId="5" priority="5">
      <formula>BR2="Fail"</formula>
    </cfRule>
    <cfRule type="expression" dxfId="4" priority="6">
      <formula>BR2="Pass"</formula>
    </cfRule>
  </conditionalFormatting>
  <conditionalFormatting sqref="BS2:BS169">
    <cfRule type="expression" dxfId="3" priority="7">
      <formula>BS2="Fail"</formula>
    </cfRule>
    <cfRule type="expression" dxfId="2" priority="8">
      <formula>BS2="Pass"</formula>
    </cfRule>
  </conditionalFormatting>
  <conditionalFormatting sqref="BT2:BT169">
    <cfRule type="expression" dxfId="1" priority="9">
      <formula>BT2="Fail"</formula>
    </cfRule>
    <cfRule type="expression" dxfId="0" priority="10">
      <formula>BT2="Pass"</formula>
    </cfRule>
  </conditionalFormatting>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Cover</vt:lpstr>
      <vt:lpstr>Approval</vt:lpstr>
      <vt:lpstr>Instructions</vt:lpstr>
      <vt:lpstr>Contents</vt:lpstr>
      <vt:lpstr>Info</vt:lpstr>
      <vt:lpstr>Highway Loading</vt:lpstr>
      <vt:lpstr>Hand Calcs</vt:lpstr>
      <vt:lpstr>Tables</vt:lpstr>
      <vt:lpstr>Sources</vt:lpstr>
      <vt:lpstr>Testing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Barry Brookins</cp:lastModifiedBy>
  <dcterms:created xsi:type="dcterms:W3CDTF">2026-06-06T17:38:32Z</dcterms:created>
  <dcterms:modified xsi:type="dcterms:W3CDTF">2026-06-06T18:36:13Z</dcterms:modified>
</cp:coreProperties>
</file>