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hdrinc-my.sharepoint.com/personal/bbrookins_hdrinc_com/Documents/Resource Files/Spreadsheets and Calcs/Validation/Latest Versions/PLTB Calculations/Crossing Calculations/Unchecked/AI/"/>
    </mc:Choice>
  </mc:AlternateContent>
  <xr:revisionPtr revIDLastSave="628" documentId="8_{572F6A9A-F0C5-4D35-97CA-DCCA1A9BDC55}" xr6:coauthVersionLast="47" xr6:coauthVersionMax="47" xr10:uidLastSave="{CCE4985E-C59B-4341-AAA8-55C0D863A38D}"/>
  <bookViews>
    <workbookView xWindow="-108" yWindow="-108" windowWidth="23256" windowHeight="13896" tabRatio="842" firstSheet="1" activeTab="7" xr2:uid="{00000000-000D-0000-FFFF-FFFF00000000}"/>
  </bookViews>
  <sheets>
    <sheet name="Cover" sheetId="24" r:id="rId1"/>
    <sheet name="Approval" sheetId="28" r:id="rId2"/>
    <sheet name="Instructions" sheetId="25" r:id="rId3"/>
    <sheet name="Contents" sheetId="26" r:id="rId4"/>
    <sheet name="Info" sheetId="27" r:id="rId5"/>
    <sheet name="Highway Loading" sheetId="21" r:id="rId6"/>
    <sheet name="Hand Calcs" sheetId="22" r:id="rId7"/>
    <sheet name="Tables" sheetId="15" r:id="rId8"/>
    <sheet name="Sources" sheetId="18" r:id="rId9"/>
  </sheets>
  <calcPr calcId="191029" iterate="1" iterateCount="5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5" i="21" l="1"/>
  <c r="E215" i="21" s="1"/>
  <c r="B239" i="21"/>
  <c r="C239" i="21" s="1"/>
  <c r="B182" i="21"/>
  <c r="C182" i="21" s="1"/>
  <c r="AF215" i="21" l="1"/>
  <c r="AE215" i="21"/>
  <c r="AD215" i="21"/>
  <c r="AC215" i="21"/>
  <c r="W215" i="21"/>
  <c r="AB215" i="21"/>
  <c r="AA215" i="21"/>
  <c r="Z215" i="21"/>
  <c r="Y215" i="21"/>
  <c r="X215" i="21"/>
  <c r="V215" i="21"/>
  <c r="U215" i="21"/>
  <c r="T215" i="21"/>
  <c r="S215" i="21"/>
  <c r="Q215" i="21"/>
  <c r="N182" i="21"/>
  <c r="L182" i="21"/>
  <c r="M215" i="21"/>
  <c r="P182" i="21"/>
  <c r="P215" i="21"/>
  <c r="N215" i="21"/>
  <c r="K182" i="21"/>
  <c r="L215" i="21"/>
  <c r="Q182" i="21"/>
  <c r="O215" i="21"/>
  <c r="J182" i="21"/>
  <c r="K215" i="21"/>
  <c r="S182" i="21"/>
  <c r="R182" i="21"/>
  <c r="R215" i="21"/>
  <c r="O182" i="21"/>
  <c r="M182" i="21"/>
  <c r="I182" i="21"/>
  <c r="I215" i="21"/>
  <c r="G182" i="21"/>
  <c r="F182" i="21"/>
  <c r="D182" i="21"/>
  <c r="J215" i="21"/>
  <c r="B240" i="21" a="1"/>
  <c r="B240" i="21" s="1"/>
  <c r="C240" i="21" s="1"/>
  <c r="G239" i="21"/>
  <c r="E239" i="21"/>
  <c r="H215" i="21"/>
  <c r="D239" i="21"/>
  <c r="D215" i="21"/>
  <c r="F239" i="21"/>
  <c r="C215" i="21"/>
  <c r="G215" i="21"/>
  <c r="X182" i="21"/>
  <c r="B216" i="21" a="1"/>
  <c r="B216" i="21" s="1"/>
  <c r="F215" i="21"/>
  <c r="W182" i="21"/>
  <c r="AG215" i="21"/>
  <c r="V182" i="21"/>
  <c r="U182" i="21"/>
  <c r="T182" i="21"/>
  <c r="H182" i="21"/>
  <c r="E182" i="21"/>
  <c r="E240" i="21" l="1"/>
  <c r="D240" i="21"/>
  <c r="G240" i="21"/>
  <c r="F240" i="21"/>
  <c r="Y216" i="21"/>
  <c r="Z216" i="21"/>
  <c r="AA216" i="21"/>
  <c r="I216" i="21"/>
  <c r="K216" i="21"/>
  <c r="L216" i="21"/>
  <c r="AB216" i="21"/>
  <c r="C216" i="21"/>
  <c r="D216" i="21"/>
  <c r="AF216" i="21"/>
  <c r="E216" i="21"/>
  <c r="AG216" i="21"/>
  <c r="J216" i="21"/>
  <c r="N216" i="21"/>
  <c r="Q216" i="21"/>
  <c r="AC216" i="21"/>
  <c r="F216" i="21"/>
  <c r="P216" i="21"/>
  <c r="S216" i="21"/>
  <c r="V216" i="21"/>
  <c r="AD216" i="21"/>
  <c r="AE216" i="21"/>
  <c r="H216" i="21"/>
  <c r="O216" i="21"/>
  <c r="R216" i="21"/>
  <c r="T216" i="21"/>
  <c r="U216" i="21"/>
  <c r="W216" i="21"/>
  <c r="X216" i="21"/>
  <c r="G216" i="21"/>
  <c r="M216" i="21"/>
  <c r="B87" i="15" l="1"/>
  <c r="B28" i="22" l="1"/>
  <c r="B26" i="22"/>
  <c r="B25" i="22"/>
  <c r="B24" i="22"/>
  <c r="B23" i="22"/>
  <c r="B22" i="22"/>
  <c r="B19" i="22"/>
  <c r="B16" i="22"/>
  <c r="E53" i="22" s="1"/>
  <c r="B15" i="22"/>
  <c r="B10" i="22"/>
  <c r="B8" i="22"/>
  <c r="B6" i="22"/>
  <c r="B4" i="22"/>
  <c r="B2" i="22"/>
  <c r="C38" i="21"/>
  <c r="B27" i="22" s="1"/>
  <c r="C28" i="21"/>
  <c r="B14" i="22" s="1"/>
  <c r="C24" i="21"/>
  <c r="B11" i="22" s="1"/>
  <c r="C22" i="21"/>
  <c r="B9" i="22" s="1"/>
  <c r="C25" i="21" l="1"/>
  <c r="B12" i="22" s="1"/>
  <c r="C20" i="21"/>
  <c r="B7" i="22" s="1"/>
  <c r="C13" i="21"/>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C57" i="21" l="1"/>
  <c r="C56" i="21"/>
  <c r="B151" i="21"/>
  <c r="B153" i="21" s="1"/>
  <c r="B3" i="22"/>
  <c r="B152" i="21" l="1"/>
  <c r="E50" i="22"/>
  <c r="E31" i="22"/>
  <c r="D31" i="22"/>
  <c r="C17" i="21"/>
  <c r="B5" i="22" s="1"/>
  <c r="E57" i="22" l="1"/>
  <c r="D32" i="22"/>
  <c r="E32" i="22"/>
  <c r="C32" i="21"/>
  <c r="B21" i="22" s="1"/>
  <c r="C72" i="21" l="1"/>
  <c r="C71" i="21"/>
  <c r="C31" i="21" l="1"/>
  <c r="B20" i="22" s="1"/>
  <c r="C114" i="21"/>
  <c r="C113" i="21"/>
  <c r="C87" i="21"/>
  <c r="F100" i="21" s="1"/>
  <c r="C116" i="21" l="1"/>
  <c r="C99" i="21"/>
  <c r="F99" i="21"/>
  <c r="C100" i="21"/>
  <c r="C115" i="21"/>
  <c r="C117" i="21" l="1"/>
  <c r="C52" i="21" s="1"/>
  <c r="F80" i="22" l="1" a="1"/>
  <c r="F80" i="22" s="1"/>
  <c r="E24" i="21"/>
  <c r="A7" i="26"/>
  <c r="A8" i="26" s="1"/>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C83" i="22" l="1"/>
  <c r="H11" i="22"/>
  <c r="B39" i="22"/>
  <c r="B43" i="22"/>
  <c r="B44" i="22"/>
  <c r="B59" i="22"/>
  <c r="B60" i="22"/>
  <c r="C97" i="22"/>
  <c r="C95" i="22"/>
  <c r="C91" i="22"/>
  <c r="C90" i="22"/>
  <c r="C89" i="22"/>
  <c r="C87" i="22"/>
  <c r="C84" i="22"/>
  <c r="H83" i="22" a="1"/>
  <c r="H83" i="22" s="1"/>
  <c r="G83" i="22" a="1"/>
  <c r="G83" i="22" s="1"/>
  <c r="F83" i="22" a="1"/>
  <c r="F83" i="22" s="1"/>
  <c r="H82" i="22" a="1"/>
  <c r="H82" i="22" s="1"/>
  <c r="G82" i="22" a="1"/>
  <c r="G82" i="22" s="1"/>
  <c r="F82" i="22" a="1"/>
  <c r="F82" i="22" s="1"/>
  <c r="H81" i="22" a="1"/>
  <c r="H81" i="22" s="1"/>
  <c r="F81" i="22" a="1"/>
  <c r="F81" i="22" s="1"/>
  <c r="H80" i="22" a="1"/>
  <c r="H80" i="22" s="1"/>
  <c r="L39" i="22"/>
  <c r="C93" i="22"/>
  <c r="C80" i="22"/>
  <c r="G80" i="22" s="1" a="1"/>
  <c r="G80" i="22" s="1"/>
  <c r="E62" i="22" l="1"/>
  <c r="D62" i="22"/>
  <c r="L145" i="21"/>
  <c r="L144" i="21"/>
  <c r="I145" i="21"/>
  <c r="I144" i="21"/>
  <c r="F144" i="21"/>
  <c r="F145" i="21"/>
  <c r="C145" i="21"/>
  <c r="C144" i="21"/>
  <c r="C86" i="21"/>
  <c r="C93" i="21" s="1"/>
  <c r="I128" i="21"/>
  <c r="I127" i="21"/>
  <c r="C127" i="21"/>
  <c r="F128" i="21"/>
  <c r="L127" i="21"/>
  <c r="C88" i="21"/>
  <c r="C128" i="21"/>
  <c r="F127" i="21"/>
  <c r="L128" i="21"/>
  <c r="C82" i="22"/>
  <c r="C81" i="22"/>
  <c r="C88" i="22"/>
  <c r="C85" i="22"/>
  <c r="C92" i="22"/>
  <c r="C86" i="22"/>
  <c r="C94" i="22"/>
  <c r="C96" i="22"/>
  <c r="C26" i="21"/>
  <c r="B13" i="22" s="1"/>
  <c r="C69" i="21"/>
  <c r="F92" i="21" l="1"/>
  <c r="F94" i="21" s="1"/>
  <c r="F93" i="21"/>
  <c r="F95" i="21" s="1"/>
  <c r="C120" i="21"/>
  <c r="L92" i="21"/>
  <c r="L94" i="21" s="1"/>
  <c r="I93" i="21"/>
  <c r="I95" i="21" s="1"/>
  <c r="L93" i="21"/>
  <c r="L95" i="21" s="1"/>
  <c r="C92" i="21"/>
  <c r="C94" i="21" s="1"/>
  <c r="I92" i="21"/>
  <c r="I94" i="21" s="1"/>
  <c r="C107" i="21"/>
  <c r="C109" i="21" s="1"/>
  <c r="C106" i="21"/>
  <c r="C108" i="21" s="1"/>
  <c r="C121" i="21"/>
  <c r="F121" i="21"/>
  <c r="I120" i="21"/>
  <c r="I136" i="21"/>
  <c r="I121" i="21"/>
  <c r="F120" i="21"/>
  <c r="F136" i="21"/>
  <c r="C136" i="21"/>
  <c r="I135" i="21"/>
  <c r="F135" i="21"/>
  <c r="C135" i="21"/>
  <c r="C95" i="21"/>
  <c r="F102" i="21"/>
  <c r="F101" i="21"/>
  <c r="G81" i="22" a="1"/>
  <c r="G81" i="22" s="1"/>
  <c r="L35" i="22" s="1" a="1"/>
  <c r="L35" i="22" s="1"/>
  <c r="C96" i="21" l="1"/>
  <c r="O92" i="21" s="1"/>
  <c r="F103" i="21"/>
  <c r="I96" i="21"/>
  <c r="O94" i="21" s="1"/>
  <c r="C110" i="21"/>
  <c r="L96" i="21"/>
  <c r="O95" i="21" s="1"/>
  <c r="F96" i="21"/>
  <c r="O93" i="21" s="1"/>
  <c r="C47" i="21" s="1"/>
  <c r="C102" i="21"/>
  <c r="C101" i="21"/>
  <c r="C63" i="21"/>
  <c r="B50" i="22" s="1"/>
  <c r="D50" i="22" s="1"/>
  <c r="B57" i="22"/>
  <c r="C73" i="22" s="1"/>
  <c r="C73" i="21"/>
  <c r="B61" i="22" s="1"/>
  <c r="C74" i="21"/>
  <c r="B62" i="22" s="1"/>
  <c r="C44" i="21"/>
  <c r="B31" i="22" s="1"/>
  <c r="C69" i="22" l="1"/>
  <c r="C75" i="22"/>
  <c r="C68" i="22"/>
  <c r="C74" i="22"/>
  <c r="D61" i="22"/>
  <c r="B66" i="22"/>
  <c r="B72" i="22"/>
  <c r="C67" i="22"/>
  <c r="D57" i="22"/>
  <c r="B34" i="22"/>
  <c r="C49" i="21"/>
  <c r="B36" i="22" s="1"/>
  <c r="C103" i="21"/>
  <c r="F137" i="21"/>
  <c r="C137" i="21"/>
  <c r="C138" i="21"/>
  <c r="I138" i="21"/>
  <c r="I137" i="21"/>
  <c r="F138" i="21"/>
  <c r="I129" i="21"/>
  <c r="L129" i="21"/>
  <c r="I130" i="21"/>
  <c r="F130" i="21"/>
  <c r="F129" i="21"/>
  <c r="C130" i="21"/>
  <c r="C129" i="21"/>
  <c r="C122" i="21"/>
  <c r="L130" i="21"/>
  <c r="I123" i="21"/>
  <c r="I122" i="21"/>
  <c r="F123" i="21"/>
  <c r="F122" i="21"/>
  <c r="C123" i="21"/>
  <c r="F131" i="21" l="1"/>
  <c r="C55" i="21" s="1"/>
  <c r="C131" i="21"/>
  <c r="L131" i="21"/>
  <c r="I131" i="21"/>
  <c r="C48" i="21"/>
  <c r="B35" i="22" s="1"/>
  <c r="E37" i="22" s="1"/>
  <c r="C139" i="21"/>
  <c r="L135" i="21" s="1"/>
  <c r="I139" i="21"/>
  <c r="L137" i="21" s="1"/>
  <c r="F139" i="21"/>
  <c r="L136" i="21" s="1"/>
  <c r="C124" i="21"/>
  <c r="L120" i="21" s="1"/>
  <c r="I124" i="21"/>
  <c r="L122" i="21" s="1"/>
  <c r="F124" i="21"/>
  <c r="L121" i="21" s="1"/>
  <c r="D81" i="21"/>
  <c r="D80" i="21"/>
  <c r="D79" i="21"/>
  <c r="C66" i="21"/>
  <c r="B53" i="22" s="1"/>
  <c r="D53" i="22" s="1"/>
  <c r="C78" i="21"/>
  <c r="C59" i="21" l="1"/>
  <c r="B46" i="22" s="1"/>
  <c r="C54" i="21"/>
  <c r="B41" i="22" s="1"/>
  <c r="C50" i="21"/>
  <c r="B37" i="22" s="1"/>
  <c r="D37" i="22" s="1"/>
  <c r="L147" i="21"/>
  <c r="L146" i="21"/>
  <c r="I147" i="21"/>
  <c r="I146" i="21"/>
  <c r="F147" i="21"/>
  <c r="F146" i="21"/>
  <c r="C147" i="21"/>
  <c r="C146" i="21"/>
  <c r="B42" i="22"/>
  <c r="E45" i="22" l="1"/>
  <c r="E51" i="22" s="1"/>
  <c r="F148" i="21"/>
  <c r="C60" i="21" s="1"/>
  <c r="I148" i="21"/>
  <c r="C148" i="21"/>
  <c r="L148" i="21"/>
  <c r="C58" i="21"/>
  <c r="B45" i="22" l="1"/>
  <c r="B75" i="22" s="1"/>
  <c r="C81" i="21"/>
  <c r="E81" i="21" s="1"/>
  <c r="B47" i="22"/>
  <c r="E48" i="22" s="1"/>
  <c r="E52" i="22" s="1"/>
  <c r="E54" i="22" s="1"/>
  <c r="C61" i="21"/>
  <c r="C64" i="21"/>
  <c r="B51" i="22" s="1"/>
  <c r="D51" i="22" l="1"/>
  <c r="B69" i="22"/>
  <c r="D69" i="22" s="1"/>
  <c r="D45" i="22"/>
  <c r="B48" i="22"/>
  <c r="B74" i="22" s="1"/>
  <c r="C65" i="21"/>
  <c r="B52" i="22" s="1"/>
  <c r="D52" i="22" s="1"/>
  <c r="C80" i="21"/>
  <c r="E80" i="21" s="1"/>
  <c r="B68" i="22" l="1"/>
  <c r="D68" i="22" s="1"/>
  <c r="D48" i="22"/>
  <c r="C67" i="21"/>
  <c r="B54" i="22" s="1"/>
  <c r="B73" i="22" s="1"/>
  <c r="B67" i="22" l="1"/>
  <c r="D67" i="22" s="1"/>
  <c r="D54" i="22"/>
  <c r="C79" i="21"/>
  <c r="E79" i="21" s="1"/>
  <c r="C45" i="21" l="1"/>
  <c r="B32" i="22" s="1"/>
  <c r="C66" i="22" l="1"/>
  <c r="D66" i="22" s="1"/>
  <c r="C72" i="22"/>
  <c r="D78" i="21"/>
  <c r="E78"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tc={ABC8CDD0-9C17-4B8E-9AB3-D79B48FF4885}</author>
  </authors>
  <commentList>
    <comment ref="B11" authorId="0" shapeId="0" xr:uid="{ABC8CDD0-9C17-4B8E-9AB3-D79B48FF4885}">
      <text>
        <t>[Threaded comment]
Your version of Excel allows you to read this threaded comment; however, any edits to it will get removed if the file is opened in a newer version of Excel. Learn more: https://go.microsoft.com/fwlink/?linkid=870924
Comment:
    Note this is different from “Highway Loading” tab</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cellMetadata count="1">
    <bk>
      <rc t="1" v="0"/>
    </bk>
  </cellMetadata>
  <valueMetadata count="11">
    <bk>
      <rc t="2" v="0"/>
    </bk>
    <bk>
      <rc t="2" v="1"/>
    </bk>
    <bk>
      <rc t="2" v="2"/>
    </bk>
    <bk>
      <rc t="2" v="3"/>
    </bk>
    <bk>
      <rc t="2" v="4"/>
    </bk>
    <bk>
      <rc t="2" v="5"/>
    </bk>
    <bk>
      <rc t="2" v="6"/>
    </bk>
    <bk>
      <rc t="2" v="7"/>
    </bk>
    <bk>
      <rc t="2" v="8"/>
    </bk>
    <bk>
      <rc t="2" v="9"/>
    </bk>
    <bk>
      <rc t="2" v="10"/>
    </bk>
  </valueMetadata>
</metadata>
</file>

<file path=xl/sharedStrings.xml><?xml version="1.0" encoding="utf-8"?>
<sst xmlns="http://schemas.openxmlformats.org/spreadsheetml/2006/main" count="1624" uniqueCount="522">
  <si>
    <t>Pipe and Operational Characteristics</t>
  </si>
  <si>
    <t>in</t>
  </si>
  <si>
    <t>SMYS</t>
  </si>
  <si>
    <t>psi</t>
  </si>
  <si>
    <t>Longitudinal Joint Factor</t>
  </si>
  <si>
    <t>Poisson's Ratio</t>
  </si>
  <si>
    <t>Installation and Site Characteristics</t>
  </si>
  <si>
    <t>lb/ft3</t>
  </si>
  <si>
    <t>ft</t>
  </si>
  <si>
    <t>inch</t>
  </si>
  <si>
    <t>Result</t>
  </si>
  <si>
    <t>Allowable Effective Stress</t>
  </si>
  <si>
    <t>Fatigue Resistance of Girth Welds</t>
  </si>
  <si>
    <t>Fatigue Resistance of Longitudinal Welds</t>
  </si>
  <si>
    <t>Stress</t>
  </si>
  <si>
    <t>Pass/Fail</t>
  </si>
  <si>
    <t>Barlow Stress</t>
  </si>
  <si>
    <t>Effective Stress</t>
  </si>
  <si>
    <t>Girth Welds</t>
  </si>
  <si>
    <t>Long. Welds</t>
  </si>
  <si>
    <t>Data</t>
  </si>
  <si>
    <t>tw/D</t>
  </si>
  <si>
    <t>H/Bd</t>
  </si>
  <si>
    <t>Bd/D</t>
  </si>
  <si>
    <t>Allowable Hoop Stress</t>
  </si>
  <si>
    <t>H</t>
  </si>
  <si>
    <t>D</t>
  </si>
  <si>
    <t>Calculated (psi)</t>
  </si>
  <si>
    <t>Allowable (psi)</t>
  </si>
  <si>
    <t>Source</t>
  </si>
  <si>
    <t>Refer To "Stiffness Factor - Earth Load" Chart</t>
  </si>
  <si>
    <t>Refer To "Burial Factor - Earth Load" Chart</t>
  </si>
  <si>
    <t>Refer To "Excavation Factor - Earth Load" Chart</t>
  </si>
  <si>
    <t>Refer To "Impact Factor" Chart</t>
  </si>
  <si>
    <t>Refer To "Stiffness Factor - Circum." Chart</t>
  </si>
  <si>
    <t>Refer To "Geometry Factor - Circum." Chart</t>
  </si>
  <si>
    <t>Refer To "Stiffness Factor - Long." Chart</t>
  </si>
  <si>
    <t>Refer To "Geometry Factor - Long." Chart</t>
  </si>
  <si>
    <t>Refer To "Fatigue Endurance Limits Chart" for SFG</t>
  </si>
  <si>
    <t>Refer To "Fatigue Endurance Limits Chart" for SFL</t>
  </si>
  <si>
    <t>Stiffness Factor - Earth Load</t>
  </si>
  <si>
    <t>Burial Factor - Earth Load</t>
  </si>
  <si>
    <t>Excavation Factor - Earth Load</t>
  </si>
  <si>
    <t>Impact Factor</t>
  </si>
  <si>
    <t>Stiffness Factor - Circum.</t>
  </si>
  <si>
    <t>Geometry Factor - Circum.</t>
  </si>
  <si>
    <t>Stiffness Factor - Long.</t>
  </si>
  <si>
    <t>Geometry Factor - Long.</t>
  </si>
  <si>
    <t>Fatigue Endurance Limits</t>
  </si>
  <si>
    <t>Charts</t>
  </si>
  <si>
    <t>Soil Type Options</t>
  </si>
  <si>
    <t>Design Class Location</t>
  </si>
  <si>
    <t>Soft to medium clays and silts with high plasticities</t>
  </si>
  <si>
    <t>Soft to medium clays and silts with low to medium plasticities</t>
  </si>
  <si>
    <t>Stiff to very stiff clays and silts</t>
  </si>
  <si>
    <t>Medium Dense sands and gravels</t>
  </si>
  <si>
    <t>Dense to very dense sands and gravels</t>
  </si>
  <si>
    <t>E'</t>
  </si>
  <si>
    <t>Er</t>
  </si>
  <si>
    <t>E' (psi)</t>
  </si>
  <si>
    <t>Er (psi)</t>
  </si>
  <si>
    <t>Loose sands and gravels</t>
  </si>
  <si>
    <t>Design Factor</t>
  </si>
  <si>
    <t>Typically equal to 1 near ambient temperature</t>
  </si>
  <si>
    <t>Soil Type</t>
  </si>
  <si>
    <t>Typically equal to 120 PCF</t>
  </si>
  <si>
    <t>Typically equal to D+2</t>
  </si>
  <si>
    <t>Seamless</t>
  </si>
  <si>
    <t>Furnace Butt Welded</t>
  </si>
  <si>
    <t>Double Submerged Arc Welded</t>
  </si>
  <si>
    <t>Electric-Fusion Welded</t>
  </si>
  <si>
    <t>Submerged Arc Welded</t>
  </si>
  <si>
    <t>Unknown Pipe Over 4 Inches</t>
  </si>
  <si>
    <t>Unknown Pipe 4 Inches or Less</t>
  </si>
  <si>
    <t>Pipe Class</t>
  </si>
  <si>
    <t>2 Minimum For RR crossings</t>
  </si>
  <si>
    <t>Steel</t>
  </si>
  <si>
    <t>Typical Material Properties</t>
  </si>
  <si>
    <t>Material</t>
  </si>
  <si>
    <t>Aluminum</t>
  </si>
  <si>
    <t>Cast Iron</t>
  </si>
  <si>
    <t>Wood (Fir)</t>
  </si>
  <si>
    <t>Brass</t>
  </si>
  <si>
    <t>Copper</t>
  </si>
  <si>
    <t>Bronze</t>
  </si>
  <si>
    <t>Magnesium</t>
  </si>
  <si>
    <t>Glass</t>
  </si>
  <si>
    <t>Polystyrene</t>
  </si>
  <si>
    <t>Elastic Modulus (psi)</t>
  </si>
  <si>
    <t>Coefficient of Thermal Expansion(1/10^-6F</t>
  </si>
  <si>
    <t>Pipe Material</t>
  </si>
  <si>
    <t>PE Mechanical Reference Handbook</t>
  </si>
  <si>
    <t>tw - Wall Thickness</t>
  </si>
  <si>
    <t>T - Temperature Derating Factor</t>
  </si>
  <si>
    <t>T2 - Operating Temperature</t>
  </si>
  <si>
    <t>P - Operating Pressure</t>
  </si>
  <si>
    <t>γ - Average Unit Weight of Soil</t>
  </si>
  <si>
    <t>H - Pipe Depth</t>
  </si>
  <si>
    <t>Bd - Bored Diameter</t>
  </si>
  <si>
    <t>T1 - Installation Temperature</t>
  </si>
  <si>
    <t>Khe - Stiffness Factor for Earth Load Circumferential Stress</t>
  </si>
  <si>
    <t>Be - Burial Factor for Earth Load Circumferential Stress</t>
  </si>
  <si>
    <t>Ee - Excavation Factor for Earth Load Circumferential Stress</t>
  </si>
  <si>
    <t>SHe - Circumferential Stress from Earth Load</t>
  </si>
  <si>
    <t>Fi - Impact Factor</t>
  </si>
  <si>
    <t>Shi - Circumferential Stress Due to Internal Pressurization</t>
  </si>
  <si>
    <t>S1 - Maximum Circumferential Stress</t>
  </si>
  <si>
    <t>S2 - Maximum Longitudinal Stress</t>
  </si>
  <si>
    <t>S3 - Maximum Radial Stress Result</t>
  </si>
  <si>
    <t>Seff - Total Effective Stress</t>
  </si>
  <si>
    <t>Hand Calc Formulas</t>
  </si>
  <si>
    <t>Hand Calc Results</t>
  </si>
  <si>
    <t>Shi(Barlow) - Hoop Stress</t>
  </si>
  <si>
    <t>Hand Calcs Formulas For Stresses</t>
  </si>
  <si>
    <t>Spreadsheet Calculation</t>
  </si>
  <si>
    <t>F - Design Factor</t>
  </si>
  <si>
    <t/>
  </si>
  <si>
    <t>Values Used in Charts</t>
  </si>
  <si>
    <t>Values Applicable</t>
  </si>
  <si>
    <t>α - Coefficient of thermal expansion</t>
  </si>
  <si>
    <t>E - Longitudinal Joint Factor</t>
  </si>
  <si>
    <t>E' - Modulus of Soil Reaction</t>
  </si>
  <si>
    <t>Er - Resilient Modulus</t>
  </si>
  <si>
    <t>Allowable Stress of Longitudinal Welds</t>
  </si>
  <si>
    <t>Allowable Stress of Girth Welds</t>
  </si>
  <si>
    <t>Es - Young's Modulus</t>
  </si>
  <si>
    <t>v - Poisson's Ratio</t>
  </si>
  <si>
    <t>D - Pipe Outside Diameter</t>
  </si>
  <si>
    <t>Pavement Type</t>
  </si>
  <si>
    <t>Flexible</t>
  </si>
  <si>
    <t>GHh - Highway Geometry Factor for Cyclic Circumferential Stress</t>
  </si>
  <si>
    <t>KHh - Highway Stiffness Factor for Cyclic Circumferential Stress</t>
  </si>
  <si>
    <t>SHh - Highway Cyclic Circumferential Stress</t>
  </si>
  <si>
    <t>KLh - Highway Stiffness Factor Cyclic Longitudinal Stress</t>
  </si>
  <si>
    <t>GLh - Highway Geometry Factor Cyclic Longitudinal Stress</t>
  </si>
  <si>
    <t>SLh - Highway Cyclic Longitudinal Stress</t>
  </si>
  <si>
    <t>Refer To "Pavement and Axle Type" Chart</t>
  </si>
  <si>
    <t>Pavement and Axle Type</t>
  </si>
  <si>
    <t>Rigid</t>
  </si>
  <si>
    <t>None</t>
  </si>
  <si>
    <t>Critical Case</t>
  </si>
  <si>
    <t>Tandem Axle</t>
  </si>
  <si>
    <t>Single Axle</t>
  </si>
  <si>
    <t>Critical Configuration</t>
  </si>
  <si>
    <t>Typically Tandem Axle</t>
  </si>
  <si>
    <t>R - Highway Pavement Type Factor</t>
  </si>
  <si>
    <t>L - Axle Configuration Factor</t>
  </si>
  <si>
    <t>Design Wheel Load</t>
  </si>
  <si>
    <t>Pipe Size</t>
  </si>
  <si>
    <t>Outside Diameter</t>
  </si>
  <si>
    <t>1/8</t>
  </si>
  <si>
    <t>1/4</t>
  </si>
  <si>
    <t>3/8</t>
  </si>
  <si>
    <t>1/2</t>
  </si>
  <si>
    <t>3/4</t>
  </si>
  <si>
    <t>1-1/4</t>
  </si>
  <si>
    <t>1-1/2</t>
  </si>
  <si>
    <t>2-1/2</t>
  </si>
  <si>
    <t>3-1/2</t>
  </si>
  <si>
    <t>Pipe Diameter</t>
  </si>
  <si>
    <t>Typically</t>
  </si>
  <si>
    <t>SMYS's</t>
  </si>
  <si>
    <t>60000</t>
  </si>
  <si>
    <t>°F</t>
  </si>
  <si>
    <t>1/°F</t>
  </si>
  <si>
    <t>65000</t>
  </si>
  <si>
    <t>Technical - Tool</t>
  </si>
  <si>
    <t>Gas Pipeline</t>
  </si>
  <si>
    <t>HDR Engineering Inc.</t>
  </si>
  <si>
    <t xml:space="preserve"> Approved By:</t>
  </si>
  <si>
    <t xml:space="preserve">Rev 0 </t>
  </si>
  <si>
    <t>Best Practice</t>
  </si>
  <si>
    <t>Issue Date:</t>
  </si>
  <si>
    <t>Author:</t>
  </si>
  <si>
    <t>Barry Brookins</t>
  </si>
  <si>
    <t>Owner:</t>
  </si>
  <si>
    <t>Revision History</t>
  </si>
  <si>
    <t>Rev</t>
  </si>
  <si>
    <t>Description of Change</t>
  </si>
  <si>
    <t>Effective Date</t>
  </si>
  <si>
    <t>Initial Release</t>
  </si>
  <si>
    <t>For questions regarding this Spreadsheet contact</t>
  </si>
  <si>
    <t>HDR Engineering Inc. - Rosemont, IL</t>
  </si>
  <si>
    <t>barry.brookins@hdrinc.com</t>
  </si>
  <si>
    <t>or</t>
  </si>
  <si>
    <t>Jon Liechti</t>
  </si>
  <si>
    <t>HDR Engineering Inc. - Tulsa, OK</t>
  </si>
  <si>
    <t>918.281.4330</t>
  </si>
  <si>
    <t>Jonathan.Liechti@hdrinc.com</t>
  </si>
  <si>
    <t>Conventions for this spreadsheet</t>
  </si>
  <si>
    <t>Convention</t>
  </si>
  <si>
    <t>Meaning</t>
  </si>
  <si>
    <t>Black on White</t>
  </si>
  <si>
    <t>Formulas or Constants (Not to be updated)</t>
  </si>
  <si>
    <t>Black on Yellow</t>
  </si>
  <si>
    <t>Data Entry (Overwrites) - Unprotected Cell</t>
  </si>
  <si>
    <t>Table of Contents</t>
  </si>
  <si>
    <t>SHEET</t>
  </si>
  <si>
    <t>Contents</t>
  </si>
  <si>
    <t>Cover</t>
  </si>
  <si>
    <t>Best Practice approval and contact information</t>
  </si>
  <si>
    <t>Instructions</t>
  </si>
  <si>
    <t>Spreadsheet Instructions</t>
  </si>
  <si>
    <t>Info</t>
  </si>
  <si>
    <t>User Information</t>
  </si>
  <si>
    <t>Hand Calcs</t>
  </si>
  <si>
    <t>QC Hand-Calc</t>
  </si>
  <si>
    <t>Tables</t>
  </si>
  <si>
    <t>Tables used for dropdowns and VLOOKUP's within the calculation tab</t>
  </si>
  <si>
    <t>Sources</t>
  </si>
  <si>
    <t>Sources used for calculations</t>
  </si>
  <si>
    <t>ReadMe</t>
  </si>
  <si>
    <t>1 PURPOSE</t>
  </si>
  <si>
    <t>2 DEFINITIONS</t>
  </si>
  <si>
    <t>3 PROCEDURES</t>
  </si>
  <si>
    <t>Purpose</t>
  </si>
  <si>
    <t>Find</t>
  </si>
  <si>
    <t>Description</t>
  </si>
  <si>
    <t>Variable</t>
  </si>
  <si>
    <t>Unit</t>
  </si>
  <si>
    <t>Comment</t>
  </si>
  <si>
    <t>Girth Weld Stress</t>
  </si>
  <si>
    <t>Long. Weld Stress</t>
  </si>
  <si>
    <t>SHi</t>
  </si>
  <si>
    <t>Seff</t>
  </si>
  <si>
    <t>SLh</t>
  </si>
  <si>
    <t>SHh</t>
  </si>
  <si>
    <t>Given</t>
  </si>
  <si>
    <t>Value</t>
  </si>
  <si>
    <t>Equations</t>
  </si>
  <si>
    <t>Calculations</t>
  </si>
  <si>
    <r>
      <rPr>
        <b/>
        <sz val="11"/>
        <color theme="1"/>
        <rFont val="Calibri"/>
        <family val="2"/>
        <scheme val="minor"/>
      </rPr>
      <t>Hoop Stress (Barlow)</t>
    </r>
    <r>
      <rPr>
        <sz val="11"/>
        <color theme="1"/>
        <rFont val="Calibri"/>
        <family val="2"/>
        <scheme val="minor"/>
      </rPr>
      <t xml:space="preserve"> = Pressure * Pipe Diameter / (2 * Wall Thickness)
</t>
    </r>
    <r>
      <rPr>
        <b/>
        <sz val="11"/>
        <color theme="1"/>
        <rFont val="Calibri"/>
        <family val="2"/>
        <scheme val="minor"/>
      </rPr>
      <t xml:space="preserve">Allowable Hoop Stress = </t>
    </r>
    <r>
      <rPr>
        <sz val="11"/>
        <color theme="1"/>
        <rFont val="Calibri"/>
        <family val="2"/>
        <scheme val="minor"/>
      </rPr>
      <t xml:space="preserve">Design Factor * Longitudinal Joint Factor * Temperature Derating Factor * SMYS
</t>
    </r>
    <r>
      <rPr>
        <b/>
        <sz val="11"/>
        <color theme="1"/>
        <rFont val="Calibri"/>
        <family val="2"/>
        <scheme val="minor"/>
      </rPr>
      <t>Circumferential Stress</t>
    </r>
    <r>
      <rPr>
        <sz val="11"/>
        <color theme="1"/>
        <rFont val="Calibri"/>
        <family val="2"/>
        <scheme val="minor"/>
      </rPr>
      <t xml:space="preserve"> </t>
    </r>
    <r>
      <rPr>
        <b/>
        <sz val="11"/>
        <color theme="1"/>
        <rFont val="Calibri"/>
        <family val="2"/>
        <scheme val="minor"/>
      </rPr>
      <t xml:space="preserve">from Earth Load </t>
    </r>
    <r>
      <rPr>
        <sz val="11"/>
        <color theme="1"/>
        <rFont val="Calibri"/>
        <family val="2"/>
        <scheme val="minor"/>
      </rPr>
      <t xml:space="preserve">= Stiffness Factor for Earth Load Circumferential Stress * Burial Factor for Earth Load Circumferential Stress * Excavation Factor for Earth Load Circumferential Stress * Average Unit Weight of Soil * Pipe Diameter
</t>
    </r>
    <r>
      <rPr>
        <b/>
        <sz val="11"/>
        <color theme="1"/>
        <rFont val="Calibri"/>
        <family val="2"/>
        <scheme val="minor"/>
      </rPr>
      <t>Highway Cyclic Circumferential Stress</t>
    </r>
    <r>
      <rPr>
        <sz val="11"/>
        <color theme="1"/>
        <rFont val="Calibri"/>
        <family val="2"/>
        <scheme val="minor"/>
      </rPr>
      <t xml:space="preserve"> = Highway Stiffness Factor for Cyclic Circumferential Stress * Highway Geometry Factor for Cyclic Circumferential Stress * Highway Pavement Type Factor * Axle Configuration Factor * Impact Factor * Design Wheel Load
</t>
    </r>
    <r>
      <rPr>
        <b/>
        <sz val="11"/>
        <color theme="1"/>
        <rFont val="Calibri"/>
        <family val="2"/>
        <scheme val="minor"/>
      </rPr>
      <t xml:space="preserve">Highway Cyclic Longitudinal Stress = </t>
    </r>
    <r>
      <rPr>
        <sz val="11"/>
        <color theme="1"/>
        <rFont val="Calibri"/>
        <family val="2"/>
        <scheme val="minor"/>
      </rPr>
      <t xml:space="preserve">Highway Stiffness Factor for Cyclic Longitudinal Stress * Highway Geometry Factor for Cyclic Longitudinal Stress * Highway Pavement Type Factor * Axle Configuration Factor * Impact Factor * Design Wheel Load
</t>
    </r>
    <r>
      <rPr>
        <b/>
        <sz val="11"/>
        <color theme="1"/>
        <rFont val="Calibri"/>
        <family val="2"/>
        <scheme val="minor"/>
      </rPr>
      <t>Circumferential Stress Due to Internal Pressurization</t>
    </r>
    <r>
      <rPr>
        <sz val="11"/>
        <color theme="1"/>
        <rFont val="Calibri"/>
        <family val="2"/>
        <scheme val="minor"/>
      </rPr>
      <t xml:space="preserve"> = Pressure * (Pipe Diameter - Wall Thickness) / (2 * Wall  Thickness)
</t>
    </r>
    <r>
      <rPr>
        <b/>
        <sz val="11"/>
        <color theme="1"/>
        <rFont val="Calibri"/>
        <family val="2"/>
        <scheme val="minor"/>
      </rPr>
      <t xml:space="preserve">Maximum Circumferential Stress = </t>
    </r>
    <r>
      <rPr>
        <sz val="11"/>
        <color theme="1"/>
        <rFont val="Calibri"/>
        <family val="2"/>
        <scheme val="minor"/>
      </rPr>
      <t xml:space="preserve"> Circumferential Stress from Earth Load + Highway Cyclic Circumferential Stress + Circumferential Stress Due to Internal Pressurization
</t>
    </r>
    <r>
      <rPr>
        <b/>
        <sz val="11"/>
        <color theme="1"/>
        <rFont val="Calibri"/>
        <family val="2"/>
        <scheme val="minor"/>
      </rPr>
      <t xml:space="preserve">Maximum Longitudinal Stress = </t>
    </r>
    <r>
      <rPr>
        <sz val="11"/>
        <color theme="1"/>
        <rFont val="Calibri"/>
        <family val="2"/>
        <scheme val="minor"/>
      </rPr>
      <t xml:space="preserve">Highway Cyclic Longitudinal Stress - Young's Modulus * Coeffient of Thermal Expansion * (Installation Temp - Operating Temp) + Poisson's Ratio * (Circumferential Stress from Earth Load + Circumferential Stress Due to Internal Pressurization)
</t>
    </r>
    <r>
      <rPr>
        <b/>
        <sz val="11"/>
        <color theme="1"/>
        <rFont val="Calibri"/>
        <family val="2"/>
        <scheme val="minor"/>
      </rPr>
      <t xml:space="preserve">Maximum Radial Stress Result = </t>
    </r>
    <r>
      <rPr>
        <sz val="11"/>
        <color theme="1"/>
        <rFont val="Calibri"/>
        <family val="2"/>
        <scheme val="minor"/>
      </rPr>
      <t xml:space="preserve">-1 * Pressure
</t>
    </r>
    <r>
      <rPr>
        <b/>
        <sz val="11"/>
        <color theme="1"/>
        <rFont val="Calibri"/>
        <family val="2"/>
        <scheme val="minor"/>
      </rPr>
      <t xml:space="preserve">Total Effective Stress = </t>
    </r>
    <r>
      <rPr>
        <sz val="11"/>
        <color theme="1"/>
        <rFont val="Calibri"/>
        <family val="2"/>
        <scheme val="minor"/>
      </rPr>
      <t xml:space="preserve">Sqrt(1/2 * (Maximum Circumferential Stress - Maximum Longitudinal Stress)^2 + (Maximum Longitudinal Stress - Maximum Radial Stress)^2 + (Maximum Radial Stress - Maximum Circumferential Stress)^2)
</t>
    </r>
    <r>
      <rPr>
        <b/>
        <sz val="11"/>
        <color theme="1"/>
        <rFont val="Calibri"/>
        <family val="2"/>
        <scheme val="minor"/>
      </rPr>
      <t xml:space="preserve">Allowable Effective Stress = </t>
    </r>
    <r>
      <rPr>
        <sz val="11"/>
        <color theme="1"/>
        <rFont val="Calibri"/>
        <family val="2"/>
        <scheme val="minor"/>
      </rPr>
      <t xml:space="preserve">SMYS * Design Factor
</t>
    </r>
    <r>
      <rPr>
        <b/>
        <sz val="11"/>
        <color theme="1"/>
        <rFont val="Calibri"/>
        <family val="2"/>
        <scheme val="minor"/>
      </rPr>
      <t xml:space="preserve">Allowable Stress of Girth Welds = </t>
    </r>
    <r>
      <rPr>
        <sz val="11"/>
        <color theme="1"/>
        <rFont val="Calibri"/>
        <family val="2"/>
        <scheme val="minor"/>
      </rPr>
      <t xml:space="preserve">Fatigue Resistance of Girth Welds * Design Factor
</t>
    </r>
    <r>
      <rPr>
        <b/>
        <sz val="11"/>
        <color theme="1"/>
        <rFont val="Calibri"/>
        <family val="2"/>
        <scheme val="minor"/>
      </rPr>
      <t>Allowable Stress of Longitudinal Welds</t>
    </r>
    <r>
      <rPr>
        <sz val="11"/>
        <color theme="1"/>
        <rFont val="Calibri"/>
        <family val="2"/>
        <scheme val="minor"/>
      </rPr>
      <t xml:space="preserve"> = Fatigue Resistance of Longitudinal Welds * Design Factor</t>
    </r>
  </si>
  <si>
    <t>Summary</t>
  </si>
  <si>
    <t>Equal to D+2 if pipe is proposed or within 10 years of installation
Equal to D+1 if pipe is within 10-20 years of installation
Equal to D if pipe was installed greater than 20 years ago</t>
  </si>
  <si>
    <t>The stresses due to internal and external highway loads on a pipeline is determined by first acquiring the allowable and actual Barlow stress, and the circumferntial stress due to the earth load. Then the cyclic circumferential and longitudinal stresses are calculated, followed by the circumferential stress due to internal pressurization. Next, the max circumferential, longitudinal, and radial stresses are calculated. Finally, the actual and allowable effective, girth, and longitudinal stresses are calculated.</t>
  </si>
  <si>
    <t>Hoop Stress (Barlow) = Pressure * Pipe Diameter / (2 * Wall Thickness)</t>
  </si>
  <si>
    <t>Allowable Hoop Stress = Design Factor * Longitudinal Joint Factor * Temperature Derating Factor * SMYS</t>
  </si>
  <si>
    <t>3.2 Calculate the Allowable Hoop Stress:</t>
  </si>
  <si>
    <t>3.1 Calculate the Hoop Stress (Barlow):</t>
  </si>
  <si>
    <t>Circumferential Stress from Earth Load = Stiffness Factor for Earth Load Circumferential Stress * Burial Factor for Earth Load Circumferential Stress * Excavation Factor for Earth Load Circumferential Stress * Average Unit Weight of Soil * Pipe Diameter</t>
  </si>
  <si>
    <t>3.3 Calculate the Circumferential Stress from Earth Load:</t>
  </si>
  <si>
    <t>Highway Cyclic Circumferential Stress = Highway Stiffness Factor for Cyclic Circumferential Stress * Highway Geometry Factor for Cyclic Circumferential Stress * Highway Pavement Type Factor * Axle Configuration Factor * Impact Factor * Design Wheel Load</t>
  </si>
  <si>
    <t>3.4 Calculate the Highway Cyclic Circumferential Stress:</t>
  </si>
  <si>
    <t>Highway Cyclic Longitudinal Stress = Highway Stiffness Factor for Cyclic Longitudinal Stress * Highway Geometry Factor for Cyclic Longitudinal Stress * Highway Pavement Type Factor * Axle Configuration Factor * Impact Factor * Design Wheel Load</t>
  </si>
  <si>
    <t>3.5 Calculate the Highway Cyclic Longitudinal Stress:</t>
  </si>
  <si>
    <t>Circumferential Stress Due to Internal Pressurization = Pressure * (Pipe Diameter - Wall Thickness) / (2 * Wall  Thickness)</t>
  </si>
  <si>
    <t>3.6 Calculate the Circumferential Stress Due to Internal Pressurization:</t>
  </si>
  <si>
    <t>Maximum Circumferential Stress =  Circumferential Stress from Earth Load + Highway Cyclic Circumferential Stress + Circumferential Stress Due to Internal Pressurization</t>
  </si>
  <si>
    <t>3.7 Calculate the Maximum Circumferential Stress:</t>
  </si>
  <si>
    <t>Maximum Longitudinal Stress = Highway Cyclic Longitudinal Stress - Young's Modulus * Coeffient of Thermal Expansion * (Installation Temp - Operating Temp) + Poisson's Ratio * (Circumferential Stress from Earth Load + Circumferential Stress Due to Internal Pressurization)</t>
  </si>
  <si>
    <t>3.8 Calculate the Maximum Longitudinal Stress:</t>
  </si>
  <si>
    <t>Maximum Radial Stress Result = -1 * Pressure</t>
  </si>
  <si>
    <t>3.9 Calculate the Maximum Radial Stress Result:</t>
  </si>
  <si>
    <t>Total Effective Stress = Sqrt(1/2 * (Maximum Circumferential Stress - Maximum Longitudinal Stress)^2 + (Maximum Longitudinal Stress - Maximum Radial Stress)^2 + (Maximum Radial Stress - Maximum Circumferential Stress)^2)</t>
  </si>
  <si>
    <t>3.10 Calculate the Total Effective Stress:</t>
  </si>
  <si>
    <t>Allowable Effective Stress = SMYS * Design Factor</t>
  </si>
  <si>
    <t>3.11 Calculate the Allowable Effective Stress:</t>
  </si>
  <si>
    <t>Allowable Stress of Girth Welds = Fatigue Resistance of Girth Welds * Design Factor</t>
  </si>
  <si>
    <t>3.12 Calculate the Allowable Stress of Girth Welds:</t>
  </si>
  <si>
    <t>Allowable Stress of Longitudinal Welds = Fatigue Resistance of Longitudinal Welds * Design Factor</t>
  </si>
  <si>
    <t>3.13 Calculate the Allowable Stress of Longitudinal Welds:</t>
  </si>
  <si>
    <t>The purpose of this procedure is to check the combined stress of a pipeline due to internal pipeline pressure and external highway loading.</t>
  </si>
  <si>
    <t>API 1102 Highway Loading</t>
  </si>
  <si>
    <t>Originator</t>
  </si>
  <si>
    <t>Checker</t>
  </si>
  <si>
    <t>Reviewer</t>
  </si>
  <si>
    <t>Barry B.</t>
  </si>
  <si>
    <t>Holly E.</t>
  </si>
  <si>
    <t>lbs</t>
  </si>
  <si>
    <t>Burial Factor Earth Load</t>
  </si>
  <si>
    <t>Type A</t>
  </si>
  <si>
    <t>Type B</t>
  </si>
  <si>
    <t>X1</t>
  </si>
  <si>
    <t>X2</t>
  </si>
  <si>
    <t>Y1</t>
  </si>
  <si>
    <t>Y2</t>
  </si>
  <si>
    <t>Burial Factor A</t>
  </si>
  <si>
    <t>Burial Factor A - Load Interpolation From Live Loads Table</t>
  </si>
  <si>
    <t>Burial Factor B - Load Interpolation From Live Loads Table</t>
  </si>
  <si>
    <t>Burial Factor B</t>
  </si>
  <si>
    <t>Excavation Factor</t>
  </si>
  <si>
    <t>R</t>
  </si>
  <si>
    <t>L</t>
  </si>
  <si>
    <t>Highway Pavement Type Factor and Axle Configuration  Factor</t>
  </si>
  <si>
    <t>Depth &lt; 4 ft and Diameter &lt;= 12 inches</t>
  </si>
  <si>
    <t>Depth &lt; 4 ft and Diameter &gt;= 12 inches; Depth &gt; 4 ft for all diameters</t>
  </si>
  <si>
    <t>Flexible Tandem Axle</t>
  </si>
  <si>
    <t>Flexible Single Axle</t>
  </si>
  <si>
    <t>None Tandem Axle</t>
  </si>
  <si>
    <t>Rigid Single Axle</t>
  </si>
  <si>
    <t>Rigid Tandem Axle</t>
  </si>
  <si>
    <t>None Single Axle</t>
  </si>
  <si>
    <t>46000</t>
  </si>
  <si>
    <t>56000</t>
  </si>
  <si>
    <t>SFG</t>
  </si>
  <si>
    <t>Grade</t>
  </si>
  <si>
    <t>Pipe Type</t>
  </si>
  <si>
    <t>SFL</t>
  </si>
  <si>
    <t>Grade and Pipe Type</t>
  </si>
  <si>
    <t>Electric Resistance Welded</t>
  </si>
  <si>
    <t>E = 2 ksi</t>
  </si>
  <si>
    <t>E = .2 ksi</t>
  </si>
  <si>
    <t>E = .5 ksi</t>
  </si>
  <si>
    <t>E = 1 ksi</t>
  </si>
  <si>
    <t>Stiffness Factor for Earth Load Circumferential Stress</t>
  </si>
  <si>
    <t>Stiffness Factor for Earth Load Circumferential Stress - .2 ksi</t>
  </si>
  <si>
    <t>Stiffness Factor for Earth Load Circumferential Stress - .5 ksi</t>
  </si>
  <si>
    <t>Stiffness Factor for Earth Load Circumferential Stress - 1 ksi</t>
  </si>
  <si>
    <t>Stiffness Factor for Earth Load Circumferential Stress - 2 ksi</t>
  </si>
  <si>
    <t>Highway Stiffness Factor for Cyclic Circumferential Stress</t>
  </si>
  <si>
    <t>Er = 5 ksi</t>
  </si>
  <si>
    <t>Er = 10 ksi</t>
  </si>
  <si>
    <t>Er = 20 ksi</t>
  </si>
  <si>
    <t>Highway Stiffness Factor for Cyclic Circumferential Stress - 5 ksi</t>
  </si>
  <si>
    <t>Highway Stiffness Factor for Cyclic Circumferential Stress - 10 ksi</t>
  </si>
  <si>
    <t>Highway Stiffness Factor for Cyclic Circumferential Stress - 20 ksi</t>
  </si>
  <si>
    <t>Highway Geometry Factor for Cyclic Circumferential Stress</t>
  </si>
  <si>
    <t>H = 3' to 4'</t>
  </si>
  <si>
    <t>H = 6'</t>
  </si>
  <si>
    <t>H = 8'</t>
  </si>
  <si>
    <t>H = 10'</t>
  </si>
  <si>
    <t>Highway Geometry Factor for Cyclic Circumferential Stress - 3' to 4'</t>
  </si>
  <si>
    <t>Highway Geometry Factor for Cyclic Circumferential Stress - 6'</t>
  </si>
  <si>
    <t>Highway Geometry Factor for Cyclic Circumferential Stress - 8'</t>
  </si>
  <si>
    <t>Highway Geometry Factor for Cyclic Circumferential Stress - 10'</t>
  </si>
  <si>
    <t>Highway Stiffness Factor for Cyclic Longitudinal Stress - 5 ksi</t>
  </si>
  <si>
    <t>Highway Stiffness Factor for Cyclic Longitudinal Stress - 10 ksi</t>
  </si>
  <si>
    <t>Highway Stiffness Factor for Cyclic Longitudinal Stress - 20 ksi</t>
  </si>
  <si>
    <t>Highway Geometry Factor for Cyclic Longitudinal Stress - 3' to 4'</t>
  </si>
  <si>
    <t>Highway Geometry Factor for Cyclic Longitudinal Stress - 6'</t>
  </si>
  <si>
    <t>Highway Geometry Factor for Cyclic Longitudinal Stress - 8'</t>
  </si>
  <si>
    <t>Highway Geometry Factor for Cyclic Longitudinal Stress - 10'</t>
  </si>
  <si>
    <t>Highway Stiffness Factor for Cyclic Longitudinal Stress</t>
  </si>
  <si>
    <t>Highway Geometry Factor for Cyclic Longitudinal Stress</t>
  </si>
  <si>
    <t>Values Used in Tables</t>
  </si>
  <si>
    <t>Nominal Pipe Diameter</t>
  </si>
  <si>
    <t>4-1/2</t>
  </si>
  <si>
    <t>Source: A53/A53M − 24, Table X.2</t>
  </si>
  <si>
    <t>Actual Pipe Diameter</t>
  </si>
  <si>
    <t>Wall Thickness</t>
  </si>
  <si>
    <t>Selected Nominal Pipe Diameter</t>
  </si>
  <si>
    <t>Wall Thickness Options</t>
  </si>
  <si>
    <t>&lt;--This table is used to populate wall thickness dropdown options based on the pipe diameter that is selected</t>
  </si>
  <si>
    <t>Pipe Specification</t>
  </si>
  <si>
    <t>Grades</t>
  </si>
  <si>
    <t>ASTM A53</t>
  </si>
  <si>
    <t>A</t>
  </si>
  <si>
    <t>B</t>
  </si>
  <si>
    <t>ASTM A106</t>
  </si>
  <si>
    <t>ASTM A333</t>
  </si>
  <si>
    <t>Grade 1</t>
  </si>
  <si>
    <t>Grade 3</t>
  </si>
  <si>
    <t>Grade 4</t>
  </si>
  <si>
    <t>Grade 6</t>
  </si>
  <si>
    <t>Grade 7</t>
  </si>
  <si>
    <t>Grade 8</t>
  </si>
  <si>
    <t>Grade 9</t>
  </si>
  <si>
    <t>Grade 10</t>
  </si>
  <si>
    <t>Grade 11</t>
  </si>
  <si>
    <t>ASTM A671</t>
  </si>
  <si>
    <t>CA55</t>
  </si>
  <si>
    <t>CB60</t>
  </si>
  <si>
    <t>CB65</t>
  </si>
  <si>
    <t>CB70</t>
  </si>
  <si>
    <t>CC60</t>
  </si>
  <si>
    <t>CC65</t>
  </si>
  <si>
    <t>CC70</t>
  </si>
  <si>
    <t>CD70</t>
  </si>
  <si>
    <t>CD80</t>
  </si>
  <si>
    <t>CF65</t>
  </si>
  <si>
    <t>CF70</t>
  </si>
  <si>
    <t>CF66</t>
  </si>
  <si>
    <t>CF71</t>
  </si>
  <si>
    <t>CG100</t>
  </si>
  <si>
    <t>CH100</t>
  </si>
  <si>
    <t>CJ101</t>
  </si>
  <si>
    <t>CJ102</t>
  </si>
  <si>
    <t>CJ103</t>
  </si>
  <si>
    <t>CJ104</t>
  </si>
  <si>
    <t>CJ105</t>
  </si>
  <si>
    <t>CJ106</t>
  </si>
  <si>
    <t>CJ107</t>
  </si>
  <si>
    <t>CJ108</t>
  </si>
  <si>
    <t>CJ109</t>
  </si>
  <si>
    <t>CJ110</t>
  </si>
  <si>
    <t>CJ111</t>
  </si>
  <si>
    <t>CJ112</t>
  </si>
  <si>
    <t>CJ113</t>
  </si>
  <si>
    <t>CK75</t>
  </si>
  <si>
    <t>CP65</t>
  </si>
  <si>
    <t>CP75</t>
  </si>
  <si>
    <t>ASTM A672</t>
  </si>
  <si>
    <t>A45</t>
  </si>
  <si>
    <t>A50</t>
  </si>
  <si>
    <t>A55</t>
  </si>
  <si>
    <t>B60</t>
  </si>
  <si>
    <t>B65</t>
  </si>
  <si>
    <t>B70</t>
  </si>
  <si>
    <t>C55</t>
  </si>
  <si>
    <t>C60</t>
  </si>
  <si>
    <t>C65</t>
  </si>
  <si>
    <t>C70</t>
  </si>
  <si>
    <t>D70</t>
  </si>
  <si>
    <t>D80</t>
  </si>
  <si>
    <t>H75</t>
  </si>
  <si>
    <t>H80</t>
  </si>
  <si>
    <t>J80</t>
  </si>
  <si>
    <t>J90</t>
  </si>
  <si>
    <t>J100</t>
  </si>
  <si>
    <t>K75</t>
  </si>
  <si>
    <t>K85</t>
  </si>
  <si>
    <t>L65</t>
  </si>
  <si>
    <t>L70</t>
  </si>
  <si>
    <t>L75</t>
  </si>
  <si>
    <t>N75</t>
  </si>
  <si>
    <t>ASTM A691</t>
  </si>
  <si>
    <t>CM-65</t>
  </si>
  <si>
    <t>CM-70</t>
  </si>
  <si>
    <t>CM-75</t>
  </si>
  <si>
    <t>CMSH-70</t>
  </si>
  <si>
    <t>CMS-75</t>
  </si>
  <si>
    <t>CMSH-80</t>
  </si>
  <si>
    <t>1/2 CR</t>
  </si>
  <si>
    <t>1 CR</t>
  </si>
  <si>
    <t>1 1/4 CR</t>
  </si>
  <si>
    <t>2 1/4 CR</t>
  </si>
  <si>
    <t>3CR</t>
  </si>
  <si>
    <t>5CR</t>
  </si>
  <si>
    <t>9CR</t>
  </si>
  <si>
    <t>API 5L</t>
  </si>
  <si>
    <t>X42</t>
  </si>
  <si>
    <t>X46</t>
  </si>
  <si>
    <t>X52</t>
  </si>
  <si>
    <t>X56</t>
  </si>
  <si>
    <t>X60</t>
  </si>
  <si>
    <t>X65</t>
  </si>
  <si>
    <t>X70</t>
  </si>
  <si>
    <t>X80</t>
  </si>
  <si>
    <t>Unknown</t>
  </si>
  <si>
    <t>Grades and SMYS</t>
  </si>
  <si>
    <t>ASTM A53 SMYS</t>
  </si>
  <si>
    <t>ASTM A106 SMYS</t>
  </si>
  <si>
    <t>ASTM A333 SMYS</t>
  </si>
  <si>
    <t>ASTM A671 SMYS</t>
  </si>
  <si>
    <t>ASTM A672 SMYS</t>
  </si>
  <si>
    <t>ASTM A691 SMYS</t>
  </si>
  <si>
    <t>API 5L SMYS</t>
  </si>
  <si>
    <t>Unknown SMYS</t>
  </si>
  <si>
    <t>Selected Pipe Specification</t>
  </si>
  <si>
    <t>Pipe Grade Options</t>
  </si>
  <si>
    <t>Weld Seam Type</t>
  </si>
  <si>
    <t>Source: Per seam factors listed within individual codes (ASTM A53, ASTM A106, ASTM A333, ASTM A671, ASTM A672, ASTM A691, API 5L)</t>
  </si>
  <si>
    <t>&lt;-- This table lists valid weld seam types for each pipe specification</t>
  </si>
  <si>
    <t>ASTM A53 Weld Seam Factor</t>
  </si>
  <si>
    <t>ASTM A106 Weld Seam Factor</t>
  </si>
  <si>
    <t>ASTM A333 Weld Seam Factor</t>
  </si>
  <si>
    <t>Electric Fusion Welded, Even Class</t>
  </si>
  <si>
    <t>Electric Fusion Welded, Odd Class</t>
  </si>
  <si>
    <t>&lt;-- ASTM A671 even classes: 1.0. Odd classes: 0.8.</t>
  </si>
  <si>
    <t>ASTM A671 Weld Seam Factor</t>
  </si>
  <si>
    <t>&lt;-- ASTM A672 even classes: 1.0. Odd classes: 0.8.</t>
  </si>
  <si>
    <t>ASTM A672 Weld Seam Factor</t>
  </si>
  <si>
    <t>&lt;-- ASTM A691 even classes: 1.0. Odd classes: 0.8.</t>
  </si>
  <si>
    <t>ASTM A691 Weld Seam Factor</t>
  </si>
  <si>
    <t>Combination Welded</t>
  </si>
  <si>
    <t>API 5L Weld Seam Factor</t>
  </si>
  <si>
    <t>&lt;-- Unknown, under 4": 0.6. Over 4": 0.8</t>
  </si>
  <si>
    <t>Unknown Weld Seam Factor</t>
  </si>
  <si>
    <t>Weld Seam Options</t>
  </si>
  <si>
    <t>&lt;-- This table provides dropdown options for weld seam types for each specification</t>
  </si>
  <si>
    <t>Design Factor (As defined in ASME B31.8-2022, Chapter 4, Table 841.114B)</t>
  </si>
  <si>
    <t>Class Location</t>
  </si>
  <si>
    <t>Pipeline Location</t>
  </si>
  <si>
    <t>Pipelines, mains, and service lines</t>
  </si>
  <si>
    <t>Crossing Railroads, Public Roads, Highways, or Streets without Casing</t>
  </si>
  <si>
    <t>Crossing Railroads, Public Roads, Highways, or Streets with Casing</t>
  </si>
  <si>
    <t>Parallel encroachment of Railroads, Public Roads, Highways, or Streets</t>
  </si>
  <si>
    <t>Fabricated Assemblies</t>
  </si>
  <si>
    <t>Pipelines on bridges</t>
  </si>
  <si>
    <t>Pressure/Flow Control ans Metering Facilities</t>
  </si>
  <si>
    <t>At Compressor Station</t>
  </si>
  <si>
    <t>Near Concentration of people in Location Classes 1 and 2</t>
  </si>
  <si>
    <t>Pipe Grade</t>
  </si>
  <si>
    <t xml:space="preserve">Pipeline Location </t>
  </si>
  <si>
    <t>Recommended Temp. Range: -20°F to 450°F</t>
  </si>
  <si>
    <t>Typically equal to 120 PCF. Allowable range: 50-200</t>
  </si>
  <si>
    <t>Allowable Range: 1 to 30</t>
  </si>
  <si>
    <t>Trench Width</t>
  </si>
  <si>
    <t>Allowed Temp. Range: -20°F to 450°F</t>
  </si>
  <si>
    <t>Allowable Range: 0 to 6000</t>
  </si>
  <si>
    <t>X (tw/D)</t>
  </si>
  <si>
    <t>Y (Khe)</t>
  </si>
  <si>
    <t>X (H/Bd)</t>
  </si>
  <si>
    <t>Y (Be)</t>
  </si>
  <si>
    <t>X (Bd/D)</t>
  </si>
  <si>
    <t>Y (Ee)</t>
  </si>
  <si>
    <t>Y (H)</t>
  </si>
  <si>
    <t>X (Fi)</t>
  </si>
  <si>
    <t>Y (KHh)</t>
  </si>
  <si>
    <t>X (D)</t>
  </si>
  <si>
    <t>Y (GHh)</t>
  </si>
  <si>
    <t>Y (GLh)</t>
  </si>
  <si>
    <t>Y (KLh)</t>
  </si>
  <si>
    <t>API 1102 Highway Loading Analysis</t>
  </si>
  <si>
    <t>Highway Loading</t>
  </si>
  <si>
    <t>Sources and References</t>
  </si>
  <si>
    <t>Reference</t>
  </si>
  <si>
    <t>49 CFR Part 192 Subpart C</t>
  </si>
  <si>
    <t>Pipe Design - Federal pipeline safety regulations</t>
  </si>
  <si>
    <t>NCEES reference for mechanical PE exam</t>
  </si>
  <si>
    <t>5 LIMITATIONS</t>
  </si>
  <si>
    <t>This calculator is applicable for:</t>
  </si>
  <si>
    <t>• Steel pipelines with tw/D ratio between 0.01 and 0.08</t>
  </si>
  <si>
    <t>• Highway crossings with depth of cover between 3 and 10 ft</t>
  </si>
  <si>
    <t>• Pipe diameters from 2.375 to 48 inches</t>
  </si>
  <si>
    <t>• Operating pressures up to 6000 psi</t>
  </si>
  <si>
    <t>• Operating temperatures from -20°F to 450°F</t>
  </si>
  <si>
    <t>For conditions outside these ranges, consult API RP 1102 directly.</t>
  </si>
  <si>
    <t>4 SOURCES</t>
  </si>
  <si>
    <t>API RP 1102, 7th Edition (December 2007, Reaffirmed June 2024)
49 CFR Part 192 Subpart C - Pipe Design
ASME B31.8 - Gas Transmission and Distribution Piping Systems</t>
  </si>
  <si>
    <t>API RP 1102, 7th Ed. (2007, R2022) Steel Pipelines Crossing Railroads and Highways</t>
  </si>
  <si>
    <t>Cricitical case is tandem axle unless: no pavement, H &lt; 4 ft., and D &lt;= 12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</si>
</sst>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
  </numFmts>
  <fonts count="30">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
      <sz val="11"/>
      <color theme="1"/>
      <name val="Calibri"/>
      <family val="2"/>
      <scheme val="minor"/>
    </font>
    <font>
      <sz val="10"/>
      <name val="Arial"/>
      <family val="2"/>
    </font>
    <font>
      <b/>
      <sz val="10"/>
      <name val="Arial"/>
      <family val="2"/>
    </font>
    <font>
      <b/>
      <sz val="12"/>
      <color indexed="9"/>
      <name val="Arial"/>
      <family val="2"/>
    </font>
    <font>
      <b/>
      <i/>
      <sz val="10"/>
      <name val="Arial"/>
      <family val="2"/>
    </font>
    <font>
      <u/>
      <sz val="12"/>
      <color indexed="12"/>
      <name val="Times New Roman"/>
      <family val="1"/>
    </font>
    <font>
      <u/>
      <sz val="10"/>
      <color indexed="12"/>
      <name val="Arial"/>
      <family val="2"/>
    </font>
    <font>
      <b/>
      <u/>
      <sz val="12"/>
      <name val="Arial"/>
      <family val="2"/>
    </font>
    <font>
      <sz val="10"/>
      <color indexed="8"/>
      <name val="Arial"/>
      <family val="2"/>
    </font>
    <font>
      <b/>
      <sz val="10"/>
      <color indexed="10"/>
      <name val="Arial"/>
      <family val="2"/>
    </font>
    <font>
      <sz val="10"/>
      <color indexed="8"/>
      <name val="Arial MT"/>
    </font>
    <font>
      <sz val="12"/>
      <color indexed="8"/>
      <name val="Arial MT"/>
    </font>
    <font>
      <b/>
      <u/>
      <sz val="12"/>
      <color indexed="8"/>
      <name val="Arial"/>
      <family val="2"/>
    </font>
    <font>
      <b/>
      <sz val="12"/>
      <color indexed="8"/>
      <name val="Arial"/>
      <family val="2"/>
    </font>
    <font>
      <b/>
      <sz val="10"/>
      <color indexed="8"/>
      <name val="Arial MT"/>
    </font>
    <font>
      <sz val="10"/>
      <color indexed="12"/>
      <name val="Arial MT"/>
    </font>
    <font>
      <b/>
      <sz val="12"/>
      <name val="Arial"/>
      <family val="2"/>
    </font>
    <font>
      <sz val="12"/>
      <name val="Arial"/>
      <family val="2"/>
    </font>
    <font>
      <sz val="11"/>
      <name val="Calibri"/>
      <family val="2"/>
      <scheme val="minor"/>
    </font>
    <font>
      <sz val="9"/>
      <color theme="1"/>
      <name val="Calibri"/>
      <family val="2"/>
      <scheme val="minor"/>
    </font>
    <font>
      <b/>
      <sz val="14"/>
      <color theme="1"/>
      <name val="Calibri"/>
      <family val="2"/>
      <scheme val="minor"/>
    </font>
    <font>
      <b/>
      <u/>
      <sz val="10"/>
      <name val="Arial"/>
      <family val="2"/>
    </font>
    <font>
      <b/>
      <sz val="11"/>
      <color indexed="8"/>
      <name val="Calibri"/>
      <family val="2"/>
      <scheme val="minor"/>
    </font>
    <font>
      <b/>
      <sz val="11"/>
      <name val="Calibri"/>
      <family val="2"/>
      <scheme val="minor"/>
    </font>
    <font>
      <b/>
      <sz val="12"/>
      <color theme="1"/>
      <name val="Calibri"/>
      <family val="2"/>
      <scheme val="minor"/>
    </font>
    <font>
      <sz val="12"/>
      <color indexed="8"/>
      <name val="Arial"/>
      <family val="2"/>
    </font>
  </fonts>
  <fills count="3">
    <fill>
      <patternFill patternType="none"/>
    </fill>
    <fill>
      <patternFill patternType="gray125"/>
    </fill>
    <fill>
      <patternFill patternType="solid">
        <fgColor rgb="FFFFFF0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8">
    <xf numFmtId="0" fontId="0" fillId="0" borderId="0"/>
    <xf numFmtId="0" fontId="3" fillId="0" borderId="0" applyNumberFormat="0" applyFill="0" applyBorder="0" applyAlignment="0" applyProtection="0"/>
    <xf numFmtId="43" fontId="4" fillId="0" borderId="0" applyFont="0" applyFill="0" applyBorder="0" applyAlignment="0" applyProtection="0"/>
    <xf numFmtId="0" fontId="5" fillId="0" borderId="0"/>
    <xf numFmtId="0" fontId="9" fillId="0" borderId="0" applyNumberFormat="0" applyFill="0" applyBorder="0" applyAlignment="0" applyProtection="0">
      <alignment vertical="top"/>
      <protection locked="0"/>
    </xf>
    <xf numFmtId="0" fontId="5" fillId="0" borderId="0"/>
    <xf numFmtId="0" fontId="10" fillId="0" borderId="0" applyNumberFormat="0" applyFill="0" applyBorder="0" applyAlignment="0" applyProtection="0">
      <alignment vertical="top"/>
      <protection locked="0"/>
    </xf>
    <xf numFmtId="37" fontId="14" fillId="0" borderId="0"/>
  </cellStyleXfs>
  <cellXfs count="245">
    <xf numFmtId="0" fontId="0" fillId="0" borderId="0" xfId="0"/>
    <xf numFmtId="0" fontId="2" fillId="0" borderId="0" xfId="0" applyFont="1"/>
    <xf numFmtId="0" fontId="1" fillId="0" borderId="0" xfId="0" applyFont="1"/>
    <xf numFmtId="0" fontId="0" fillId="2" borderId="0" xfId="0" applyFill="1"/>
    <xf numFmtId="0" fontId="2" fillId="0" borderId="0" xfId="0" applyFont="1" applyAlignment="1">
      <alignment horizontal="center" vertical="center"/>
    </xf>
    <xf numFmtId="0" fontId="0" fillId="2" borderId="0" xfId="0" applyFill="1" applyAlignment="1">
      <alignment wrapText="1"/>
    </xf>
    <xf numFmtId="0" fontId="3" fillId="0" borderId="0" xfId="1"/>
    <xf numFmtId="0" fontId="2" fillId="0" borderId="0" xfId="0" applyFont="1" applyAlignment="1">
      <alignment horizontal="right"/>
    </xf>
    <xf numFmtId="0" fontId="0" fillId="0" borderId="1" xfId="0" applyBorder="1"/>
    <xf numFmtId="0" fontId="0" fillId="0" borderId="2" xfId="0" applyBorder="1"/>
    <xf numFmtId="49" fontId="0" fillId="0" borderId="0" xfId="0" applyNumberFormat="1"/>
    <xf numFmtId="2" fontId="0" fillId="0" borderId="0" xfId="0" applyNumberFormat="1"/>
    <xf numFmtId="0" fontId="5" fillId="0" borderId="0" xfId="3"/>
    <xf numFmtId="0" fontId="5" fillId="0" borderId="6" xfId="3" applyBorder="1"/>
    <xf numFmtId="0" fontId="5" fillId="0" borderId="7" xfId="3" applyBorder="1"/>
    <xf numFmtId="0" fontId="5" fillId="0" borderId="8" xfId="3" applyBorder="1"/>
    <xf numFmtId="0" fontId="5" fillId="0" borderId="9" xfId="3" applyBorder="1"/>
    <xf numFmtId="0" fontId="5" fillId="0" borderId="10" xfId="3" applyBorder="1"/>
    <xf numFmtId="0" fontId="5" fillId="0" borderId="11" xfId="3" applyBorder="1"/>
    <xf numFmtId="0" fontId="5" fillId="0" borderId="6" xfId="3" applyBorder="1" applyAlignment="1">
      <alignment horizontal="left"/>
    </xf>
    <xf numFmtId="14" fontId="5" fillId="0" borderId="7" xfId="3" applyNumberFormat="1" applyBorder="1" applyAlignment="1">
      <alignment horizontal="left"/>
    </xf>
    <xf numFmtId="0" fontId="5" fillId="0" borderId="7" xfId="3" applyBorder="1" applyAlignment="1">
      <alignment horizontal="right"/>
    </xf>
    <xf numFmtId="0" fontId="8" fillId="0" borderId="0" xfId="3" applyFont="1"/>
    <xf numFmtId="0" fontId="8" fillId="0" borderId="1" xfId="3" applyFont="1" applyBorder="1" applyAlignment="1">
      <alignment horizontal="center"/>
    </xf>
    <xf numFmtId="0" fontId="6" fillId="0" borderId="1" xfId="3" applyFont="1" applyBorder="1"/>
    <xf numFmtId="0" fontId="5" fillId="0" borderId="1" xfId="3" applyBorder="1" applyAlignment="1">
      <alignment horizontal="center"/>
    </xf>
    <xf numFmtId="0" fontId="5" fillId="0" borderId="13" xfId="3" applyBorder="1"/>
    <xf numFmtId="14" fontId="5" fillId="0" borderId="1" xfId="3" applyNumberFormat="1" applyBorder="1" applyAlignment="1">
      <alignment horizontal="center"/>
    </xf>
    <xf numFmtId="0" fontId="5" fillId="0" borderId="14" xfId="3" applyBorder="1"/>
    <xf numFmtId="0" fontId="5" fillId="0" borderId="15" xfId="3" applyBorder="1"/>
    <xf numFmtId="0" fontId="5" fillId="0" borderId="1" xfId="3" applyBorder="1"/>
    <xf numFmtId="0" fontId="5" fillId="0" borderId="16" xfId="3" applyBorder="1"/>
    <xf numFmtId="0" fontId="5" fillId="0" borderId="0" xfId="3" applyAlignment="1">
      <alignment horizontal="center"/>
    </xf>
    <xf numFmtId="0" fontId="6" fillId="0" borderId="0" xfId="3" applyFont="1"/>
    <xf numFmtId="0" fontId="5" fillId="0" borderId="0" xfId="3" quotePrefix="1" applyAlignment="1">
      <alignment horizontal="left"/>
    </xf>
    <xf numFmtId="0" fontId="3" fillId="0" borderId="0" xfId="1" quotePrefix="1" applyFill="1" applyAlignment="1">
      <alignment horizontal="left"/>
    </xf>
    <xf numFmtId="0" fontId="10" fillId="0" borderId="0" xfId="4" applyFont="1" applyFill="1" applyAlignment="1" applyProtection="1"/>
    <xf numFmtId="0" fontId="3" fillId="0" borderId="0" xfId="1" applyFill="1" applyAlignment="1" applyProtection="1"/>
    <xf numFmtId="0" fontId="5" fillId="0" borderId="0" xfId="5"/>
    <xf numFmtId="0" fontId="6" fillId="0" borderId="10" xfId="5" applyFont="1" applyBorder="1"/>
    <xf numFmtId="0" fontId="6" fillId="0" borderId="11" xfId="5" applyFont="1" applyBorder="1"/>
    <xf numFmtId="0" fontId="12" fillId="0" borderId="14" xfId="5" applyFont="1" applyBorder="1"/>
    <xf numFmtId="0" fontId="5" fillId="0" borderId="15" xfId="5" applyBorder="1"/>
    <xf numFmtId="0" fontId="5" fillId="2" borderId="10" xfId="5" applyFill="1" applyBorder="1"/>
    <xf numFmtId="0" fontId="5" fillId="0" borderId="11" xfId="5" quotePrefix="1" applyBorder="1" applyAlignment="1">
      <alignment horizontal="left"/>
    </xf>
    <xf numFmtId="0" fontId="6" fillId="0" borderId="0" xfId="5" applyFont="1"/>
    <xf numFmtId="0" fontId="13" fillId="0" borderId="0" xfId="5" applyFont="1"/>
    <xf numFmtId="0" fontId="11" fillId="0" borderId="0" xfId="5" applyFont="1"/>
    <xf numFmtId="0" fontId="5" fillId="0" borderId="0" xfId="5" quotePrefix="1" applyAlignment="1">
      <alignment horizontal="left"/>
    </xf>
    <xf numFmtId="0" fontId="10" fillId="0" borderId="0" xfId="6" applyFill="1" applyAlignment="1" applyProtection="1"/>
    <xf numFmtId="37" fontId="15" fillId="0" borderId="0" xfId="7" applyFont="1"/>
    <xf numFmtId="37" fontId="16" fillId="0" borderId="0" xfId="7" applyFont="1"/>
    <xf numFmtId="37" fontId="17" fillId="0" borderId="0" xfId="7" applyFont="1"/>
    <xf numFmtId="37" fontId="14" fillId="0" borderId="0" xfId="7"/>
    <xf numFmtId="37" fontId="18" fillId="0" borderId="1" xfId="7" applyFont="1" applyBorder="1"/>
    <xf numFmtId="37" fontId="14" fillId="0" borderId="1" xfId="7" applyBorder="1"/>
    <xf numFmtId="37" fontId="19" fillId="0" borderId="1" xfId="7" applyFont="1" applyBorder="1" applyProtection="1">
      <protection locked="0"/>
    </xf>
    <xf numFmtId="37" fontId="14" fillId="0" borderId="0" xfId="7" applyAlignment="1">
      <alignment vertical="top"/>
    </xf>
    <xf numFmtId="37" fontId="19" fillId="0" borderId="1" xfId="7" applyFont="1" applyBorder="1" applyAlignment="1" applyProtection="1">
      <alignment horizontal="left"/>
      <protection locked="0"/>
    </xf>
    <xf numFmtId="37" fontId="18" fillId="0" borderId="0" xfId="7" applyFont="1" applyAlignment="1">
      <alignment wrapText="1"/>
    </xf>
    <xf numFmtId="0" fontId="20" fillId="0" borderId="0" xfId="0" applyFont="1" applyAlignment="1">
      <alignment wrapText="1"/>
    </xf>
    <xf numFmtId="0" fontId="21" fillId="0" borderId="0" xfId="0" applyFont="1" applyAlignment="1">
      <alignment horizontal="left" wrapText="1"/>
    </xf>
    <xf numFmtId="0" fontId="21" fillId="0" borderId="0" xfId="0" applyFont="1" applyAlignment="1">
      <alignment wrapText="1"/>
    </xf>
    <xf numFmtId="0" fontId="20" fillId="0" borderId="0" xfId="0" applyFont="1" applyAlignment="1">
      <alignment horizontal="left" wrapText="1"/>
    </xf>
    <xf numFmtId="0" fontId="20" fillId="0" borderId="0" xfId="0" applyFont="1"/>
    <xf numFmtId="37" fontId="14" fillId="0" borderId="0" xfId="7" applyAlignment="1">
      <alignment wrapText="1"/>
    </xf>
    <xf numFmtId="0" fontId="2" fillId="0" borderId="6" xfId="0" applyFont="1" applyBorder="1"/>
    <xf numFmtId="0" fontId="2" fillId="0" borderId="8" xfId="0" applyFont="1" applyBorder="1"/>
    <xf numFmtId="0" fontId="1" fillId="0" borderId="12" xfId="0" applyFont="1" applyBorder="1"/>
    <xf numFmtId="0" fontId="1" fillId="0" borderId="9" xfId="0" applyFont="1" applyBorder="1"/>
    <xf numFmtId="0" fontId="0" fillId="0" borderId="14" xfId="0" applyBorder="1"/>
    <xf numFmtId="0" fontId="0" fillId="0" borderId="15" xfId="0" applyBorder="1"/>
    <xf numFmtId="0" fontId="0" fillId="0" borderId="10" xfId="0" applyBorder="1"/>
    <xf numFmtId="0" fontId="0" fillId="0" borderId="16" xfId="0" applyBorder="1"/>
    <xf numFmtId="0" fontId="0" fillId="0" borderId="11" xfId="0" applyBorder="1"/>
    <xf numFmtId="43" fontId="0" fillId="0" borderId="0" xfId="2" applyFont="1"/>
    <xf numFmtId="43" fontId="0" fillId="0" borderId="0" xfId="2" applyFont="1" applyBorder="1"/>
    <xf numFmtId="0" fontId="2" fillId="0" borderId="6" xfId="0" applyFont="1" applyBorder="1" applyAlignment="1">
      <alignment horizontal="center" vertical="center"/>
    </xf>
    <xf numFmtId="0" fontId="0" fillId="0" borderId="15" xfId="0" applyBorder="1" applyAlignment="1">
      <alignment wrapText="1"/>
    </xf>
    <xf numFmtId="0" fontId="6" fillId="0" borderId="8" xfId="3" applyFont="1" applyBorder="1" applyAlignment="1">
      <alignment horizontal="center"/>
    </xf>
    <xf numFmtId="0" fontId="6" fillId="0" borderId="12" xfId="3" applyFont="1" applyBorder="1" applyAlignment="1">
      <alignment horizontal="center"/>
    </xf>
    <xf numFmtId="0" fontId="6" fillId="0" borderId="9" xfId="3" applyFont="1" applyBorder="1" applyAlignment="1">
      <alignment horizontal="center"/>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3" xfId="0" applyBorder="1"/>
    <xf numFmtId="0" fontId="0" fillId="0" borderId="5" xfId="0" applyBorder="1"/>
    <xf numFmtId="0" fontId="0" fillId="0" borderId="4" xfId="0" applyBorder="1"/>
    <xf numFmtId="0" fontId="2" fillId="0" borderId="0" xfId="0" applyFont="1" applyAlignment="1">
      <alignment vertical="center"/>
    </xf>
    <xf numFmtId="0" fontId="0" fillId="0" borderId="30" xfId="0" applyBorder="1" applyAlignment="1">
      <alignment horizontal="right"/>
    </xf>
    <xf numFmtId="0" fontId="0" fillId="0" borderId="31" xfId="0" applyBorder="1" applyAlignment="1">
      <alignment horizontal="right"/>
    </xf>
    <xf numFmtId="0" fontId="0" fillId="0" borderId="32" xfId="0" applyBorder="1" applyAlignment="1">
      <alignment horizontal="right"/>
    </xf>
    <xf numFmtId="0" fontId="0" fillId="0" borderId="33" xfId="0" applyBorder="1" applyAlignment="1">
      <alignment horizontal="right"/>
    </xf>
    <xf numFmtId="0" fontId="22" fillId="0" borderId="0" xfId="0" applyFont="1"/>
    <xf numFmtId="0" fontId="0" fillId="0" borderId="34" xfId="0" applyBorder="1" applyAlignment="1">
      <alignment horizontal="right"/>
    </xf>
    <xf numFmtId="164" fontId="0" fillId="0" borderId="9" xfId="0" applyNumberFormat="1" applyBorder="1"/>
    <xf numFmtId="164" fontId="0" fillId="0" borderId="35" xfId="0" applyNumberFormat="1" applyBorder="1"/>
    <xf numFmtId="164" fontId="0" fillId="0" borderId="36" xfId="0" applyNumberFormat="1" applyBorder="1"/>
    <xf numFmtId="0" fontId="0" fillId="0" borderId="37" xfId="0" applyBorder="1" applyAlignment="1">
      <alignment horizontal="right"/>
    </xf>
    <xf numFmtId="0" fontId="0" fillId="0" borderId="38" xfId="0" applyBorder="1"/>
    <xf numFmtId="0" fontId="0" fillId="0" borderId="32" xfId="0" applyBorder="1"/>
    <xf numFmtId="164" fontId="0" fillId="0" borderId="32" xfId="0" applyNumberFormat="1" applyBorder="1"/>
    <xf numFmtId="164" fontId="0" fillId="0" borderId="33" xfId="0" applyNumberFormat="1" applyBorder="1"/>
    <xf numFmtId="0" fontId="0" fillId="0" borderId="39" xfId="0" applyBorder="1"/>
    <xf numFmtId="164" fontId="0" fillId="0" borderId="40" xfId="0" applyNumberFormat="1" applyBorder="1"/>
    <xf numFmtId="164" fontId="0" fillId="0" borderId="1" xfId="0" applyNumberFormat="1" applyBorder="1"/>
    <xf numFmtId="164" fontId="0" fillId="0" borderId="41" xfId="0" applyNumberFormat="1" applyBorder="1"/>
    <xf numFmtId="164" fontId="0" fillId="0" borderId="1" xfId="0" quotePrefix="1" applyNumberFormat="1" applyBorder="1"/>
    <xf numFmtId="0" fontId="0" fillId="0" borderId="1" xfId="0" quotePrefix="1" applyBorder="1"/>
    <xf numFmtId="0" fontId="0" fillId="0" borderId="41" xfId="0" quotePrefix="1" applyBorder="1"/>
    <xf numFmtId="164" fontId="0" fillId="0" borderId="40" xfId="0" quotePrefix="1" applyNumberFormat="1" applyBorder="1"/>
    <xf numFmtId="164" fontId="0" fillId="0" borderId="41" xfId="0" quotePrefix="1" applyNumberFormat="1" applyBorder="1"/>
    <xf numFmtId="0" fontId="0" fillId="0" borderId="42" xfId="0" applyBorder="1"/>
    <xf numFmtId="164" fontId="0" fillId="0" borderId="43" xfId="0" quotePrefix="1" applyNumberFormat="1" applyBorder="1"/>
    <xf numFmtId="164" fontId="0" fillId="0" borderId="35" xfId="0" quotePrefix="1" applyNumberFormat="1" applyBorder="1"/>
    <xf numFmtId="164" fontId="0" fillId="0" borderId="36" xfId="0" quotePrefix="1" applyNumberFormat="1" applyBorder="1"/>
    <xf numFmtId="0" fontId="0" fillId="0" borderId="44" xfId="0" applyBorder="1"/>
    <xf numFmtId="164" fontId="0" fillId="0" borderId="45" xfId="0" quotePrefix="1" applyNumberFormat="1" applyBorder="1"/>
    <xf numFmtId="164" fontId="0" fillId="0" borderId="46" xfId="0" quotePrefix="1" applyNumberFormat="1" applyBorder="1"/>
    <xf numFmtId="164" fontId="0" fillId="0" borderId="46" xfId="0" applyNumberFormat="1" applyBorder="1"/>
    <xf numFmtId="164" fontId="0" fillId="0" borderId="47" xfId="0" quotePrefix="1" applyNumberFormat="1" applyBorder="1"/>
    <xf numFmtId="0" fontId="0" fillId="0" borderId="30" xfId="0" applyBorder="1"/>
    <xf numFmtId="3" fontId="0" fillId="0" borderId="48" xfId="0" applyNumberFormat="1" applyBorder="1" applyAlignment="1">
      <alignment horizontal="right"/>
    </xf>
    <xf numFmtId="164" fontId="0" fillId="0" borderId="45" xfId="0" applyNumberFormat="1" applyBorder="1"/>
    <xf numFmtId="0" fontId="0" fillId="0" borderId="46" xfId="0" applyBorder="1"/>
    <xf numFmtId="0" fontId="0" fillId="0" borderId="47" xfId="0" applyBorder="1"/>
    <xf numFmtId="0" fontId="0" fillId="0" borderId="0" xfId="0" quotePrefix="1"/>
    <xf numFmtId="0" fontId="0" fillId="0" borderId="49" xfId="0" applyBorder="1" applyAlignment="1">
      <alignment horizontal="right"/>
    </xf>
    <xf numFmtId="49" fontId="0" fillId="0" borderId="38" xfId="0" applyNumberFormat="1" applyBorder="1"/>
    <xf numFmtId="49" fontId="0" fillId="0" borderId="32" xfId="0" applyNumberFormat="1" applyBorder="1"/>
    <xf numFmtId="49" fontId="0" fillId="0" borderId="32" xfId="0" quotePrefix="1" applyNumberFormat="1" applyBorder="1"/>
    <xf numFmtId="49" fontId="0" fillId="0" borderId="33" xfId="0" quotePrefix="1" applyNumberFormat="1" applyBorder="1"/>
    <xf numFmtId="0" fontId="0" fillId="0" borderId="53" xfId="0" applyBorder="1" applyAlignment="1">
      <alignment horizontal="right"/>
    </xf>
    <xf numFmtId="49" fontId="0" fillId="0" borderId="40" xfId="0" applyNumberFormat="1" applyBorder="1"/>
    <xf numFmtId="49" fontId="0" fillId="0" borderId="1" xfId="0" applyNumberFormat="1" applyBorder="1"/>
    <xf numFmtId="49" fontId="0" fillId="0" borderId="1" xfId="0" quotePrefix="1" applyNumberFormat="1" applyBorder="1"/>
    <xf numFmtId="49" fontId="0" fillId="0" borderId="41" xfId="0" quotePrefix="1" applyNumberFormat="1" applyBorder="1"/>
    <xf numFmtId="49" fontId="0" fillId="0" borderId="41" xfId="0" applyNumberFormat="1" applyBorder="1"/>
    <xf numFmtId="0" fontId="0" fillId="0" borderId="54" xfId="0" applyBorder="1" applyAlignment="1">
      <alignment horizontal="right"/>
    </xf>
    <xf numFmtId="49" fontId="0" fillId="0" borderId="45" xfId="0" applyNumberFormat="1" applyBorder="1"/>
    <xf numFmtId="49" fontId="0" fillId="0" borderId="46" xfId="0" quotePrefix="1" applyNumberFormat="1" applyBorder="1"/>
    <xf numFmtId="49" fontId="0" fillId="0" borderId="47" xfId="0" quotePrefix="1" applyNumberFormat="1" applyBorder="1"/>
    <xf numFmtId="49" fontId="0" fillId="0" borderId="33" xfId="0" applyNumberFormat="1" applyBorder="1"/>
    <xf numFmtId="1" fontId="0" fillId="0" borderId="45" xfId="0" applyNumberFormat="1" applyBorder="1"/>
    <xf numFmtId="1" fontId="0" fillId="0" borderId="46" xfId="0" applyNumberFormat="1" applyBorder="1"/>
    <xf numFmtId="1" fontId="0" fillId="0" borderId="47" xfId="0" applyNumberFormat="1" applyBorder="1"/>
    <xf numFmtId="0" fontId="0" fillId="0" borderId="55" xfId="0" applyBorder="1" applyAlignment="1">
      <alignment horizontal="right"/>
    </xf>
    <xf numFmtId="3" fontId="0" fillId="0" borderId="30" xfId="0" applyNumberFormat="1" applyBorder="1"/>
    <xf numFmtId="0" fontId="0" fillId="0" borderId="33" xfId="0" applyBorder="1"/>
    <xf numFmtId="0" fontId="0" fillId="0" borderId="54" xfId="0" applyBorder="1"/>
    <xf numFmtId="0" fontId="0" fillId="0" borderId="45" xfId="0" applyBorder="1"/>
    <xf numFmtId="49" fontId="23" fillId="0" borderId="38" xfId="0" applyNumberFormat="1" applyFont="1" applyBorder="1"/>
    <xf numFmtId="49" fontId="23" fillId="0" borderId="32" xfId="0" applyNumberFormat="1" applyFont="1" applyBorder="1"/>
    <xf numFmtId="165" fontId="0" fillId="0" borderId="45" xfId="0" applyNumberFormat="1" applyBorder="1"/>
    <xf numFmtId="165" fontId="0" fillId="0" borderId="46" xfId="0" applyNumberFormat="1" applyBorder="1"/>
    <xf numFmtId="0" fontId="0" fillId="0" borderId="0" xfId="0" applyAlignment="1">
      <alignment horizontal="right"/>
    </xf>
    <xf numFmtId="1" fontId="0" fillId="0" borderId="0" xfId="0" applyNumberFormat="1"/>
    <xf numFmtId="0" fontId="0" fillId="0" borderId="58" xfId="0" applyBorder="1" applyAlignment="1">
      <alignment horizontal="right"/>
    </xf>
    <xf numFmtId="3" fontId="0" fillId="0" borderId="59" xfId="0" applyNumberFormat="1" applyBorder="1" applyAlignment="1">
      <alignment horizontal="right"/>
    </xf>
    <xf numFmtId="1" fontId="23" fillId="0" borderId="49" xfId="0" applyNumberFormat="1" applyFont="1" applyBorder="1"/>
    <xf numFmtId="1" fontId="23" fillId="0" borderId="56" xfId="0" applyNumberFormat="1" applyFont="1" applyBorder="1"/>
    <xf numFmtId="1" fontId="0" fillId="0" borderId="56" xfId="0" applyNumberFormat="1" applyBorder="1"/>
    <xf numFmtId="1" fontId="0" fillId="0" borderId="57" xfId="0" applyNumberFormat="1" applyBorder="1"/>
    <xf numFmtId="0" fontId="0" fillId="0" borderId="48" xfId="0" applyBorder="1"/>
    <xf numFmtId="0" fontId="0" fillId="0" borderId="60" xfId="0" applyBorder="1"/>
    <xf numFmtId="0" fontId="0" fillId="0" borderId="61" xfId="0" applyBorder="1"/>
    <xf numFmtId="0" fontId="0" fillId="0" borderId="62" xfId="0" applyBorder="1"/>
    <xf numFmtId="0" fontId="2" fillId="0" borderId="0" xfId="0" applyFont="1" applyAlignment="1">
      <alignment horizontal="left"/>
    </xf>
    <xf numFmtId="0" fontId="25" fillId="0" borderId="0" xfId="0" applyFont="1" applyProtection="1">
      <protection locked="0"/>
    </xf>
    <xf numFmtId="0" fontId="0" fillId="0" borderId="0" xfId="0" applyAlignment="1">
      <alignment horizontal="left"/>
    </xf>
    <xf numFmtId="0" fontId="0" fillId="0" borderId="63" xfId="0" applyBorder="1"/>
    <xf numFmtId="0" fontId="2" fillId="0" borderId="60" xfId="0" applyFont="1" applyBorder="1"/>
    <xf numFmtId="0" fontId="1" fillId="0" borderId="61" xfId="0" applyFont="1" applyBorder="1"/>
    <xf numFmtId="0" fontId="1" fillId="0" borderId="62" xfId="0" applyFont="1" applyBorder="1"/>
    <xf numFmtId="0" fontId="26" fillId="0" borderId="63" xfId="0" applyFont="1" applyBorder="1"/>
    <xf numFmtId="0" fontId="0" fillId="0" borderId="64" xfId="0" applyBorder="1"/>
    <xf numFmtId="0" fontId="27" fillId="0" borderId="63" xfId="0" applyFont="1" applyBorder="1" applyProtection="1">
      <protection locked="0"/>
    </xf>
    <xf numFmtId="0" fontId="27" fillId="0" borderId="60" xfId="0" applyFont="1" applyBorder="1" applyProtection="1">
      <protection locked="0"/>
    </xf>
    <xf numFmtId="3" fontId="0" fillId="0" borderId="0" xfId="0" applyNumberFormat="1"/>
    <xf numFmtId="0" fontId="0" fillId="0" borderId="11" xfId="0" applyBorder="1" applyAlignment="1">
      <alignment wrapText="1"/>
    </xf>
    <xf numFmtId="0" fontId="2" fillId="0" borderId="55" xfId="0" applyFont="1" applyBorder="1"/>
    <xf numFmtId="0" fontId="0" fillId="0" borderId="59" xfId="0" applyBorder="1"/>
    <xf numFmtId="43" fontId="0" fillId="0" borderId="0" xfId="0" applyNumberFormat="1"/>
    <xf numFmtId="0" fontId="0" fillId="2" borderId="0" xfId="0" applyFill="1" applyProtection="1">
      <protection locked="0"/>
    </xf>
    <xf numFmtId="3" fontId="0" fillId="2" borderId="0" xfId="0" applyNumberFormat="1" applyFill="1" applyProtection="1">
      <protection locked="0"/>
    </xf>
    <xf numFmtId="0" fontId="0" fillId="2" borderId="0" xfId="0" applyFill="1" applyAlignment="1" applyProtection="1">
      <alignment wrapText="1"/>
      <protection locked="0"/>
    </xf>
    <xf numFmtId="2" fontId="0" fillId="2" borderId="0" xfId="0" applyNumberFormat="1" applyFill="1" applyProtection="1">
      <protection locked="0"/>
    </xf>
    <xf numFmtId="0" fontId="0" fillId="2" borderId="16" xfId="0" applyFill="1" applyBorder="1" applyProtection="1">
      <protection locked="0"/>
    </xf>
    <xf numFmtId="0" fontId="0" fillId="0" borderId="17" xfId="0" applyBorder="1"/>
    <xf numFmtId="0" fontId="0" fillId="0" borderId="19" xfId="0" applyBorder="1"/>
    <xf numFmtId="0" fontId="28" fillId="0" borderId="0" xfId="0" applyFont="1"/>
    <xf numFmtId="49" fontId="0" fillId="2" borderId="0" xfId="0" applyNumberFormat="1" applyFill="1"/>
    <xf numFmtId="37" fontId="29" fillId="0" borderId="0" xfId="7" applyFont="1" applyAlignment="1">
      <alignment wrapText="1"/>
    </xf>
    <xf numFmtId="0" fontId="0" fillId="0" borderId="26" xfId="0" applyBorder="1" applyAlignment="1">
      <alignment horizontal="center"/>
    </xf>
    <xf numFmtId="0" fontId="0" fillId="0" borderId="27" xfId="0" applyBorder="1" applyAlignment="1">
      <alignment horizontal="center"/>
    </xf>
    <xf numFmtId="0" fontId="2" fillId="0" borderId="8" xfId="0" applyFont="1" applyBorder="1" applyAlignment="1">
      <alignment horizontal="center" vertical="center"/>
    </xf>
    <xf numFmtId="0" fontId="2" fillId="0" borderId="1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Alignment="1">
      <alignment horizontal="center"/>
    </xf>
    <xf numFmtId="0" fontId="0" fillId="0" borderId="13" xfId="0" applyBorder="1" applyAlignment="1">
      <alignment horizontal="center" wrapText="1"/>
    </xf>
    <xf numFmtId="0" fontId="0" fillId="0" borderId="7" xfId="0" applyBorder="1" applyAlignment="1">
      <alignment horizontal="center" wrapText="1"/>
    </xf>
    <xf numFmtId="0" fontId="0" fillId="0" borderId="13" xfId="0" applyBorder="1" applyAlignment="1">
      <alignment horizontal="left" wrapText="1"/>
    </xf>
    <xf numFmtId="0" fontId="0" fillId="0" borderId="7" xfId="0" applyBorder="1" applyAlignment="1">
      <alignment horizontal="left" wrapText="1"/>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0" fillId="0" borderId="38"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1" fontId="0" fillId="0" borderId="18" xfId="0" applyNumberFormat="1" applyBorder="1" applyAlignment="1">
      <alignment horizontal="left"/>
    </xf>
    <xf numFmtId="1" fontId="0" fillId="0" borderId="19" xfId="0" applyNumberFormat="1" applyBorder="1" applyAlignment="1">
      <alignment horizontal="left"/>
    </xf>
    <xf numFmtId="0" fontId="24" fillId="0" borderId="49" xfId="0" applyFont="1" applyBorder="1" applyAlignment="1">
      <alignment horizontal="center" vertical="center"/>
    </xf>
    <xf numFmtId="0" fontId="24" fillId="0" borderId="56" xfId="0" applyFont="1" applyBorder="1" applyAlignment="1">
      <alignment horizontal="center" vertical="center"/>
    </xf>
    <xf numFmtId="0" fontId="24" fillId="0" borderId="57" xfId="0" applyFont="1" applyBorder="1" applyAlignment="1">
      <alignment horizontal="center" vertical="center"/>
    </xf>
    <xf numFmtId="0" fontId="2" fillId="0" borderId="64" xfId="0" applyFont="1" applyBorder="1" applyAlignment="1">
      <alignment horizontal="center"/>
    </xf>
    <xf numFmtId="0" fontId="0" fillId="0" borderId="50" xfId="0" applyBorder="1" applyAlignment="1">
      <alignment horizontal="left"/>
    </xf>
    <xf numFmtId="0" fontId="0" fillId="0" borderId="51" xfId="0" applyBorder="1" applyAlignment="1">
      <alignment horizontal="left"/>
    </xf>
    <xf numFmtId="0" fontId="0" fillId="0" borderId="52" xfId="0" applyBorder="1" applyAlignment="1">
      <alignment horizontal="left"/>
    </xf>
    <xf numFmtId="0" fontId="0" fillId="0" borderId="49" xfId="0" applyBorder="1" applyAlignment="1">
      <alignment horizontal="left"/>
    </xf>
    <xf numFmtId="0" fontId="0" fillId="0" borderId="56" xfId="0" applyBorder="1" applyAlignment="1">
      <alignment horizontal="left"/>
    </xf>
    <xf numFmtId="0" fontId="0" fillId="0" borderId="57"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29" xfId="0" applyBorder="1" applyAlignment="1">
      <alignment horizontal="left"/>
    </xf>
    <xf numFmtId="0" fontId="6" fillId="0" borderId="0" xfId="3" applyFont="1" applyAlignment="1">
      <alignment horizontal="center"/>
    </xf>
    <xf numFmtId="0" fontId="7" fillId="0" borderId="6" xfId="3" applyFont="1" applyBorder="1" applyAlignment="1">
      <alignment horizontal="center"/>
    </xf>
    <xf numFmtId="0" fontId="7" fillId="0" borderId="7" xfId="3" applyFont="1" applyBorder="1" applyAlignment="1">
      <alignment horizontal="center"/>
    </xf>
    <xf numFmtId="0" fontId="6" fillId="0" borderId="8" xfId="3" applyFont="1" applyBorder="1" applyAlignment="1">
      <alignment horizontal="center"/>
    </xf>
    <xf numFmtId="0" fontId="6" fillId="0" borderId="12" xfId="3" applyFont="1" applyBorder="1" applyAlignment="1">
      <alignment horizontal="center"/>
    </xf>
    <xf numFmtId="0" fontId="6" fillId="0" borderId="9" xfId="3" applyFont="1" applyBorder="1" applyAlignment="1">
      <alignment horizontal="center"/>
    </xf>
    <xf numFmtId="0" fontId="11" fillId="0" borderId="8" xfId="5" applyFont="1" applyBorder="1" applyAlignment="1">
      <alignment horizontal="center"/>
    </xf>
    <xf numFmtId="0" fontId="11" fillId="0" borderId="9" xfId="5" applyFont="1" applyBorder="1" applyAlignment="1">
      <alignment horizontal="center"/>
    </xf>
    <xf numFmtId="0" fontId="0" fillId="0" borderId="0" xfId="0" applyAlignment="1">
      <alignment horizontal="left" wrapText="1"/>
    </xf>
    <xf numFmtId="0" fontId="2" fillId="2" borderId="0" xfId="0" applyFont="1" applyFill="1" applyAlignment="1">
      <alignment horizontal="center"/>
    </xf>
    <xf numFmtId="0" fontId="2" fillId="0" borderId="4" xfId="0" applyFont="1" applyBorder="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17" xfId="0" applyBorder="1" applyAlignment="1">
      <alignment horizontal="center"/>
    </xf>
    <xf numFmtId="0" fontId="0" fillId="0" borderId="29" xfId="0" applyBorder="1" applyAlignment="1">
      <alignment horizontal="center"/>
    </xf>
    <xf numFmtId="0" fontId="0" fillId="0" borderId="28" xfId="0" applyBorder="1" applyAlignment="1">
      <alignment horizontal="center"/>
    </xf>
    <xf numFmtId="0" fontId="0" fillId="0" borderId="19" xfId="0" applyBorder="1" applyAlignment="1">
      <alignment horizontal="center"/>
    </xf>
    <xf numFmtId="0" fontId="0" fillId="0" borderId="18" xfId="0" applyBorder="1" applyAlignment="1">
      <alignment horizontal="center"/>
    </xf>
  </cellXfs>
  <cellStyles count="8">
    <cellStyle name="Comma" xfId="2" builtinId="3"/>
    <cellStyle name="Hyperlink" xfId="1" builtinId="8"/>
    <cellStyle name="Hyperlink_Data Analysis Template (prob) V 6.0" xfId="6" xr:uid="{24020453-1121-444C-B857-2904CD1FF9F3}"/>
    <cellStyle name="Hyperlink_TT-W-WTD-023" xfId="4" xr:uid="{1FCD7A2A-F909-45DC-9FAB-035CF847E0AC}"/>
    <cellStyle name="Normal" xfId="0" builtinId="0"/>
    <cellStyle name="Normal_Calc Example Formatting" xfId="7" xr:uid="{054AAC1C-C563-4992-A997-045552AD0712}"/>
    <cellStyle name="Normal_Centrifuge Mass Balance" xfId="3" xr:uid="{EB3277EA-F46C-43CC-BCB6-8FC36766871B}"/>
    <cellStyle name="Normal_Data Analysis Template (prob) V 6.0" xfId="5" xr:uid="{0BD4B83E-2690-45CA-A4D0-972B7CDBCB19}"/>
  </cellStyles>
  <dxfs count="8">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Stiffness Factor</a:t>
            </a:r>
            <a:r>
              <a:rPr lang="en-US" baseline="0"/>
              <a:t> For Earth Load Circumferential Stress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Tables!$A$18:$A$37</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Tables!$B$18:$B$37</c:f>
              <c:numCache>
                <c:formatCode>General</c:formatCode>
                <c:ptCount val="20"/>
                <c:pt idx="0">
                  <c:v>11632</c:v>
                </c:pt>
                <c:pt idx="1">
                  <c:v>11632</c:v>
                </c:pt>
                <c:pt idx="2">
                  <c:v>11338</c:v>
                </c:pt>
                <c:pt idx="3">
                  <c:v>8552</c:v>
                </c:pt>
                <c:pt idx="4">
                  <c:v>6564</c:v>
                </c:pt>
                <c:pt idx="5">
                  <c:v>4873</c:v>
                </c:pt>
                <c:pt idx="6">
                  <c:v>3900</c:v>
                </c:pt>
                <c:pt idx="7">
                  <c:v>3000</c:v>
                </c:pt>
                <c:pt idx="8">
                  <c:v>1781</c:v>
                </c:pt>
                <c:pt idx="9">
                  <c:v>1153</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1D90-4B4B-9C19-E08460B50AE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Tables!$C$18:$C$37</c:f>
              <c:numCache>
                <c:formatCode>General</c:formatCode>
                <c:ptCount val="20"/>
                <c:pt idx="0">
                  <c:v>7.26E-3</c:v>
                </c:pt>
                <c:pt idx="1">
                  <c:v>7.92E-3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Tables!$D$18:$D$37</c:f>
              <c:numCache>
                <c:formatCode>General</c:formatCode>
                <c:ptCount val="20"/>
                <c:pt idx="0">
                  <c:v>7625</c:v>
                </c:pt>
                <c:pt idx="1">
                  <c:v>7625</c:v>
                </c:pt>
                <c:pt idx="2">
                  <c:v>7286</c:v>
                </c:pt>
                <c:pt idx="3">
                  <c:v>6280</c:v>
                </c:pt>
                <c:pt idx="4">
                  <c:v>5374</c:v>
                </c:pt>
                <c:pt idx="5">
                  <c:v>4305</c:v>
                </c:pt>
                <c:pt idx="6">
                  <c:v>3476</c:v>
                </c:pt>
                <c:pt idx="7">
                  <c:v>2663</c:v>
                </c:pt>
                <c:pt idx="8">
                  <c:v>1642</c:v>
                </c:pt>
                <c:pt idx="9">
                  <c:v>1077</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1D90-4B4B-9C19-E08460B50AEF}"/>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Tables!$E$18:$E$37</c:f>
              <c:numCache>
                <c:formatCode>General</c:formatCode>
                <c:ptCount val="20"/>
                <c:pt idx="0">
                  <c:v>7.3800000000000003E-3</c:v>
                </c:pt>
                <c:pt idx="1">
                  <c:v>7.7499999999999999E-3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Tables!$F$18:$F$37</c:f>
              <c:numCache>
                <c:formatCode>General</c:formatCode>
                <c:ptCount val="20"/>
                <c:pt idx="0">
                  <c:v>5772</c:v>
                </c:pt>
                <c:pt idx="1">
                  <c:v>5449</c:v>
                </c:pt>
                <c:pt idx="2">
                  <c:v>5175</c:v>
                </c:pt>
                <c:pt idx="3">
                  <c:v>4499</c:v>
                </c:pt>
                <c:pt idx="4">
                  <c:v>3882</c:v>
                </c:pt>
                <c:pt idx="5">
                  <c:v>3261</c:v>
                </c:pt>
                <c:pt idx="6">
                  <c:v>2791</c:v>
                </c:pt>
                <c:pt idx="7">
                  <c:v>2292</c:v>
                </c:pt>
                <c:pt idx="8">
                  <c:v>1545</c:v>
                </c:pt>
                <c:pt idx="9">
                  <c:v>1066</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1D90-4B4B-9C19-E08460B50AEF}"/>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Tables!$G$18:$G$37</c:f>
              <c:numCache>
                <c:formatCode>General</c:formatCode>
                <c:ptCount val="20"/>
                <c:pt idx="0">
                  <c:v>7.26E-3</c:v>
                </c:pt>
                <c:pt idx="1">
                  <c:v>7.7499999999999999E-3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Tables!$H$18:$H$37</c:f>
              <c:numCache>
                <c:formatCode>General</c:formatCode>
                <c:ptCount val="20"/>
                <c:pt idx="0">
                  <c:v>4443</c:v>
                </c:pt>
                <c:pt idx="1">
                  <c:v>4000</c:v>
                </c:pt>
                <c:pt idx="2">
                  <c:v>3804</c:v>
                </c:pt>
                <c:pt idx="3">
                  <c:v>3208</c:v>
                </c:pt>
                <c:pt idx="4">
                  <c:v>2777</c:v>
                </c:pt>
                <c:pt idx="5">
                  <c:v>2404</c:v>
                </c:pt>
                <c:pt idx="6">
                  <c:v>2145</c:v>
                </c:pt>
                <c:pt idx="7">
                  <c:v>1852</c:v>
                </c:pt>
                <c:pt idx="8">
                  <c:v>1387</c:v>
                </c:pt>
                <c:pt idx="9">
                  <c:v>1000</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1D90-4B4B-9C19-E08460B50AEF}"/>
            </c:ext>
          </c:extLst>
        </c:ser>
        <c:dLbls>
          <c:showLegendKey val="0"/>
          <c:showVal val="0"/>
          <c:showCatName val="0"/>
          <c:showSerName val="0"/>
          <c:showPercent val="0"/>
          <c:showBubbleSize val="0"/>
        </c:dLbls>
        <c:axId val="1984932815"/>
        <c:axId val="1984941455"/>
      </c:scatterChart>
      <c:valAx>
        <c:axId val="1984932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41455"/>
        <c:crosses val="autoZero"/>
        <c:crossBetween val="midCat"/>
      </c:valAx>
      <c:valAx>
        <c:axId val="198494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328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Burial Factor Earth 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Tables!$A$43:$A$75</c:f>
              <c:numCache>
                <c:formatCode>General</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Tables!$B$43:$B$75</c:f>
              <c:numCache>
                <c:formatCode>General</c:formatCode>
                <c:ptCount val="33"/>
                <c:pt idx="0">
                  <c:v>0</c:v>
                </c:pt>
                <c:pt idx="1">
                  <c:v>0.32100000000000001</c:v>
                </c:pt>
                <c:pt idx="2">
                  <c:v>0.64400000000000002</c:v>
                </c:pt>
                <c:pt idx="3">
                  <c:v>0.84399999999999997</c:v>
                </c:pt>
                <c:pt idx="4">
                  <c:v>0.98299999999999998</c:v>
                </c:pt>
                <c:pt idx="5">
                  <c:v>1.077</c:v>
                </c:pt>
                <c:pt idx="6">
                  <c:v>1.1619999999999999</c:v>
                </c:pt>
                <c:pt idx="7">
                  <c:v>1.2150000000000001</c:v>
                </c:pt>
                <c:pt idx="8">
                  <c:v>1.26</c:v>
                </c:pt>
                <c:pt idx="9">
                  <c:v>1.2949999999999999</c:v>
                </c:pt>
                <c:pt idx="10">
                  <c:v>1.325</c:v>
                </c:pt>
                <c:pt idx="11">
                  <c:v>1.3420000000000001</c:v>
                </c:pt>
                <c:pt idx="12">
                  <c:v>1.3560000000000001</c:v>
                </c:pt>
                <c:pt idx="13">
                  <c:v>1.363</c:v>
                </c:pt>
                <c:pt idx="14">
                  <c:v>1.3640000000000001</c:v>
                </c:pt>
                <c:pt idx="15">
                  <c:v>1.3640000000000001</c:v>
                </c:pt>
                <c:pt idx="16">
                  <c:v>1.3640000000000001</c:v>
                </c:pt>
                <c:pt idx="17">
                  <c:v>1.3640000000000001</c:v>
                </c:pt>
                <c:pt idx="18">
                  <c:v>1.3640000000000001</c:v>
                </c:pt>
                <c:pt idx="19">
                  <c:v>1.3640000000000001</c:v>
                </c:pt>
                <c:pt idx="20">
                  <c:v>1.3640000000000001</c:v>
                </c:pt>
                <c:pt idx="21">
                  <c:v>1.3640000000000001</c:v>
                </c:pt>
                <c:pt idx="22">
                  <c:v>1.3640000000000001</c:v>
                </c:pt>
                <c:pt idx="23">
                  <c:v>1.3640000000000001</c:v>
                </c:pt>
                <c:pt idx="24">
                  <c:v>1.3640000000000001</c:v>
                </c:pt>
                <c:pt idx="25">
                  <c:v>1.3640000000000001</c:v>
                </c:pt>
                <c:pt idx="26">
                  <c:v>1.3640000000000001</c:v>
                </c:pt>
                <c:pt idx="27">
                  <c:v>1.3640000000000001</c:v>
                </c:pt>
                <c:pt idx="28">
                  <c:v>1.3640000000000001</c:v>
                </c:pt>
                <c:pt idx="29">
                  <c:v>1.3640000000000001</c:v>
                </c:pt>
                <c:pt idx="30">
                  <c:v>1.3640000000000001</c:v>
                </c:pt>
                <c:pt idx="31">
                  <c:v>1.3640000000000001</c:v>
                </c:pt>
                <c:pt idx="32">
                  <c:v>1.3640000000000001</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5F76-4DF3-A11C-F766E71987A1}"/>
            </c:ext>
          </c:extLst>
        </c:ser>
        <c:ser>
          <c:idx val="2"/>
          <c:order val="1"/>
          <c:spPr>
            <a:ln w="28575" cap="rnd">
              <a:solidFill>
                <a:schemeClr val="accent3"/>
              </a:solidFill>
              <a:round/>
            </a:ln>
            <a:effectLst/>
          </c:spPr>
          <c:marker>
            <c:symbol val="none"/>
          </c:marker>
          <c:cat>
            <c:numRef>
              <c:f>Tables!$A$43:$A$75</c:f>
              <c:numCache>
                <c:formatCode>General</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Tables!$D$43:$D$75</c:f>
              <c:numCache>
                <c:formatCode>General</c:formatCode>
                <c:ptCount val="33"/>
                <c:pt idx="0">
                  <c:v>0</c:v>
                </c:pt>
                <c:pt idx="1">
                  <c:v>0.32100000000000001</c:v>
                </c:pt>
                <c:pt idx="2">
                  <c:v>0.63100000000000001</c:v>
                </c:pt>
                <c:pt idx="3">
                  <c:v>0.77600000000000002</c:v>
                </c:pt>
                <c:pt idx="4">
                  <c:v>0.89300000000000002</c:v>
                </c:pt>
                <c:pt idx="5">
                  <c:v>0.96399999999999997</c:v>
                </c:pt>
                <c:pt idx="6">
                  <c:v>1.032</c:v>
                </c:pt>
                <c:pt idx="7">
                  <c:v>1.071</c:v>
                </c:pt>
                <c:pt idx="8">
                  <c:v>1.1080000000000001</c:v>
                </c:pt>
                <c:pt idx="9">
                  <c:v>1.133</c:v>
                </c:pt>
                <c:pt idx="10">
                  <c:v>1.1519999999999999</c:v>
                </c:pt>
                <c:pt idx="11">
                  <c:v>1.1639999999999999</c:v>
                </c:pt>
                <c:pt idx="12">
                  <c:v>1.1719999999999999</c:v>
                </c:pt>
                <c:pt idx="13">
                  <c:v>1.173</c:v>
                </c:pt>
                <c:pt idx="14">
                  <c:v>1.173</c:v>
                </c:pt>
                <c:pt idx="15">
                  <c:v>1.173</c:v>
                </c:pt>
                <c:pt idx="16">
                  <c:v>1.173</c:v>
                </c:pt>
                <c:pt idx="17">
                  <c:v>1.173</c:v>
                </c:pt>
                <c:pt idx="18">
                  <c:v>1.173</c:v>
                </c:pt>
                <c:pt idx="19">
                  <c:v>1.173</c:v>
                </c:pt>
                <c:pt idx="20">
                  <c:v>1.173</c:v>
                </c:pt>
                <c:pt idx="21">
                  <c:v>1.173</c:v>
                </c:pt>
                <c:pt idx="22">
                  <c:v>1.173</c:v>
                </c:pt>
                <c:pt idx="23">
                  <c:v>1.173</c:v>
                </c:pt>
                <c:pt idx="24">
                  <c:v>1.173</c:v>
                </c:pt>
                <c:pt idx="25">
                  <c:v>1.173</c:v>
                </c:pt>
                <c:pt idx="26">
                  <c:v>1.173</c:v>
                </c:pt>
                <c:pt idx="27">
                  <c:v>1.173</c:v>
                </c:pt>
                <c:pt idx="28">
                  <c:v>1.173</c:v>
                </c:pt>
                <c:pt idx="29">
                  <c:v>1.173</c:v>
                </c:pt>
                <c:pt idx="30">
                  <c:v>1.173</c:v>
                </c:pt>
                <c:pt idx="31">
                  <c:v>1.173</c:v>
                </c:pt>
                <c:pt idx="32">
                  <c:v>1.173</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5F76-4DF3-A11C-F766E71987A1}"/>
            </c:ext>
          </c:extLst>
        </c:ser>
        <c:ser>
          <c:idx val="1"/>
          <c:order val="2"/>
          <c:spPr>
            <a:ln w="28575" cap="rnd">
              <a:solidFill>
                <a:schemeClr val="accent2"/>
              </a:solidFill>
              <a:round/>
            </a:ln>
            <a:effectLst/>
          </c:spPr>
          <c:marker>
            <c:symbol val="none"/>
          </c:marker>
          <c:val>
            <c:numLit>
              <c:formatCode>General</c:formatCode>
              <c:ptCount val="1"/>
              <c:pt idx="0">
                <c:v>1</c:v>
              </c:pt>
            </c:numLit>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5-5F76-4DF3-A11C-F766E71987A1}"/>
            </c:ext>
          </c:extLst>
        </c:ser>
        <c:dLbls>
          <c:showLegendKey val="0"/>
          <c:showVal val="0"/>
          <c:showCatName val="0"/>
          <c:showSerName val="0"/>
          <c:showPercent val="0"/>
          <c:showBubbleSize val="0"/>
        </c:dLbls>
        <c:smooth val="0"/>
        <c:axId val="828306128"/>
        <c:axId val="828302288"/>
      </c:lineChart>
      <c:catAx>
        <c:axId val="8283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302288"/>
        <c:crosses val="autoZero"/>
        <c:auto val="1"/>
        <c:lblAlgn val="ctr"/>
        <c:lblOffset val="100"/>
        <c:noMultiLvlLbl val="0"/>
      </c:catAx>
      <c:valAx>
        <c:axId val="82830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30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Excavation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Tables!$A$80:$A$86</c:f>
              <c:numCache>
                <c:formatCode>General</c:formatCode>
                <c:ptCount val="7"/>
                <c:pt idx="0">
                  <c:v>1</c:v>
                </c:pt>
                <c:pt idx="1">
                  <c:v>1.05</c:v>
                </c:pt>
                <c:pt idx="2">
                  <c:v>1.1000000000000001</c:v>
                </c:pt>
                <c:pt idx="3">
                  <c:v>1.1499999999999999</c:v>
                </c:pt>
                <c:pt idx="4">
                  <c:v>1.2</c:v>
                </c:pt>
                <c:pt idx="5">
                  <c:v>1.25</c:v>
                </c:pt>
                <c:pt idx="6">
                  <c:v>1.3</c:v>
                </c:pt>
              </c:numCache>
            </c:numRef>
          </c:cat>
          <c:val>
            <c:numRef>
              <c:f>Tables!$B$80:$B$86</c:f>
              <c:numCache>
                <c:formatCode>General</c:formatCode>
                <c:ptCount val="7"/>
                <c:pt idx="0">
                  <c:v>0.83069999999999999</c:v>
                </c:pt>
                <c:pt idx="1">
                  <c:v>0.90900000000000003</c:v>
                </c:pt>
                <c:pt idx="2">
                  <c:v>0.99660000000000004</c:v>
                </c:pt>
                <c:pt idx="3">
                  <c:v>1.0903</c:v>
                </c:pt>
                <c:pt idx="4">
                  <c:v>1.1909000000000001</c:v>
                </c:pt>
                <c:pt idx="5">
                  <c:v>1.2941</c:v>
                </c:pt>
                <c:pt idx="6">
                  <c:v>1.4</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8EA0-40EE-8349-D95908BB1DE0}"/>
            </c:ext>
          </c:extLst>
        </c:ser>
        <c:dLbls>
          <c:showLegendKey val="0"/>
          <c:showVal val="0"/>
          <c:showCatName val="0"/>
          <c:showSerName val="0"/>
          <c:showPercent val="0"/>
          <c:showBubbleSize val="0"/>
        </c:dLbls>
        <c:smooth val="0"/>
        <c:axId val="729321760"/>
        <c:axId val="729319840"/>
      </c:lineChart>
      <c:catAx>
        <c:axId val="7293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19840"/>
        <c:crosses val="autoZero"/>
        <c:auto val="1"/>
        <c:lblAlgn val="ctr"/>
        <c:lblOffset val="100"/>
        <c:noMultiLvlLbl val="0"/>
      </c:catAx>
      <c:valAx>
        <c:axId val="72931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2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spPr>
            <a:ln w="28575" cap="rnd">
              <a:solidFill>
                <a:schemeClr val="accent2"/>
              </a:solidFill>
              <a:round/>
            </a:ln>
            <a:effectLst/>
          </c:spPr>
          <c:marker>
            <c:symbol val="none"/>
          </c:marker>
          <c:val>
            <c:numRef>
              <c:f>Tables!$A$91:$A$93</c:f>
              <c:numCache>
                <c:formatCode>General</c:formatCode>
                <c:ptCount val="3"/>
                <c:pt idx="0">
                  <c:v>0</c:v>
                </c:pt>
                <c:pt idx="1">
                  <c:v>5.22</c:v>
                </c:pt>
                <c:pt idx="2">
                  <c:v>21.62</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89FE-4ABD-B313-BEB7155401A3}"/>
            </c:ext>
          </c:extLst>
        </c:ser>
        <c:ser>
          <c:idx val="0"/>
          <c:order val="1"/>
          <c:spPr>
            <a:ln w="28575" cap="rnd">
              <a:solidFill>
                <a:schemeClr val="accent1"/>
              </a:solidFill>
              <a:round/>
            </a:ln>
            <a:effectLst/>
          </c:spPr>
          <c:marker>
            <c:symbol val="none"/>
          </c:marker>
          <c:val>
            <c:numLit>
              <c:formatCode>General</c:formatCode>
              <c:ptCount val="1"/>
              <c:pt idx="0">
                <c:v>1</c:v>
              </c:pt>
            </c:numLit>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89FE-4ABD-B313-BEB7155401A3}"/>
            </c:ext>
          </c:extLst>
        </c:ser>
        <c:dLbls>
          <c:showLegendKey val="0"/>
          <c:showVal val="0"/>
          <c:showCatName val="0"/>
          <c:showSerName val="0"/>
          <c:showPercent val="0"/>
          <c:showBubbleSize val="0"/>
        </c:dLbls>
        <c:smooth val="0"/>
        <c:axId val="2059866192"/>
        <c:axId val="2059869072"/>
      </c:lineChart>
      <c:catAx>
        <c:axId val="20598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69072"/>
        <c:crosses val="autoZero"/>
        <c:auto val="1"/>
        <c:lblAlgn val="ctr"/>
        <c:lblOffset val="100"/>
        <c:noMultiLvlLbl val="0"/>
      </c:catAx>
      <c:valAx>
        <c:axId val="205986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6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Stiffness Factor for Cyclic Circumferential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Tables!$B$97:$B$98</c:f>
              <c:strCache>
                <c:ptCount val="2"/>
                <c:pt idx="0">
                  <c:v>Er = 5 ksi</c:v>
                </c:pt>
                <c:pt idx="1">
                  <c:v>Y (KHh)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Tables!$A$99:$A$117</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Tables!$B$99:$B$117</c:f>
              <c:numCache>
                <c:formatCode>General</c:formatCode>
                <c:ptCount val="19"/>
                <c:pt idx="0">
                  <c:v>19.818999999999999</c:v>
                </c:pt>
                <c:pt idx="1">
                  <c:v>19.818999999999999</c:v>
                </c:pt>
                <c:pt idx="2">
                  <c:v>20.376000000000001</c:v>
                </c:pt>
                <c:pt idx="3">
                  <c:v>20.675999999999998</c:v>
                </c:pt>
                <c:pt idx="4">
                  <c:v>20.632000000000001</c:v>
                </c:pt>
                <c:pt idx="5">
                  <c:v>20.338999999999999</c:v>
                </c:pt>
                <c:pt idx="6">
                  <c:v>19.387</c:v>
                </c:pt>
                <c:pt idx="7">
                  <c:v>17.248999999999999</c:v>
                </c:pt>
                <c:pt idx="8">
                  <c:v>13.464</c:v>
                </c:pt>
                <c:pt idx="9">
                  <c:v>10.35</c:v>
                </c:pt>
                <c:pt idx="10">
                  <c:v>8.6809999999999992</c:v>
                </c:pt>
                <c:pt idx="11">
                  <c:v>7.077</c:v>
                </c:pt>
                <c:pt idx="12">
                  <c:v>5.9139999999999997</c:v>
                </c:pt>
                <c:pt idx="13">
                  <c:v>5.15</c:v>
                </c:pt>
                <c:pt idx="14">
                  <c:v>4.1529999999999996</c:v>
                </c:pt>
                <c:pt idx="15">
                  <c:v>3.4649999999999999</c:v>
                </c:pt>
                <c:pt idx="16">
                  <c:v>2.823</c:v>
                </c:pt>
                <c:pt idx="17">
                  <c:v>2.323</c:v>
                </c:pt>
                <c:pt idx="18">
                  <c:v>1.9059999999999999</c:v>
                </c:pt>
              </c:numCache>
            </c:numRef>
          </c:yVal>
          <c:smooth val="0"/>
          <c:extLst>
            <c:ext xmlns:c16="http://schemas.microsoft.com/office/drawing/2014/chart" uri="{C3380CC4-5D6E-409C-BE32-E72D297353CC}">
              <c16:uniqueId val="{00000000-72A3-44A7-A2DB-1AF74B7DFDF0}"/>
            </c:ext>
          </c:extLst>
        </c:ser>
        <c:ser>
          <c:idx val="1"/>
          <c:order val="1"/>
          <c:tx>
            <c:strRef>
              <c:f>Tables!$D$97:$D$98</c:f>
              <c:strCache>
                <c:ptCount val="2"/>
                <c:pt idx="0">
                  <c:v>Er = 10 ksi</c:v>
                </c:pt>
                <c:pt idx="1">
                  <c:v>Y (KHh)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Tables!$C$99:$C$117</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Tables!$D$99:$D$117</c:f>
              <c:numCache>
                <c:formatCode>General</c:formatCode>
                <c:ptCount val="19"/>
                <c:pt idx="0">
                  <c:v>12.714</c:v>
                </c:pt>
                <c:pt idx="1">
                  <c:v>13.066000000000001</c:v>
                </c:pt>
                <c:pt idx="2">
                  <c:v>14.063000000000001</c:v>
                </c:pt>
                <c:pt idx="3">
                  <c:v>14.603</c:v>
                </c:pt>
                <c:pt idx="4">
                  <c:v>14.746</c:v>
                </c:pt>
                <c:pt idx="5">
                  <c:v>14.641</c:v>
                </c:pt>
                <c:pt idx="6">
                  <c:v>14.101000000000001</c:v>
                </c:pt>
                <c:pt idx="7">
                  <c:v>12.5</c:v>
                </c:pt>
                <c:pt idx="8">
                  <c:v>10.52</c:v>
                </c:pt>
                <c:pt idx="9">
                  <c:v>8.7650000000000006</c:v>
                </c:pt>
                <c:pt idx="10">
                  <c:v>7.6130000000000004</c:v>
                </c:pt>
                <c:pt idx="11">
                  <c:v>6.5519999999999996</c:v>
                </c:pt>
                <c:pt idx="12">
                  <c:v>5.4649999999999999</c:v>
                </c:pt>
                <c:pt idx="13">
                  <c:v>4.5999999999999996</c:v>
                </c:pt>
                <c:pt idx="14">
                  <c:v>3.7850000000000001</c:v>
                </c:pt>
                <c:pt idx="15">
                  <c:v>3.1240000000000001</c:v>
                </c:pt>
                <c:pt idx="16">
                  <c:v>2.4940000000000002</c:v>
                </c:pt>
                <c:pt idx="17">
                  <c:v>2.0350000000000001</c:v>
                </c:pt>
                <c:pt idx="18">
                  <c:v>1.605</c:v>
                </c:pt>
              </c:numCache>
            </c:numRef>
          </c:yVal>
          <c:smooth val="0"/>
          <c:extLst>
            <c:ext xmlns:c16="http://schemas.microsoft.com/office/drawing/2014/chart" uri="{C3380CC4-5D6E-409C-BE32-E72D297353CC}">
              <c16:uniqueId val="{00000001-72A3-44A7-A2DB-1AF74B7DFDF0}"/>
            </c:ext>
          </c:extLst>
        </c:ser>
        <c:ser>
          <c:idx val="2"/>
          <c:order val="2"/>
          <c:tx>
            <c:strRef>
              <c:f>Tables!$F$97:$F$98</c:f>
              <c:strCache>
                <c:ptCount val="2"/>
                <c:pt idx="0">
                  <c:v>Er = 20 ksi</c:v>
                </c:pt>
                <c:pt idx="1">
                  <c:v>Y (KHh)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Tables!$E$99:$E$117</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Tables!$F$99:$F$117</c:f>
              <c:numCache>
                <c:formatCode>General</c:formatCode>
                <c:ptCount val="19"/>
                <c:pt idx="0">
                  <c:v>6.8559999999999999</c:v>
                </c:pt>
                <c:pt idx="1">
                  <c:v>7.2169999999999996</c:v>
                </c:pt>
                <c:pt idx="2">
                  <c:v>8.1029999999999998</c:v>
                </c:pt>
                <c:pt idx="3">
                  <c:v>8.7859999999999996</c:v>
                </c:pt>
                <c:pt idx="4">
                  <c:v>9.1210000000000004</c:v>
                </c:pt>
                <c:pt idx="5">
                  <c:v>9.3870000000000005</c:v>
                </c:pt>
                <c:pt idx="6">
                  <c:v>9.51</c:v>
                </c:pt>
                <c:pt idx="7">
                  <c:v>9.3230000000000004</c:v>
                </c:pt>
                <c:pt idx="8">
                  <c:v>8.4469999999999992</c:v>
                </c:pt>
                <c:pt idx="9">
                  <c:v>7.2</c:v>
                </c:pt>
                <c:pt idx="10">
                  <c:v>6.367</c:v>
                </c:pt>
                <c:pt idx="11">
                  <c:v>5.55</c:v>
                </c:pt>
                <c:pt idx="12">
                  <c:v>4.734</c:v>
                </c:pt>
                <c:pt idx="13">
                  <c:v>4.0359999999999996</c:v>
                </c:pt>
                <c:pt idx="14">
                  <c:v>3.3260000000000001</c:v>
                </c:pt>
                <c:pt idx="15">
                  <c:v>2.7530000000000001</c:v>
                </c:pt>
                <c:pt idx="16">
                  <c:v>2.1859999999999999</c:v>
                </c:pt>
                <c:pt idx="17">
                  <c:v>1.7270000000000001</c:v>
                </c:pt>
                <c:pt idx="18">
                  <c:v>1.3009999999999999</c:v>
                </c:pt>
              </c:numCache>
            </c:numRef>
          </c:yVal>
          <c:smooth val="0"/>
          <c:extLst>
            <c:ext xmlns:c16="http://schemas.microsoft.com/office/drawing/2014/chart" uri="{C3380CC4-5D6E-409C-BE32-E72D297353CC}">
              <c16:uniqueId val="{00000002-72A3-44A7-A2DB-1AF74B7DFDF0}"/>
            </c:ext>
          </c:extLst>
        </c:ser>
        <c:dLbls>
          <c:showLegendKey val="0"/>
          <c:showVal val="0"/>
          <c:showCatName val="0"/>
          <c:showSerName val="0"/>
          <c:showPercent val="0"/>
          <c:showBubbleSize val="0"/>
        </c:dLbls>
        <c:axId val="830167712"/>
        <c:axId val="830171552"/>
      </c:scatterChart>
      <c:valAx>
        <c:axId val="83016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71552"/>
        <c:crosses val="autoZero"/>
        <c:crossBetween val="midCat"/>
      </c:valAx>
      <c:valAx>
        <c:axId val="83017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677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Geometry Factor for Cyclic Circumferential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Tables!$B$121:$B$122</c:f>
              <c:strCache>
                <c:ptCount val="2"/>
                <c:pt idx="0">
                  <c:v>H = 3' to 4'</c:v>
                </c:pt>
                <c:pt idx="1">
                  <c:v>Y (GHh)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Tables!$A$124:$A$137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Tables!$B$124:$B$137</c:f>
              <c:numCache>
                <c:formatCode>General</c:formatCode>
                <c:ptCount val="14"/>
                <c:pt idx="0">
                  <c:v>1.444</c:v>
                </c:pt>
                <c:pt idx="1">
                  <c:v>1.444</c:v>
                </c:pt>
                <c:pt idx="2">
                  <c:v>1.48</c:v>
                </c:pt>
                <c:pt idx="3">
                  <c:v>1.4910000000000001</c:v>
                </c:pt>
                <c:pt idx="4">
                  <c:v>1.4830000000000001</c:v>
                </c:pt>
                <c:pt idx="5">
                  <c:v>1.4670000000000001</c:v>
                </c:pt>
                <c:pt idx="6">
                  <c:v>1.413</c:v>
                </c:pt>
                <c:pt idx="7">
                  <c:v>1.339</c:v>
                </c:pt>
                <c:pt idx="8">
                  <c:v>1.272</c:v>
                </c:pt>
                <c:pt idx="9">
                  <c:v>1.2230000000000001</c:v>
                </c:pt>
                <c:pt idx="10">
                  <c:v>1.1679999999999999</c:v>
                </c:pt>
                <c:pt idx="11">
                  <c:v>1.0469999999999999</c:v>
                </c:pt>
                <c:pt idx="12">
                  <c:v>0.96299999999999997</c:v>
                </c:pt>
                <c:pt idx="13">
                  <c:v>0.94599999999999995</c:v>
                </c:pt>
              </c:numCache>
            </c:numRef>
          </c:yVal>
          <c:smooth val="0"/>
          <c:extLst>
            <c:ext xmlns:c16="http://schemas.microsoft.com/office/drawing/2014/chart" uri="{C3380CC4-5D6E-409C-BE32-E72D297353CC}">
              <c16:uniqueId val="{00000000-7A91-40E3-BDF6-632FA295990E}"/>
            </c:ext>
          </c:extLst>
        </c:ser>
        <c:ser>
          <c:idx val="1"/>
          <c:order val="1"/>
          <c:tx>
            <c:strRef>
              <c:f>Tables!$D$121:$D$122</c:f>
              <c:strCache>
                <c:ptCount val="2"/>
                <c:pt idx="0">
                  <c:v>H = 6'</c:v>
                </c:pt>
                <c:pt idx="1">
                  <c:v>Y (GHh)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Tables!$C$124:$C$137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Tables!$D$124:$D$137</c:f>
              <c:numCache>
                <c:formatCode>General</c:formatCode>
                <c:ptCount val="14"/>
                <c:pt idx="0">
                  <c:v>1.093</c:v>
                </c:pt>
                <c:pt idx="1">
                  <c:v>1.105</c:v>
                </c:pt>
                <c:pt idx="2">
                  <c:v>1.141</c:v>
                </c:pt>
                <c:pt idx="3">
                  <c:v>1.1579999999999999</c:v>
                </c:pt>
                <c:pt idx="4">
                  <c:v>1.1639999999999999</c:v>
                </c:pt>
                <c:pt idx="5">
                  <c:v>1.157</c:v>
                </c:pt>
                <c:pt idx="6">
                  <c:v>1.117</c:v>
                </c:pt>
                <c:pt idx="7">
                  <c:v>1.0720000000000001</c:v>
                </c:pt>
                <c:pt idx="8">
                  <c:v>1.0309999999999999</c:v>
                </c:pt>
                <c:pt idx="9">
                  <c:v>0.99299999999999999</c:v>
                </c:pt>
                <c:pt idx="10">
                  <c:v>0.93200000000000005</c:v>
                </c:pt>
                <c:pt idx="11">
                  <c:v>0.79900000000000004</c:v>
                </c:pt>
                <c:pt idx="12">
                  <c:v>0.72599999999999998</c:v>
                </c:pt>
                <c:pt idx="13">
                  <c:v>0.71399999999999997</c:v>
                </c:pt>
              </c:numCache>
            </c:numRef>
          </c:yVal>
          <c:smooth val="0"/>
          <c:extLst>
            <c:ext xmlns:c16="http://schemas.microsoft.com/office/drawing/2014/chart" uri="{C3380CC4-5D6E-409C-BE32-E72D297353CC}">
              <c16:uniqueId val="{00000001-7A91-40E3-BDF6-632FA295990E}"/>
            </c:ext>
          </c:extLst>
        </c:ser>
        <c:ser>
          <c:idx val="2"/>
          <c:order val="2"/>
          <c:tx>
            <c:strRef>
              <c:f>Tables!$F$121:$F$122</c:f>
              <c:strCache>
                <c:ptCount val="2"/>
                <c:pt idx="0">
                  <c:v>H = 8'</c:v>
                </c:pt>
                <c:pt idx="1">
                  <c:v>Y (GHh)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Tables!$E$124:$E$137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Tables!$F$124:$F$137</c:f>
              <c:numCache>
                <c:formatCode>General</c:formatCode>
                <c:ptCount val="14"/>
                <c:pt idx="0">
                  <c:v>0.85299999999999998</c:v>
                </c:pt>
                <c:pt idx="1">
                  <c:v>0.86399999999999999</c:v>
                </c:pt>
                <c:pt idx="2">
                  <c:v>0.88500000000000001</c:v>
                </c:pt>
                <c:pt idx="3">
                  <c:v>0.89600000000000002</c:v>
                </c:pt>
                <c:pt idx="4">
                  <c:v>0.90200000000000002</c:v>
                </c:pt>
                <c:pt idx="5">
                  <c:v>0.9</c:v>
                </c:pt>
                <c:pt idx="6">
                  <c:v>0.89</c:v>
                </c:pt>
                <c:pt idx="7">
                  <c:v>0.87</c:v>
                </c:pt>
                <c:pt idx="8">
                  <c:v>0.84399999999999997</c:v>
                </c:pt>
                <c:pt idx="9">
                  <c:v>0.81200000000000006</c:v>
                </c:pt>
                <c:pt idx="10">
                  <c:v>0.77200000000000002</c:v>
                </c:pt>
                <c:pt idx="11">
                  <c:v>0.67300000000000004</c:v>
                </c:pt>
                <c:pt idx="12">
                  <c:v>0.59599999999999997</c:v>
                </c:pt>
                <c:pt idx="13">
                  <c:v>0.57899999999999996</c:v>
                </c:pt>
              </c:numCache>
            </c:numRef>
          </c:yVal>
          <c:smooth val="0"/>
          <c:extLst>
            <c:ext xmlns:c16="http://schemas.microsoft.com/office/drawing/2014/chart" uri="{C3380CC4-5D6E-409C-BE32-E72D297353CC}">
              <c16:uniqueId val="{00000002-7A91-40E3-BDF6-632FA295990E}"/>
            </c:ext>
          </c:extLst>
        </c:ser>
        <c:ser>
          <c:idx val="3"/>
          <c:order val="3"/>
          <c:tx>
            <c:strRef>
              <c:f>Tables!$H$121:$H$122</c:f>
              <c:strCache>
                <c:ptCount val="2"/>
                <c:pt idx="0">
                  <c:v>H = 10'</c:v>
                </c:pt>
                <c:pt idx="1">
                  <c:v>Y (GHh)</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Tables!$G$124:$G$137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Tables!$H$124:$H$137</c:f>
              <c:numCache>
                <c:formatCode>General</c:formatCode>
                <c:ptCount val="14"/>
                <c:pt idx="0">
                  <c:v>0.67900000000000005</c:v>
                </c:pt>
                <c:pt idx="1">
                  <c:v>0.68899999999999995</c:v>
                </c:pt>
                <c:pt idx="2">
                  <c:v>0.71099999999999997</c:v>
                </c:pt>
                <c:pt idx="3">
                  <c:v>0.72499999999999998</c:v>
                </c:pt>
                <c:pt idx="4">
                  <c:v>0.73199999999999998</c:v>
                </c:pt>
                <c:pt idx="5">
                  <c:v>0.72699999999999998</c:v>
                </c:pt>
                <c:pt idx="6">
                  <c:v>0.71299999999999997</c:v>
                </c:pt>
                <c:pt idx="7">
                  <c:v>0.69599999999999995</c:v>
                </c:pt>
                <c:pt idx="8">
                  <c:v>0.67400000000000004</c:v>
                </c:pt>
                <c:pt idx="9">
                  <c:v>0.65300000000000002</c:v>
                </c:pt>
                <c:pt idx="10">
                  <c:v>0.61899999999999999</c:v>
                </c:pt>
                <c:pt idx="11">
                  <c:v>0.53600000000000003</c:v>
                </c:pt>
                <c:pt idx="12">
                  <c:v>0.47699999999999998</c:v>
                </c:pt>
                <c:pt idx="13">
                  <c:v>0.46899999999999997</c:v>
                </c:pt>
              </c:numCache>
            </c:numRef>
          </c:yVal>
          <c:smooth val="0"/>
          <c:extLst>
            <c:ext xmlns:c16="http://schemas.microsoft.com/office/drawing/2014/chart" uri="{C3380CC4-5D6E-409C-BE32-E72D297353CC}">
              <c16:uniqueId val="{00000003-7A91-40E3-BDF6-632FA295990E}"/>
            </c:ext>
          </c:extLst>
        </c:ser>
        <c:dLbls>
          <c:showLegendKey val="0"/>
          <c:showVal val="0"/>
          <c:showCatName val="0"/>
          <c:showSerName val="0"/>
          <c:showPercent val="0"/>
          <c:showBubbleSize val="0"/>
        </c:dLbls>
        <c:axId val="691828063"/>
        <c:axId val="691829023"/>
      </c:scatterChart>
      <c:valAx>
        <c:axId val="69182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29023"/>
        <c:crosses val="autoZero"/>
        <c:crossBetween val="midCat"/>
      </c:valAx>
      <c:valAx>
        <c:axId val="69182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280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Stiffness Factor for Cyclic Longitudinal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Tables!$B$242:$B$243</c:f>
              <c:strCache>
                <c:ptCount val="2"/>
                <c:pt idx="0">
                  <c:v>Er = 5 ksi</c:v>
                </c:pt>
                <c:pt idx="1">
                  <c:v>Y (KLh)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Tables!$A$245:$A$254</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Tables!$B$245:$B$254</c:f>
              <c:numCache>
                <c:formatCode>General</c:formatCode>
                <c:ptCount val="10"/>
                <c:pt idx="0">
                  <c:v>14.658999999999999</c:v>
                </c:pt>
                <c:pt idx="1">
                  <c:v>15</c:v>
                </c:pt>
                <c:pt idx="2">
                  <c:v>14.384999999999998</c:v>
                </c:pt>
                <c:pt idx="3">
                  <c:v>13.278</c:v>
                </c:pt>
                <c:pt idx="4">
                  <c:v>11.77</c:v>
                </c:pt>
                <c:pt idx="5">
                  <c:v>9.6579999999999995</c:v>
                </c:pt>
                <c:pt idx="6">
                  <c:v>8.3629999999999995</c:v>
                </c:pt>
                <c:pt idx="7">
                  <c:v>7.5739999999999998</c:v>
                </c:pt>
                <c:pt idx="8">
                  <c:v>7.1029999999999998</c:v>
                </c:pt>
                <c:pt idx="9">
                  <c:v>6.9409999999999998</c:v>
                </c:pt>
              </c:numCache>
            </c:numRef>
          </c:yVal>
          <c:smooth val="0"/>
          <c:extLst>
            <c:ext xmlns:c16="http://schemas.microsoft.com/office/drawing/2014/chart" uri="{C3380CC4-5D6E-409C-BE32-E72D297353CC}">
              <c16:uniqueId val="{00000000-2EDF-4787-A46E-EA95A925CDF6}"/>
            </c:ext>
          </c:extLst>
        </c:ser>
        <c:ser>
          <c:idx val="1"/>
          <c:order val="1"/>
          <c:tx>
            <c:strRef>
              <c:f>Tables!$D$242:$D$243</c:f>
              <c:strCache>
                <c:ptCount val="2"/>
                <c:pt idx="0">
                  <c:v>Er = 10 ksi</c:v>
                </c:pt>
                <c:pt idx="1">
                  <c:v>Y (KLh)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Tables!$C$245:$C$254</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Tables!$D$245:$D$254</c:f>
              <c:numCache>
                <c:formatCode>General</c:formatCode>
                <c:ptCount val="10"/>
                <c:pt idx="0">
                  <c:v>9.7669999999999995</c:v>
                </c:pt>
                <c:pt idx="1">
                  <c:v>10</c:v>
                </c:pt>
                <c:pt idx="2">
                  <c:v>9.7669999999999995</c:v>
                </c:pt>
                <c:pt idx="3">
                  <c:v>9.1579999999999995</c:v>
                </c:pt>
                <c:pt idx="4">
                  <c:v>8.4130000000000003</c:v>
                </c:pt>
                <c:pt idx="5">
                  <c:v>6.8170000000000002</c:v>
                </c:pt>
                <c:pt idx="6">
                  <c:v>5.8330000000000002</c:v>
                </c:pt>
                <c:pt idx="7">
                  <c:v>5.1989999999999998</c:v>
                </c:pt>
                <c:pt idx="8">
                  <c:v>4.8239999999999998</c:v>
                </c:pt>
                <c:pt idx="9">
                  <c:v>4.6459999999999999</c:v>
                </c:pt>
              </c:numCache>
            </c:numRef>
          </c:yVal>
          <c:smooth val="0"/>
          <c:extLst>
            <c:ext xmlns:c16="http://schemas.microsoft.com/office/drawing/2014/chart" uri="{C3380CC4-5D6E-409C-BE32-E72D297353CC}">
              <c16:uniqueId val="{00000001-2EDF-4787-A46E-EA95A925CDF6}"/>
            </c:ext>
          </c:extLst>
        </c:ser>
        <c:ser>
          <c:idx val="2"/>
          <c:order val="2"/>
          <c:tx>
            <c:strRef>
              <c:f>Tables!$F$242:$F$243</c:f>
              <c:strCache>
                <c:ptCount val="2"/>
                <c:pt idx="0">
                  <c:v>Er = 20 ksi</c:v>
                </c:pt>
                <c:pt idx="1">
                  <c:v>Y (KLh)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Tables!$E$245:$E$254</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Tables!$F$245:$F$254</c:f>
              <c:numCache>
                <c:formatCode>General</c:formatCode>
                <c:ptCount val="10"/>
                <c:pt idx="0">
                  <c:v>6.0990000000000002</c:v>
                </c:pt>
                <c:pt idx="1">
                  <c:v>6.5839999999999996</c:v>
                </c:pt>
                <c:pt idx="2">
                  <c:v>6.5839999999999996</c:v>
                </c:pt>
                <c:pt idx="3">
                  <c:v>6.32</c:v>
                </c:pt>
                <c:pt idx="4">
                  <c:v>5.7640000000000002</c:v>
                </c:pt>
                <c:pt idx="5">
                  <c:v>4.7690000000000001</c:v>
                </c:pt>
                <c:pt idx="6">
                  <c:v>3.96</c:v>
                </c:pt>
                <c:pt idx="7">
                  <c:v>3.3929999999999998</c:v>
                </c:pt>
                <c:pt idx="8">
                  <c:v>3.0369999999999999</c:v>
                </c:pt>
                <c:pt idx="9">
                  <c:v>2.9929999999999999</c:v>
                </c:pt>
              </c:numCache>
            </c:numRef>
          </c:yVal>
          <c:smooth val="0"/>
          <c:extLst>
            <c:ext xmlns:c16="http://schemas.microsoft.com/office/drawing/2014/chart" uri="{C3380CC4-5D6E-409C-BE32-E72D297353CC}">
              <c16:uniqueId val="{00000002-2EDF-4787-A46E-EA95A925CDF6}"/>
            </c:ext>
          </c:extLst>
        </c:ser>
        <c:dLbls>
          <c:showLegendKey val="0"/>
          <c:showVal val="0"/>
          <c:showCatName val="0"/>
          <c:showSerName val="0"/>
          <c:showPercent val="0"/>
          <c:showBubbleSize val="0"/>
        </c:dLbls>
        <c:axId val="660847840"/>
        <c:axId val="660845440"/>
      </c:scatterChart>
      <c:valAx>
        <c:axId val="660847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45440"/>
        <c:crosses val="autoZero"/>
        <c:crossBetween val="midCat"/>
      </c:valAx>
      <c:valAx>
        <c:axId val="66084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478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 Geometry Factor for Cyclic Longitudinal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Tables!$B$258:$B$259</c:f>
              <c:strCache>
                <c:ptCount val="2"/>
                <c:pt idx="0">
                  <c:v>H = 3' to 4'</c:v>
                </c:pt>
                <c:pt idx="1">
                  <c:v>Y (GLh)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Tables!$A$261:$A$273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Tables!$B$261:$B$273</c:f>
              <c:numCache>
                <c:formatCode>General</c:formatCode>
                <c:ptCount val="13"/>
                <c:pt idx="0">
                  <c:v>2.5920000000000001</c:v>
                </c:pt>
                <c:pt idx="1">
                  <c:v>2.25</c:v>
                </c:pt>
                <c:pt idx="2">
                  <c:v>2.032</c:v>
                </c:pt>
                <c:pt idx="3">
                  <c:v>1.901</c:v>
                </c:pt>
                <c:pt idx="4">
                  <c:v>1.724</c:v>
                </c:pt>
                <c:pt idx="5">
                  <c:v>1.5640000000000001</c:v>
                </c:pt>
                <c:pt idx="6">
                  <c:v>1.3480000000000001</c:v>
                </c:pt>
                <c:pt idx="7">
                  <c:v>1.234</c:v>
                </c:pt>
                <c:pt idx="8">
                  <c:v>1.169</c:v>
                </c:pt>
                <c:pt idx="9">
                  <c:v>1.1299999999999999</c:v>
                </c:pt>
                <c:pt idx="10">
                  <c:v>1.1000000000000001</c:v>
                </c:pt>
                <c:pt idx="11">
                  <c:v>0.97099999999999997</c:v>
                </c:pt>
                <c:pt idx="12">
                  <c:v>0.77500000000000002</c:v>
                </c:pt>
              </c:numCache>
            </c:numRef>
          </c:yVal>
          <c:smooth val="0"/>
          <c:extLst>
            <c:ext xmlns:c16="http://schemas.microsoft.com/office/drawing/2014/chart" uri="{C3380CC4-5D6E-409C-BE32-E72D297353CC}">
              <c16:uniqueId val="{00000000-2673-409A-A662-1C18080B8EE0}"/>
            </c:ext>
          </c:extLst>
        </c:ser>
        <c:ser>
          <c:idx val="1"/>
          <c:order val="1"/>
          <c:tx>
            <c:strRef>
              <c:f>Tables!$D$258:$D$259</c:f>
              <c:strCache>
                <c:ptCount val="2"/>
                <c:pt idx="0">
                  <c:v>H = 6'</c:v>
                </c:pt>
                <c:pt idx="1">
                  <c:v>Y (GLh)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Tables!$C$261:$C$273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Tables!$D$261:$D$273</c:f>
              <c:numCache>
                <c:formatCode>General</c:formatCode>
                <c:ptCount val="13"/>
                <c:pt idx="0">
                  <c:v>2.5920000000000001</c:v>
                </c:pt>
                <c:pt idx="1">
                  <c:v>2.1749999999999998</c:v>
                </c:pt>
                <c:pt idx="2">
                  <c:v>1.9339999999999999</c:v>
                </c:pt>
                <c:pt idx="3">
                  <c:v>1.796</c:v>
                </c:pt>
                <c:pt idx="4">
                  <c:v>1.613</c:v>
                </c:pt>
                <c:pt idx="5">
                  <c:v>1.448</c:v>
                </c:pt>
                <c:pt idx="6">
                  <c:v>1.244</c:v>
                </c:pt>
                <c:pt idx="7">
                  <c:v>1.115</c:v>
                </c:pt>
                <c:pt idx="8">
                  <c:v>1.022</c:v>
                </c:pt>
                <c:pt idx="9">
                  <c:v>0.97</c:v>
                </c:pt>
                <c:pt idx="10">
                  <c:v>0.95199999999999996</c:v>
                </c:pt>
                <c:pt idx="11">
                  <c:v>0.83099999999999996</c:v>
                </c:pt>
                <c:pt idx="12">
                  <c:v>0.63200000000000001</c:v>
                </c:pt>
              </c:numCache>
            </c:numRef>
          </c:yVal>
          <c:smooth val="0"/>
          <c:extLst>
            <c:ext xmlns:c16="http://schemas.microsoft.com/office/drawing/2014/chart" uri="{C3380CC4-5D6E-409C-BE32-E72D297353CC}">
              <c16:uniqueId val="{00000001-2673-409A-A662-1C18080B8EE0}"/>
            </c:ext>
          </c:extLst>
        </c:ser>
        <c:ser>
          <c:idx val="2"/>
          <c:order val="2"/>
          <c:tx>
            <c:strRef>
              <c:f>Tables!$F$258:$F$259</c:f>
              <c:strCache>
                <c:ptCount val="2"/>
                <c:pt idx="0">
                  <c:v>H = 8'</c:v>
                </c:pt>
                <c:pt idx="1">
                  <c:v>Y (GLh)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Tables!$E$261:$E$273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Tables!$F$261:$F$273</c:f>
              <c:numCache>
                <c:formatCode>General</c:formatCode>
                <c:ptCount val="13"/>
                <c:pt idx="0">
                  <c:v>2.5920000000000001</c:v>
                </c:pt>
                <c:pt idx="1">
                  <c:v>2.1749999999999998</c:v>
                </c:pt>
                <c:pt idx="2">
                  <c:v>1.907</c:v>
                </c:pt>
                <c:pt idx="3">
                  <c:v>1.7450000000000001</c:v>
                </c:pt>
                <c:pt idx="4">
                  <c:v>1.542</c:v>
                </c:pt>
                <c:pt idx="5">
                  <c:v>1.373</c:v>
                </c:pt>
                <c:pt idx="6">
                  <c:v>1.157</c:v>
                </c:pt>
                <c:pt idx="7">
                  <c:v>1.016</c:v>
                </c:pt>
                <c:pt idx="8">
                  <c:v>0.91800000000000004</c:v>
                </c:pt>
                <c:pt idx="9">
                  <c:v>0.86</c:v>
                </c:pt>
                <c:pt idx="10">
                  <c:v>0.84099999999999997</c:v>
                </c:pt>
                <c:pt idx="11">
                  <c:v>0.71299999999999997</c:v>
                </c:pt>
                <c:pt idx="12">
                  <c:v>0.54500000000000004</c:v>
                </c:pt>
              </c:numCache>
            </c:numRef>
          </c:yVal>
          <c:smooth val="0"/>
          <c:extLst>
            <c:ext xmlns:c16="http://schemas.microsoft.com/office/drawing/2014/chart" uri="{C3380CC4-5D6E-409C-BE32-E72D297353CC}">
              <c16:uniqueId val="{00000002-2673-409A-A662-1C18080B8EE0}"/>
            </c:ext>
          </c:extLst>
        </c:ser>
        <c:ser>
          <c:idx val="3"/>
          <c:order val="3"/>
          <c:tx>
            <c:strRef>
              <c:f>Tables!$H$258:$H$259</c:f>
              <c:strCache>
                <c:ptCount val="2"/>
                <c:pt idx="0">
                  <c:v>H = 10'</c:v>
                </c:pt>
                <c:pt idx="1">
                  <c:v>Y (GLh)</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Tables!$G$261:$G$273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Tables!$H$261:$H$273</c:f>
              <c:numCache>
                <c:formatCode>General</c:formatCode>
                <c:ptCount val="13"/>
                <c:pt idx="0">
                  <c:v>2.5920000000000001</c:v>
                </c:pt>
                <c:pt idx="1">
                  <c:v>2.0739999999999998</c:v>
                </c:pt>
                <c:pt idx="2">
                  <c:v>1.7849999999999999</c:v>
                </c:pt>
                <c:pt idx="3">
                  <c:v>1.623</c:v>
                </c:pt>
                <c:pt idx="4">
                  <c:v>1.4370000000000001</c:v>
                </c:pt>
                <c:pt idx="5">
                  <c:v>1.2749999999999999</c:v>
                </c:pt>
                <c:pt idx="6">
                  <c:v>1.0640000000000001</c:v>
                </c:pt>
                <c:pt idx="7">
                  <c:v>0.91900000000000004</c:v>
                </c:pt>
                <c:pt idx="8">
                  <c:v>0.82</c:v>
                </c:pt>
                <c:pt idx="9">
                  <c:v>0.76300000000000001</c:v>
                </c:pt>
                <c:pt idx="10">
                  <c:v>0.73599999999999999</c:v>
                </c:pt>
                <c:pt idx="11">
                  <c:v>0.6</c:v>
                </c:pt>
                <c:pt idx="12">
                  <c:v>0.45700000000000002</c:v>
                </c:pt>
              </c:numCache>
            </c:numRef>
          </c:yVal>
          <c:smooth val="0"/>
          <c:extLst>
            <c:ext xmlns:c16="http://schemas.microsoft.com/office/drawing/2014/chart" uri="{C3380CC4-5D6E-409C-BE32-E72D297353CC}">
              <c16:uniqueId val="{00000003-2673-409A-A662-1C18080B8EE0}"/>
            </c:ext>
          </c:extLst>
        </c:ser>
        <c:dLbls>
          <c:showLegendKey val="0"/>
          <c:showVal val="0"/>
          <c:showCatName val="0"/>
          <c:showSerName val="0"/>
          <c:showPercent val="0"/>
          <c:showBubbleSize val="0"/>
        </c:dLbls>
        <c:axId val="234048160"/>
        <c:axId val="234042880"/>
      </c:scatterChart>
      <c:valAx>
        <c:axId val="23404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42880"/>
        <c:crosses val="autoZero"/>
        <c:crossBetween val="midCat"/>
      </c:valAx>
      <c:valAx>
        <c:axId val="23404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48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5.png"/><Relationship Id="rId18" Type="http://schemas.openxmlformats.org/officeDocument/2006/relationships/image" Target="../media/image3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17" Type="http://schemas.openxmlformats.org/officeDocument/2006/relationships/image" Target="../media/image29.png"/><Relationship Id="rId2" Type="http://schemas.openxmlformats.org/officeDocument/2006/relationships/image" Target="../media/image14.png"/><Relationship Id="rId16" Type="http://schemas.openxmlformats.org/officeDocument/2006/relationships/image" Target="../media/image28.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png"/><Relationship Id="rId18" Type="http://schemas.openxmlformats.org/officeDocument/2006/relationships/image" Target="../media/image48.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17" Type="http://schemas.openxmlformats.org/officeDocument/2006/relationships/image" Target="../media/image47.png"/><Relationship Id="rId2" Type="http://schemas.openxmlformats.org/officeDocument/2006/relationships/image" Target="../media/image32.png"/><Relationship Id="rId16" Type="http://schemas.openxmlformats.org/officeDocument/2006/relationships/image" Target="../media/image46.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5" Type="http://schemas.openxmlformats.org/officeDocument/2006/relationships/image" Target="../media/image4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xdr:row>
      <xdr:rowOff>22860</xdr:rowOff>
    </xdr:from>
    <xdr:to>
      <xdr:col>2</xdr:col>
      <xdr:colOff>173355</xdr:colOff>
      <xdr:row>4</xdr:row>
      <xdr:rowOff>149153</xdr:rowOff>
    </xdr:to>
    <xdr:pic>
      <xdr:nvPicPr>
        <xdr:cNvPr id="2" name="Picture 1">
          <a:extLst>
            <a:ext uri="{FF2B5EF4-FFF2-40B4-BE49-F238E27FC236}">
              <a16:creationId xmlns:a16="http://schemas.microsoft.com/office/drawing/2014/main" id="{72A2E8B6-1491-4932-BB3F-1A57EA4EA7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175" y="361950"/>
          <a:ext cx="771525" cy="492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456228</xdr:colOff>
      <xdr:row>69</xdr:row>
      <xdr:rowOff>181280</xdr:rowOff>
    </xdr:to>
    <xdr:pic>
      <xdr:nvPicPr>
        <xdr:cNvPr id="3" name="Picture 2">
          <a:extLst>
            <a:ext uri="{FF2B5EF4-FFF2-40B4-BE49-F238E27FC236}">
              <a16:creationId xmlns:a16="http://schemas.microsoft.com/office/drawing/2014/main" id="{AAA36FC6-2CBC-8828-FF9E-5298CB73D974}"/>
            </a:ext>
          </a:extLst>
        </xdr:cNvPr>
        <xdr:cNvPicPr>
          <a:picLocks noChangeAspect="1"/>
        </xdr:cNvPicPr>
      </xdr:nvPicPr>
      <xdr:blipFill>
        <a:blip xmlns:r="http://schemas.openxmlformats.org/officeDocument/2006/relationships" r:embed="rId1"/>
        <a:stretch>
          <a:fillRect/>
        </a:stretch>
      </xdr:blipFill>
      <xdr:spPr>
        <a:xfrm>
          <a:off x="0" y="0"/>
          <a:ext cx="7771428" cy="128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8468</xdr:colOff>
      <xdr:row>38</xdr:row>
      <xdr:rowOff>8467</xdr:rowOff>
    </xdr:from>
    <xdr:to>
      <xdr:col>21</xdr:col>
      <xdr:colOff>252858</xdr:colOff>
      <xdr:row>60</xdr:row>
      <xdr:rowOff>153784</xdr:rowOff>
    </xdr:to>
    <xdr:pic>
      <xdr:nvPicPr>
        <xdr:cNvPr id="2" name="Picture 1">
          <a:extLst>
            <a:ext uri="{FF2B5EF4-FFF2-40B4-BE49-F238E27FC236}">
              <a16:creationId xmlns:a16="http://schemas.microsoft.com/office/drawing/2014/main" id="{0D354B8A-C9C0-4CD3-8F8C-E94CEEE2DB0D}"/>
            </a:ext>
          </a:extLst>
        </xdr:cNvPr>
        <xdr:cNvPicPr>
          <a:picLocks noChangeAspect="1"/>
          <a:extLst>
            <a:ext uri="{53484399-7A02-498B-ADA4-41CD10E50FAC}">
              <aif:imageFormula xmlns:aif="http://schemas.microsoft.com/office/drawing/2022/imageformula" formula="'Hand Calcs'!L39"/>
            </a:ext>
          </a:extLst>
        </xdr:cNvPicPr>
      </xdr:nvPicPr>
      <xdr:blipFill>
        <a:blip xmlns:r="http://schemas.openxmlformats.org/officeDocument/2006/relationships" r:embed="rId1"/>
        <a:stretch>
          <a:fillRect/>
        </a:stretch>
      </xdr:blipFill>
      <xdr:spPr>
        <a:xfrm>
          <a:off x="9533468" y="7140787"/>
          <a:ext cx="6342084" cy="4168677"/>
        </a:xfrm>
        <a:prstGeom prst="rect">
          <a:avLst/>
        </a:prstGeom>
      </xdr:spPr>
    </xdr:pic>
    <xdr:clientData/>
  </xdr:twoCellAnchor>
  <xdr:twoCellAnchor editAs="oneCell">
    <xdr:from>
      <xdr:col>6</xdr:col>
      <xdr:colOff>42333</xdr:colOff>
      <xdr:row>30</xdr:row>
      <xdr:rowOff>8466</xdr:rowOff>
    </xdr:from>
    <xdr:to>
      <xdr:col>8</xdr:col>
      <xdr:colOff>180056</xdr:colOff>
      <xdr:row>31</xdr:row>
      <xdr:rowOff>27533</xdr:rowOff>
    </xdr:to>
    <xdr:pic>
      <xdr:nvPicPr>
        <xdr:cNvPr id="3" name="Picture 2">
          <a:extLst>
            <a:ext uri="{FF2B5EF4-FFF2-40B4-BE49-F238E27FC236}">
              <a16:creationId xmlns:a16="http://schemas.microsoft.com/office/drawing/2014/main" id="{547A7D26-024C-4728-8CED-FF8090133218}"/>
            </a:ext>
          </a:extLst>
        </xdr:cNvPr>
        <xdr:cNvPicPr>
          <a:picLocks noChangeAspect="1"/>
        </xdr:cNvPicPr>
      </xdr:nvPicPr>
      <xdr:blipFill>
        <a:blip xmlns:r="http://schemas.openxmlformats.org/officeDocument/2006/relationships" r:embed="rId2"/>
        <a:stretch>
          <a:fillRect/>
        </a:stretch>
      </xdr:blipFill>
      <xdr:spPr>
        <a:xfrm>
          <a:off x="9677400" y="5774266"/>
          <a:ext cx="1619390" cy="205334"/>
        </a:xfrm>
        <a:prstGeom prst="rect">
          <a:avLst/>
        </a:prstGeom>
      </xdr:spPr>
    </xdr:pic>
    <xdr:clientData/>
  </xdr:twoCellAnchor>
  <xdr:twoCellAnchor editAs="oneCell">
    <xdr:from>
      <xdr:col>6</xdr:col>
      <xdr:colOff>42334</xdr:colOff>
      <xdr:row>31</xdr:row>
      <xdr:rowOff>0</xdr:rowOff>
    </xdr:from>
    <xdr:to>
      <xdr:col>7</xdr:col>
      <xdr:colOff>671091</xdr:colOff>
      <xdr:row>31</xdr:row>
      <xdr:rowOff>171465</xdr:rowOff>
    </xdr:to>
    <xdr:pic>
      <xdr:nvPicPr>
        <xdr:cNvPr id="4" name="Picture 3">
          <a:extLst>
            <a:ext uri="{FF2B5EF4-FFF2-40B4-BE49-F238E27FC236}">
              <a16:creationId xmlns:a16="http://schemas.microsoft.com/office/drawing/2014/main" id="{E228543F-C195-468B-B6DD-8D2D6DB48101}"/>
            </a:ext>
          </a:extLst>
        </xdr:cNvPr>
        <xdr:cNvPicPr>
          <a:picLocks noChangeAspect="1"/>
        </xdr:cNvPicPr>
      </xdr:nvPicPr>
      <xdr:blipFill>
        <a:blip xmlns:r="http://schemas.openxmlformats.org/officeDocument/2006/relationships" r:embed="rId3"/>
        <a:stretch>
          <a:fillRect/>
        </a:stretch>
      </xdr:blipFill>
      <xdr:spPr>
        <a:xfrm>
          <a:off x="9677401" y="5952067"/>
          <a:ext cx="1238357" cy="171465"/>
        </a:xfrm>
        <a:prstGeom prst="rect">
          <a:avLst/>
        </a:prstGeom>
      </xdr:spPr>
    </xdr:pic>
    <xdr:clientData/>
  </xdr:twoCellAnchor>
  <xdr:twoCellAnchor editAs="oneCell">
    <xdr:from>
      <xdr:col>6</xdr:col>
      <xdr:colOff>0</xdr:colOff>
      <xdr:row>36</xdr:row>
      <xdr:rowOff>0</xdr:rowOff>
    </xdr:from>
    <xdr:to>
      <xdr:col>7</xdr:col>
      <xdr:colOff>663050</xdr:colOff>
      <xdr:row>37</xdr:row>
      <xdr:rowOff>15256</xdr:rowOff>
    </xdr:to>
    <xdr:pic>
      <xdr:nvPicPr>
        <xdr:cNvPr id="5" name="Picture 4">
          <a:extLst>
            <a:ext uri="{FF2B5EF4-FFF2-40B4-BE49-F238E27FC236}">
              <a16:creationId xmlns:a16="http://schemas.microsoft.com/office/drawing/2014/main" id="{1CA8EC39-4CC5-4119-ABF0-931C5448F024}"/>
            </a:ext>
          </a:extLst>
        </xdr:cNvPr>
        <xdr:cNvPicPr>
          <a:picLocks noChangeAspect="1"/>
        </xdr:cNvPicPr>
      </xdr:nvPicPr>
      <xdr:blipFill>
        <a:blip xmlns:r="http://schemas.openxmlformats.org/officeDocument/2006/relationships" r:embed="rId4"/>
        <a:stretch>
          <a:fillRect/>
        </a:stretch>
      </xdr:blipFill>
      <xdr:spPr>
        <a:xfrm>
          <a:off x="6217920" y="6766560"/>
          <a:ext cx="1272650" cy="198136"/>
        </a:xfrm>
        <a:prstGeom prst="rect">
          <a:avLst/>
        </a:prstGeom>
      </xdr:spPr>
    </xdr:pic>
    <xdr:clientData/>
  </xdr:twoCellAnchor>
  <xdr:twoCellAnchor editAs="oneCell">
    <xdr:from>
      <xdr:col>6</xdr:col>
      <xdr:colOff>0</xdr:colOff>
      <xdr:row>49</xdr:row>
      <xdr:rowOff>0</xdr:rowOff>
    </xdr:from>
    <xdr:to>
      <xdr:col>7</xdr:col>
      <xdr:colOff>666860</xdr:colOff>
      <xdr:row>49</xdr:row>
      <xdr:rowOff>171465</xdr:rowOff>
    </xdr:to>
    <xdr:pic>
      <xdr:nvPicPr>
        <xdr:cNvPr id="6" name="Picture 5">
          <a:extLst>
            <a:ext uri="{FF2B5EF4-FFF2-40B4-BE49-F238E27FC236}">
              <a16:creationId xmlns:a16="http://schemas.microsoft.com/office/drawing/2014/main" id="{2F537D24-2F02-471B-B161-61102BF5C636}"/>
            </a:ext>
          </a:extLst>
        </xdr:cNvPr>
        <xdr:cNvPicPr>
          <a:picLocks noChangeAspect="1"/>
        </xdr:cNvPicPr>
      </xdr:nvPicPr>
      <xdr:blipFill>
        <a:blip xmlns:r="http://schemas.openxmlformats.org/officeDocument/2006/relationships" r:embed="rId5"/>
        <a:stretch>
          <a:fillRect/>
        </a:stretch>
      </xdr:blipFill>
      <xdr:spPr>
        <a:xfrm>
          <a:off x="6217920" y="9144000"/>
          <a:ext cx="1276460" cy="171465"/>
        </a:xfrm>
        <a:prstGeom prst="rect">
          <a:avLst/>
        </a:prstGeom>
      </xdr:spPr>
    </xdr:pic>
    <xdr:clientData/>
  </xdr:twoCellAnchor>
  <xdr:twoCellAnchor editAs="oneCell">
    <xdr:from>
      <xdr:col>6</xdr:col>
      <xdr:colOff>0</xdr:colOff>
      <xdr:row>50</xdr:row>
      <xdr:rowOff>0</xdr:rowOff>
    </xdr:from>
    <xdr:to>
      <xdr:col>7</xdr:col>
      <xdr:colOff>724016</xdr:colOff>
      <xdr:row>50</xdr:row>
      <xdr:rowOff>171465</xdr:rowOff>
    </xdr:to>
    <xdr:pic>
      <xdr:nvPicPr>
        <xdr:cNvPr id="7" name="Picture 6">
          <a:extLst>
            <a:ext uri="{FF2B5EF4-FFF2-40B4-BE49-F238E27FC236}">
              <a16:creationId xmlns:a16="http://schemas.microsoft.com/office/drawing/2014/main" id="{778B53C7-6692-4FFF-A77D-6324FDEC0CFB}"/>
            </a:ext>
          </a:extLst>
        </xdr:cNvPr>
        <xdr:cNvPicPr>
          <a:picLocks noChangeAspect="1"/>
        </xdr:cNvPicPr>
      </xdr:nvPicPr>
      <xdr:blipFill>
        <a:blip xmlns:r="http://schemas.openxmlformats.org/officeDocument/2006/relationships" r:embed="rId6"/>
        <a:stretch>
          <a:fillRect/>
        </a:stretch>
      </xdr:blipFill>
      <xdr:spPr>
        <a:xfrm>
          <a:off x="6217920" y="9326880"/>
          <a:ext cx="1333616" cy="171465"/>
        </a:xfrm>
        <a:prstGeom prst="rect">
          <a:avLst/>
        </a:prstGeom>
      </xdr:spPr>
    </xdr:pic>
    <xdr:clientData/>
  </xdr:twoCellAnchor>
  <xdr:twoCellAnchor editAs="oneCell">
    <xdr:from>
      <xdr:col>6</xdr:col>
      <xdr:colOff>0</xdr:colOff>
      <xdr:row>51</xdr:row>
      <xdr:rowOff>0</xdr:rowOff>
    </xdr:from>
    <xdr:to>
      <xdr:col>9</xdr:col>
      <xdr:colOff>89121</xdr:colOff>
      <xdr:row>52</xdr:row>
      <xdr:rowOff>15</xdr:rowOff>
    </xdr:to>
    <xdr:pic>
      <xdr:nvPicPr>
        <xdr:cNvPr id="8" name="Picture 7">
          <a:extLst>
            <a:ext uri="{FF2B5EF4-FFF2-40B4-BE49-F238E27FC236}">
              <a16:creationId xmlns:a16="http://schemas.microsoft.com/office/drawing/2014/main" id="{2A19A698-2762-47AA-8389-66570F809EFA}"/>
            </a:ext>
          </a:extLst>
        </xdr:cNvPr>
        <xdr:cNvPicPr>
          <a:picLocks noChangeAspect="1"/>
        </xdr:cNvPicPr>
      </xdr:nvPicPr>
      <xdr:blipFill>
        <a:blip xmlns:r="http://schemas.openxmlformats.org/officeDocument/2006/relationships" r:embed="rId7"/>
        <a:stretch>
          <a:fillRect/>
        </a:stretch>
      </xdr:blipFill>
      <xdr:spPr>
        <a:xfrm>
          <a:off x="6217920" y="9509760"/>
          <a:ext cx="2549534" cy="182895"/>
        </a:xfrm>
        <a:prstGeom prst="rect">
          <a:avLst/>
        </a:prstGeom>
      </xdr:spPr>
    </xdr:pic>
    <xdr:clientData/>
  </xdr:twoCellAnchor>
  <xdr:twoCellAnchor editAs="oneCell">
    <xdr:from>
      <xdr:col>6</xdr:col>
      <xdr:colOff>0</xdr:colOff>
      <xdr:row>52</xdr:row>
      <xdr:rowOff>0</xdr:rowOff>
    </xdr:from>
    <xdr:to>
      <xdr:col>8</xdr:col>
      <xdr:colOff>410162</xdr:colOff>
      <xdr:row>52</xdr:row>
      <xdr:rowOff>171465</xdr:rowOff>
    </xdr:to>
    <xdr:pic>
      <xdr:nvPicPr>
        <xdr:cNvPr id="9" name="Picture 8">
          <a:extLst>
            <a:ext uri="{FF2B5EF4-FFF2-40B4-BE49-F238E27FC236}">
              <a16:creationId xmlns:a16="http://schemas.microsoft.com/office/drawing/2014/main" id="{63BEFAC7-AA32-4CC2-A87D-5D6E27CDD663}"/>
            </a:ext>
          </a:extLst>
        </xdr:cNvPr>
        <xdr:cNvPicPr>
          <a:picLocks noChangeAspect="1"/>
        </xdr:cNvPicPr>
      </xdr:nvPicPr>
      <xdr:blipFill>
        <a:blip xmlns:r="http://schemas.openxmlformats.org/officeDocument/2006/relationships" r:embed="rId8"/>
        <a:stretch>
          <a:fillRect/>
        </a:stretch>
      </xdr:blipFill>
      <xdr:spPr>
        <a:xfrm>
          <a:off x="6217920" y="9692640"/>
          <a:ext cx="1888442" cy="171465"/>
        </a:xfrm>
        <a:prstGeom prst="rect">
          <a:avLst/>
        </a:prstGeom>
      </xdr:spPr>
    </xdr:pic>
    <xdr:clientData/>
  </xdr:twoCellAnchor>
  <xdr:twoCellAnchor editAs="oneCell">
    <xdr:from>
      <xdr:col>6</xdr:col>
      <xdr:colOff>0</xdr:colOff>
      <xdr:row>53</xdr:row>
      <xdr:rowOff>0</xdr:rowOff>
    </xdr:from>
    <xdr:to>
      <xdr:col>9</xdr:col>
      <xdr:colOff>409188</xdr:colOff>
      <xdr:row>55</xdr:row>
      <xdr:rowOff>91478</xdr:rowOff>
    </xdr:to>
    <xdr:pic>
      <xdr:nvPicPr>
        <xdr:cNvPr id="10" name="Picture 9">
          <a:extLst>
            <a:ext uri="{FF2B5EF4-FFF2-40B4-BE49-F238E27FC236}">
              <a16:creationId xmlns:a16="http://schemas.microsoft.com/office/drawing/2014/main" id="{8CA757CB-2C02-4C7E-B945-177E778D6FD1}"/>
            </a:ext>
          </a:extLst>
        </xdr:cNvPr>
        <xdr:cNvPicPr>
          <a:picLocks noChangeAspect="1"/>
        </xdr:cNvPicPr>
      </xdr:nvPicPr>
      <xdr:blipFill>
        <a:blip xmlns:r="http://schemas.openxmlformats.org/officeDocument/2006/relationships" r:embed="rId9"/>
        <a:stretch>
          <a:fillRect/>
        </a:stretch>
      </xdr:blipFill>
      <xdr:spPr>
        <a:xfrm>
          <a:off x="6217920" y="9875520"/>
          <a:ext cx="2869601" cy="457238"/>
        </a:xfrm>
        <a:prstGeom prst="rect">
          <a:avLst/>
        </a:prstGeom>
      </xdr:spPr>
    </xdr:pic>
    <xdr:clientData/>
  </xdr:twoCellAnchor>
  <xdr:twoCellAnchor editAs="oneCell">
    <xdr:from>
      <xdr:col>6</xdr:col>
      <xdr:colOff>0</xdr:colOff>
      <xdr:row>56</xdr:row>
      <xdr:rowOff>0</xdr:rowOff>
    </xdr:from>
    <xdr:to>
      <xdr:col>7</xdr:col>
      <xdr:colOff>438241</xdr:colOff>
      <xdr:row>56</xdr:row>
      <xdr:rowOff>152413</xdr:rowOff>
    </xdr:to>
    <xdr:pic>
      <xdr:nvPicPr>
        <xdr:cNvPr id="11" name="Picture 10">
          <a:extLst>
            <a:ext uri="{FF2B5EF4-FFF2-40B4-BE49-F238E27FC236}">
              <a16:creationId xmlns:a16="http://schemas.microsoft.com/office/drawing/2014/main" id="{0B8A8B58-91EA-4D07-ACCA-46FF40995A9B}"/>
            </a:ext>
          </a:extLst>
        </xdr:cNvPr>
        <xdr:cNvPicPr>
          <a:picLocks noChangeAspect="1"/>
        </xdr:cNvPicPr>
      </xdr:nvPicPr>
      <xdr:blipFill>
        <a:blip xmlns:r="http://schemas.openxmlformats.org/officeDocument/2006/relationships" r:embed="rId10"/>
        <a:stretch>
          <a:fillRect/>
        </a:stretch>
      </xdr:blipFill>
      <xdr:spPr>
        <a:xfrm>
          <a:off x="6217920" y="10424160"/>
          <a:ext cx="1047841" cy="152413"/>
        </a:xfrm>
        <a:prstGeom prst="rect">
          <a:avLst/>
        </a:prstGeom>
      </xdr:spPr>
    </xdr:pic>
    <xdr:clientData/>
  </xdr:twoCellAnchor>
  <xdr:twoCellAnchor editAs="oneCell">
    <xdr:from>
      <xdr:col>6</xdr:col>
      <xdr:colOff>1</xdr:colOff>
      <xdr:row>61</xdr:row>
      <xdr:rowOff>1</xdr:rowOff>
    </xdr:from>
    <xdr:to>
      <xdr:col>6</xdr:col>
      <xdr:colOff>552451</xdr:colOff>
      <xdr:row>62</xdr:row>
      <xdr:rowOff>11823</xdr:rowOff>
    </xdr:to>
    <xdr:pic>
      <xdr:nvPicPr>
        <xdr:cNvPr id="12" name="Picture 11">
          <a:extLst>
            <a:ext uri="{FF2B5EF4-FFF2-40B4-BE49-F238E27FC236}">
              <a16:creationId xmlns:a16="http://schemas.microsoft.com/office/drawing/2014/main" id="{6AB94F7A-88F8-4FFB-9BDB-024C844ED6DD}"/>
            </a:ext>
          </a:extLst>
        </xdr:cNvPr>
        <xdr:cNvPicPr>
          <a:picLocks noChangeAspect="1"/>
        </xdr:cNvPicPr>
      </xdr:nvPicPr>
      <xdr:blipFill>
        <a:blip xmlns:r="http://schemas.openxmlformats.org/officeDocument/2006/relationships" r:embed="rId11"/>
        <a:stretch>
          <a:fillRect/>
        </a:stretch>
      </xdr:blipFill>
      <xdr:spPr>
        <a:xfrm>
          <a:off x="6217921" y="11338561"/>
          <a:ext cx="552450" cy="194702"/>
        </a:xfrm>
        <a:prstGeom prst="rect">
          <a:avLst/>
        </a:prstGeom>
      </xdr:spPr>
    </xdr:pic>
    <xdr:clientData/>
  </xdr:twoCellAnchor>
  <xdr:twoCellAnchor editAs="oneCell">
    <xdr:from>
      <xdr:col>6</xdr:col>
      <xdr:colOff>0</xdr:colOff>
      <xdr:row>60</xdr:row>
      <xdr:rowOff>0</xdr:rowOff>
    </xdr:from>
    <xdr:to>
      <xdr:col>6</xdr:col>
      <xdr:colOff>586740</xdr:colOff>
      <xdr:row>61</xdr:row>
      <xdr:rowOff>19050</xdr:rowOff>
    </xdr:to>
    <xdr:pic>
      <xdr:nvPicPr>
        <xdr:cNvPr id="13" name="Picture 12">
          <a:extLst>
            <a:ext uri="{FF2B5EF4-FFF2-40B4-BE49-F238E27FC236}">
              <a16:creationId xmlns:a16="http://schemas.microsoft.com/office/drawing/2014/main" id="{80CD266B-6DF4-424C-971F-1EEC6B8CC968}"/>
            </a:ext>
          </a:extLst>
        </xdr:cNvPr>
        <xdr:cNvPicPr>
          <a:picLocks noChangeAspect="1"/>
        </xdr:cNvPicPr>
      </xdr:nvPicPr>
      <xdr:blipFill>
        <a:blip xmlns:r="http://schemas.openxmlformats.org/officeDocument/2006/relationships" r:embed="rId12"/>
        <a:stretch>
          <a:fillRect/>
        </a:stretch>
      </xdr:blipFill>
      <xdr:spPr>
        <a:xfrm>
          <a:off x="6217920" y="11155680"/>
          <a:ext cx="586740" cy="201930"/>
        </a:xfrm>
        <a:prstGeom prst="rect">
          <a:avLst/>
        </a:prstGeom>
      </xdr:spPr>
    </xdr:pic>
    <xdr:clientData/>
  </xdr:twoCellAnchor>
  <xdr:twoCellAnchor>
    <xdr:from>
      <xdr:col>11</xdr:col>
      <xdr:colOff>458893</xdr:colOff>
      <xdr:row>55</xdr:row>
      <xdr:rowOff>5928</xdr:rowOff>
    </xdr:from>
    <xdr:to>
      <xdr:col>22</xdr:col>
      <xdr:colOff>170180</xdr:colOff>
      <xdr:row>55</xdr:row>
      <xdr:rowOff>5928</xdr:rowOff>
    </xdr:to>
    <xdr:cxnSp macro="">
      <xdr:nvCxnSpPr>
        <xdr:cNvPr id="16" name="Straight Connector 15">
          <a:extLst>
            <a:ext uri="{FF2B5EF4-FFF2-40B4-BE49-F238E27FC236}">
              <a16:creationId xmlns:a16="http://schemas.microsoft.com/office/drawing/2014/main" id="{ED559063-471B-4241-A64B-F8F26741600B}"/>
            </a:ext>
          </a:extLst>
        </xdr:cNvPr>
        <xdr:cNvCxnSpPr/>
      </xdr:nvCxnSpPr>
      <xdr:spPr>
        <a:xfrm>
          <a:off x="9983893" y="10247208"/>
          <a:ext cx="7011247" cy="0"/>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0</xdr:colOff>
      <xdr:row>60</xdr:row>
      <xdr:rowOff>0</xdr:rowOff>
    </xdr:from>
    <xdr:to>
      <xdr:col>6</xdr:col>
      <xdr:colOff>586740</xdr:colOff>
      <xdr:row>61</xdr:row>
      <xdr:rowOff>19050</xdr:rowOff>
    </xdr:to>
    <xdr:pic>
      <xdr:nvPicPr>
        <xdr:cNvPr id="17" name="Picture 16">
          <a:extLst>
            <a:ext uri="{FF2B5EF4-FFF2-40B4-BE49-F238E27FC236}">
              <a16:creationId xmlns:a16="http://schemas.microsoft.com/office/drawing/2014/main" id="{0A9A3B6B-9B97-44C0-BFC7-17764AD3EDC8}"/>
            </a:ext>
          </a:extLst>
        </xdr:cNvPr>
        <xdr:cNvPicPr>
          <a:picLocks noChangeAspect="1"/>
        </xdr:cNvPicPr>
      </xdr:nvPicPr>
      <xdr:blipFill>
        <a:blip xmlns:r="http://schemas.openxmlformats.org/officeDocument/2006/relationships" r:embed="rId12"/>
        <a:stretch>
          <a:fillRect/>
        </a:stretch>
      </xdr:blipFill>
      <xdr:spPr>
        <a:xfrm>
          <a:off x="6217920" y="11155680"/>
          <a:ext cx="586740" cy="201930"/>
        </a:xfrm>
        <a:prstGeom prst="rect">
          <a:avLst/>
        </a:prstGeom>
      </xdr:spPr>
    </xdr:pic>
    <xdr:clientData/>
  </xdr:twoCellAnchor>
  <xdr:twoCellAnchor editAs="oneCell">
    <xdr:from>
      <xdr:col>3</xdr:col>
      <xdr:colOff>42333</xdr:colOff>
      <xdr:row>72</xdr:row>
      <xdr:rowOff>16934</xdr:rowOff>
    </xdr:from>
    <xdr:to>
      <xdr:col>3</xdr:col>
      <xdr:colOff>1284391</xdr:colOff>
      <xdr:row>73</xdr:row>
      <xdr:rowOff>2117</xdr:rowOff>
    </xdr:to>
    <xdr:pic>
      <xdr:nvPicPr>
        <xdr:cNvPr id="18" name="Picture 17">
          <a:extLst>
            <a:ext uri="{FF2B5EF4-FFF2-40B4-BE49-F238E27FC236}">
              <a16:creationId xmlns:a16="http://schemas.microsoft.com/office/drawing/2014/main" id="{CC50ACB6-752C-43BE-BE17-C6673C2F9540}"/>
            </a:ext>
          </a:extLst>
        </xdr:cNvPr>
        <xdr:cNvPicPr>
          <a:picLocks noChangeAspect="1"/>
        </xdr:cNvPicPr>
      </xdr:nvPicPr>
      <xdr:blipFill>
        <a:blip xmlns:r="http://schemas.openxmlformats.org/officeDocument/2006/relationships" r:embed="rId13"/>
        <a:stretch>
          <a:fillRect/>
        </a:stretch>
      </xdr:blipFill>
      <xdr:spPr>
        <a:xfrm>
          <a:off x="6265333" y="13605934"/>
          <a:ext cx="1242058" cy="171450"/>
        </a:xfrm>
        <a:prstGeom prst="rect">
          <a:avLst/>
        </a:prstGeom>
      </xdr:spPr>
    </xdr:pic>
    <xdr:clientData/>
  </xdr:twoCellAnchor>
  <xdr:twoCellAnchor editAs="oneCell">
    <xdr:from>
      <xdr:col>3</xdr:col>
      <xdr:colOff>42334</xdr:colOff>
      <xdr:row>71</xdr:row>
      <xdr:rowOff>16935</xdr:rowOff>
    </xdr:from>
    <xdr:to>
      <xdr:col>3</xdr:col>
      <xdr:colOff>3225860</xdr:colOff>
      <xdr:row>72</xdr:row>
      <xdr:rowOff>4921</xdr:rowOff>
    </xdr:to>
    <xdr:pic>
      <xdr:nvPicPr>
        <xdr:cNvPr id="19" name="Picture 18">
          <a:extLst>
            <a:ext uri="{FF2B5EF4-FFF2-40B4-BE49-F238E27FC236}">
              <a16:creationId xmlns:a16="http://schemas.microsoft.com/office/drawing/2014/main" id="{1DB71248-F7A6-40C0-9B36-5ED2BE0D145E}"/>
            </a:ext>
          </a:extLst>
        </xdr:cNvPr>
        <xdr:cNvPicPr>
          <a:picLocks noChangeAspect="1"/>
        </xdr:cNvPicPr>
      </xdr:nvPicPr>
      <xdr:blipFill>
        <a:blip xmlns:r="http://schemas.openxmlformats.org/officeDocument/2006/relationships" r:embed="rId14"/>
        <a:stretch>
          <a:fillRect/>
        </a:stretch>
      </xdr:blipFill>
      <xdr:spPr>
        <a:xfrm>
          <a:off x="6265334" y="13419668"/>
          <a:ext cx="3183526" cy="174253"/>
        </a:xfrm>
        <a:prstGeom prst="rect">
          <a:avLst/>
        </a:prstGeom>
      </xdr:spPr>
    </xdr:pic>
    <xdr:clientData/>
  </xdr:twoCellAnchor>
  <xdr:twoCellAnchor>
    <xdr:from>
      <xdr:col>12</xdr:col>
      <xdr:colOff>143933</xdr:colOff>
      <xdr:row>38</xdr:row>
      <xdr:rowOff>55033</xdr:rowOff>
    </xdr:from>
    <xdr:to>
      <xdr:col>12</xdr:col>
      <xdr:colOff>143933</xdr:colOff>
      <xdr:row>57</xdr:row>
      <xdr:rowOff>77893</xdr:rowOff>
    </xdr:to>
    <xdr:cxnSp macro="">
      <xdr:nvCxnSpPr>
        <xdr:cNvPr id="20" name="Straight Connector 19">
          <a:extLst>
            <a:ext uri="{FF2B5EF4-FFF2-40B4-BE49-F238E27FC236}">
              <a16:creationId xmlns:a16="http://schemas.microsoft.com/office/drawing/2014/main" id="{6D102989-8F13-48D8-AF77-10DD8E214B9B}"/>
            </a:ext>
          </a:extLst>
        </xdr:cNvPr>
        <xdr:cNvCxnSpPr/>
      </xdr:nvCxnSpPr>
      <xdr:spPr>
        <a:xfrm flipV="1">
          <a:off x="10651913" y="7187353"/>
          <a:ext cx="0" cy="3497580"/>
        </a:xfrm>
        <a:prstGeom prst="line">
          <a:avLst/>
        </a:prstGeom>
        <a:ln w="38100">
          <a:solidFill>
            <a:srgbClr val="FFFF00"/>
          </a:solidFill>
        </a:ln>
      </xdr:spPr>
      <xdr:style>
        <a:lnRef idx="3">
          <a:schemeClr val="accent4"/>
        </a:lnRef>
        <a:fillRef idx="0">
          <a:schemeClr val="accent4"/>
        </a:fillRef>
        <a:effectRef idx="2">
          <a:schemeClr val="accent4"/>
        </a:effectRef>
        <a:fontRef idx="minor">
          <a:schemeClr val="tx1"/>
        </a:fontRef>
      </xdr:style>
    </xdr:cxnSp>
    <xdr:clientData/>
  </xdr:twoCellAnchor>
  <xdr:twoCellAnchor editAs="oneCell">
    <xdr:from>
      <xdr:col>3</xdr:col>
      <xdr:colOff>49953</xdr:colOff>
      <xdr:row>73</xdr:row>
      <xdr:rowOff>16934</xdr:rowOff>
    </xdr:from>
    <xdr:to>
      <xdr:col>3</xdr:col>
      <xdr:colOff>1170093</xdr:colOff>
      <xdr:row>74</xdr:row>
      <xdr:rowOff>32796</xdr:rowOff>
    </xdr:to>
    <xdr:pic>
      <xdr:nvPicPr>
        <xdr:cNvPr id="21" name="Picture 20">
          <a:extLst>
            <a:ext uri="{FF2B5EF4-FFF2-40B4-BE49-F238E27FC236}">
              <a16:creationId xmlns:a16="http://schemas.microsoft.com/office/drawing/2014/main" id="{4016E00C-C4BE-417B-8682-B2E1520C9BDA}"/>
            </a:ext>
          </a:extLst>
        </xdr:cNvPr>
        <xdr:cNvPicPr>
          <a:picLocks noChangeAspect="1"/>
        </xdr:cNvPicPr>
      </xdr:nvPicPr>
      <xdr:blipFill>
        <a:blip xmlns:r="http://schemas.openxmlformats.org/officeDocument/2006/relationships" r:embed="rId15"/>
        <a:stretch>
          <a:fillRect/>
        </a:stretch>
      </xdr:blipFill>
      <xdr:spPr>
        <a:xfrm>
          <a:off x="6272953" y="13792201"/>
          <a:ext cx="1120140" cy="202128"/>
        </a:xfrm>
        <a:prstGeom prst="rect">
          <a:avLst/>
        </a:prstGeom>
      </xdr:spPr>
    </xdr:pic>
    <xdr:clientData/>
  </xdr:twoCellAnchor>
  <xdr:twoCellAnchor editAs="oneCell">
    <xdr:from>
      <xdr:col>3</xdr:col>
      <xdr:colOff>49953</xdr:colOff>
      <xdr:row>74</xdr:row>
      <xdr:rowOff>16935</xdr:rowOff>
    </xdr:from>
    <xdr:to>
      <xdr:col>3</xdr:col>
      <xdr:colOff>1131993</xdr:colOff>
      <xdr:row>75</xdr:row>
      <xdr:rowOff>5273</xdr:rowOff>
    </xdr:to>
    <xdr:pic>
      <xdr:nvPicPr>
        <xdr:cNvPr id="22" name="Picture 21">
          <a:extLst>
            <a:ext uri="{FF2B5EF4-FFF2-40B4-BE49-F238E27FC236}">
              <a16:creationId xmlns:a16="http://schemas.microsoft.com/office/drawing/2014/main" id="{22D2096C-1795-48D4-83A0-4CC7AE34BE47}"/>
            </a:ext>
          </a:extLst>
        </xdr:cNvPr>
        <xdr:cNvPicPr>
          <a:picLocks noChangeAspect="1"/>
        </xdr:cNvPicPr>
      </xdr:nvPicPr>
      <xdr:blipFill>
        <a:blip xmlns:r="http://schemas.openxmlformats.org/officeDocument/2006/relationships" r:embed="rId16"/>
        <a:stretch>
          <a:fillRect/>
        </a:stretch>
      </xdr:blipFill>
      <xdr:spPr>
        <a:xfrm>
          <a:off x="6272953" y="13978468"/>
          <a:ext cx="1082040" cy="174605"/>
        </a:xfrm>
        <a:prstGeom prst="rect">
          <a:avLst/>
        </a:prstGeom>
      </xdr:spPr>
    </xdr:pic>
    <xdr:clientData/>
  </xdr:twoCellAnchor>
  <xdr:twoCellAnchor editAs="oneCell">
    <xdr:from>
      <xdr:col>6</xdr:col>
      <xdr:colOff>15240</xdr:colOff>
      <xdr:row>43</xdr:row>
      <xdr:rowOff>167640</xdr:rowOff>
    </xdr:from>
    <xdr:to>
      <xdr:col>8</xdr:col>
      <xdr:colOff>305223</xdr:colOff>
      <xdr:row>45</xdr:row>
      <xdr:rowOff>5983</xdr:rowOff>
    </xdr:to>
    <xdr:pic>
      <xdr:nvPicPr>
        <xdr:cNvPr id="23" name="Picture 22">
          <a:extLst>
            <a:ext uri="{FF2B5EF4-FFF2-40B4-BE49-F238E27FC236}">
              <a16:creationId xmlns:a16="http://schemas.microsoft.com/office/drawing/2014/main" id="{7FFFC7FD-2433-4D6A-B100-A068C8EB8D1F}"/>
            </a:ext>
          </a:extLst>
        </xdr:cNvPr>
        <xdr:cNvPicPr>
          <a:picLocks noChangeAspect="1"/>
        </xdr:cNvPicPr>
      </xdr:nvPicPr>
      <xdr:blipFill>
        <a:blip xmlns:r="http://schemas.openxmlformats.org/officeDocument/2006/relationships" r:embed="rId17"/>
        <a:stretch>
          <a:fillRect/>
        </a:stretch>
      </xdr:blipFill>
      <xdr:spPr>
        <a:xfrm>
          <a:off x="6233160" y="8214360"/>
          <a:ext cx="1768263" cy="204103"/>
        </a:xfrm>
        <a:prstGeom prst="rect">
          <a:avLst/>
        </a:prstGeom>
      </xdr:spPr>
    </xdr:pic>
    <xdr:clientData/>
  </xdr:twoCellAnchor>
  <xdr:twoCellAnchor editAs="oneCell">
    <xdr:from>
      <xdr:col>6</xdr:col>
      <xdr:colOff>7622</xdr:colOff>
      <xdr:row>47</xdr:row>
      <xdr:rowOff>15241</xdr:rowOff>
    </xdr:from>
    <xdr:to>
      <xdr:col>8</xdr:col>
      <xdr:colOff>147109</xdr:colOff>
      <xdr:row>48</xdr:row>
      <xdr:rowOff>30986</xdr:rowOff>
    </xdr:to>
    <xdr:pic>
      <xdr:nvPicPr>
        <xdr:cNvPr id="24" name="Picture 23">
          <a:extLst>
            <a:ext uri="{FF2B5EF4-FFF2-40B4-BE49-F238E27FC236}">
              <a16:creationId xmlns:a16="http://schemas.microsoft.com/office/drawing/2014/main" id="{5EF70715-347B-4575-9699-17D95A1469B4}"/>
            </a:ext>
          </a:extLst>
        </xdr:cNvPr>
        <xdr:cNvPicPr>
          <a:picLocks noChangeAspect="1"/>
        </xdr:cNvPicPr>
      </xdr:nvPicPr>
      <xdr:blipFill>
        <a:blip xmlns:r="http://schemas.openxmlformats.org/officeDocument/2006/relationships" r:embed="rId18"/>
        <a:stretch>
          <a:fillRect/>
        </a:stretch>
      </xdr:blipFill>
      <xdr:spPr>
        <a:xfrm>
          <a:off x="6225542" y="8793481"/>
          <a:ext cx="1617767" cy="198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248817</xdr:colOff>
      <xdr:row>17</xdr:row>
      <xdr:rowOff>160175</xdr:rowOff>
    </xdr:from>
    <xdr:to>
      <xdr:col>15</xdr:col>
      <xdr:colOff>575388</xdr:colOff>
      <xdr:row>32</xdr:row>
      <xdr:rowOff>104192</xdr:rowOff>
    </xdr:to>
    <xdr:graphicFrame macro="">
      <xdr:nvGraphicFramePr>
        <xdr:cNvPr id="15" name="Chart 14">
          <a:extLst>
            <a:ext uri="{FF2B5EF4-FFF2-40B4-BE49-F238E27FC236}">
              <a16:creationId xmlns:a16="http://schemas.microsoft.com/office/drawing/2014/main" id="{AE61865D-64C8-26F9-54BD-011D9E1EC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716796</xdr:colOff>
      <xdr:row>51</xdr:row>
      <xdr:rowOff>55536</xdr:rowOff>
    </xdr:from>
    <xdr:to>
      <xdr:col>6</xdr:col>
      <xdr:colOff>2163305</xdr:colOff>
      <xdr:row>66</xdr:row>
      <xdr:rowOff>86533</xdr:rowOff>
    </xdr:to>
    <xdr:graphicFrame macro="">
      <xdr:nvGraphicFramePr>
        <xdr:cNvPr id="17" name="Chart 16">
          <a:extLst>
            <a:ext uri="{FF2B5EF4-FFF2-40B4-BE49-F238E27FC236}">
              <a16:creationId xmlns:a16="http://schemas.microsoft.com/office/drawing/2014/main" id="{62C6A78C-D0E3-2CD5-5B7A-6F495088A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523068</xdr:colOff>
      <xdr:row>76</xdr:row>
      <xdr:rowOff>145943</xdr:rowOff>
    </xdr:from>
    <xdr:to>
      <xdr:col>3</xdr:col>
      <xdr:colOff>2151062</xdr:colOff>
      <xdr:row>86</xdr:row>
      <xdr:rowOff>47625</xdr:rowOff>
    </xdr:to>
    <xdr:graphicFrame macro="">
      <xdr:nvGraphicFramePr>
        <xdr:cNvPr id="18" name="Chart 17">
          <a:extLst>
            <a:ext uri="{FF2B5EF4-FFF2-40B4-BE49-F238E27FC236}">
              <a16:creationId xmlns:a16="http://schemas.microsoft.com/office/drawing/2014/main" id="{6FDAA0D5-44A0-C122-8879-0B3C17652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301624</xdr:colOff>
      <xdr:row>87</xdr:row>
      <xdr:rowOff>13493</xdr:rowOff>
    </xdr:from>
    <xdr:to>
      <xdr:col>3</xdr:col>
      <xdr:colOff>2222500</xdr:colOff>
      <xdr:row>94</xdr:row>
      <xdr:rowOff>79374</xdr:rowOff>
    </xdr:to>
    <xdr:graphicFrame macro="">
      <xdr:nvGraphicFramePr>
        <xdr:cNvPr id="19" name="Chart 18">
          <a:extLst>
            <a:ext uri="{FF2B5EF4-FFF2-40B4-BE49-F238E27FC236}">
              <a16:creationId xmlns:a16="http://schemas.microsoft.com/office/drawing/2014/main" id="{4075B869-12DD-4798-3D6E-F400671CD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350520</xdr:colOff>
      <xdr:row>98</xdr:row>
      <xdr:rowOff>99060</xdr:rowOff>
    </xdr:from>
    <xdr:to>
      <xdr:col>6</xdr:col>
      <xdr:colOff>4922520</xdr:colOff>
      <xdr:row>113</xdr:row>
      <xdr:rowOff>99060</xdr:rowOff>
    </xdr:to>
    <xdr:graphicFrame macro="">
      <xdr:nvGraphicFramePr>
        <xdr:cNvPr id="20" name="Chart 19">
          <a:extLst>
            <a:ext uri="{FF2B5EF4-FFF2-40B4-BE49-F238E27FC236}">
              <a16:creationId xmlns:a16="http://schemas.microsoft.com/office/drawing/2014/main" id="{3588F9FF-7B1B-5C3A-35A2-0EE78BA25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428625</xdr:colOff>
      <xdr:row>121</xdr:row>
      <xdr:rowOff>160338</xdr:rowOff>
    </xdr:from>
    <xdr:to>
      <xdr:col>16</xdr:col>
      <xdr:colOff>174625</xdr:colOff>
      <xdr:row>136</xdr:row>
      <xdr:rowOff>38418</xdr:rowOff>
    </xdr:to>
    <xdr:graphicFrame macro="">
      <xdr:nvGraphicFramePr>
        <xdr:cNvPr id="21" name="Chart 20">
          <a:extLst>
            <a:ext uri="{FF2B5EF4-FFF2-40B4-BE49-F238E27FC236}">
              <a16:creationId xmlns:a16="http://schemas.microsoft.com/office/drawing/2014/main" id="{1700B968-A468-DF9D-BFAC-4FE9E7850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508000</xdr:colOff>
      <xdr:row>240</xdr:row>
      <xdr:rowOff>1588</xdr:rowOff>
    </xdr:from>
    <xdr:to>
      <xdr:col>6</xdr:col>
      <xdr:colOff>5080000</xdr:colOff>
      <xdr:row>254</xdr:row>
      <xdr:rowOff>77788</xdr:rowOff>
    </xdr:to>
    <xdr:graphicFrame macro="">
      <xdr:nvGraphicFramePr>
        <xdr:cNvPr id="22" name="Chart 21">
          <a:extLst>
            <a:ext uri="{FF2B5EF4-FFF2-40B4-BE49-F238E27FC236}">
              <a16:creationId xmlns:a16="http://schemas.microsoft.com/office/drawing/2014/main" id="{2C7CF612-52D6-97BB-8A07-4ADB5FF7D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450273</xdr:colOff>
      <xdr:row>257</xdr:row>
      <xdr:rowOff>169718</xdr:rowOff>
    </xdr:from>
    <xdr:to>
      <xdr:col>16</xdr:col>
      <xdr:colOff>173182</xdr:colOff>
      <xdr:row>272</xdr:row>
      <xdr:rowOff>55418</xdr:rowOff>
    </xdr:to>
    <xdr:graphicFrame macro="">
      <xdr:nvGraphicFramePr>
        <xdr:cNvPr id="24" name="Chart 23">
          <a:extLst>
            <a:ext uri="{FF2B5EF4-FFF2-40B4-BE49-F238E27FC236}">
              <a16:creationId xmlns:a16="http://schemas.microsoft.com/office/drawing/2014/main" id="{5F3A8996-2D87-3D75-9FBC-73AFEE1EC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57</xdr:row>
      <xdr:rowOff>152400</xdr:rowOff>
    </xdr:from>
    <xdr:to>
      <xdr:col>20</xdr:col>
      <xdr:colOff>511634</xdr:colOff>
      <xdr:row>91</xdr:row>
      <xdr:rowOff>46250</xdr:rowOff>
    </xdr:to>
    <xdr:pic>
      <xdr:nvPicPr>
        <xdr:cNvPr id="2" name="Picture 1">
          <a:extLst>
            <a:ext uri="{FF2B5EF4-FFF2-40B4-BE49-F238E27FC236}">
              <a16:creationId xmlns:a16="http://schemas.microsoft.com/office/drawing/2014/main" id="{7036112B-14AF-432A-8B86-D74AA8AC0027}"/>
            </a:ext>
          </a:extLst>
        </xdr:cNvPr>
        <xdr:cNvPicPr>
          <a:picLocks noChangeAspect="1"/>
        </xdr:cNvPicPr>
      </xdr:nvPicPr>
      <xdr:blipFill>
        <a:blip xmlns:r="http://schemas.openxmlformats.org/officeDocument/2006/relationships" r:embed="rId1"/>
        <a:stretch>
          <a:fillRect/>
        </a:stretch>
      </xdr:blipFill>
      <xdr:spPr>
        <a:xfrm>
          <a:off x="76200" y="10576560"/>
          <a:ext cx="12627434" cy="6111770"/>
        </a:xfrm>
        <a:prstGeom prst="rect">
          <a:avLst/>
        </a:prstGeom>
      </xdr:spPr>
    </xdr:pic>
    <xdr:clientData/>
  </xdr:twoCellAnchor>
  <xdr:twoCellAnchor editAs="oneCell">
    <xdr:from>
      <xdr:col>0</xdr:col>
      <xdr:colOff>0</xdr:colOff>
      <xdr:row>5</xdr:row>
      <xdr:rowOff>0</xdr:rowOff>
    </xdr:from>
    <xdr:to>
      <xdr:col>16</xdr:col>
      <xdr:colOff>244706</xdr:colOff>
      <xdr:row>26</xdr:row>
      <xdr:rowOff>84160</xdr:rowOff>
    </xdr:to>
    <xdr:pic>
      <xdr:nvPicPr>
        <xdr:cNvPr id="3" name="Picture 2">
          <a:extLst>
            <a:ext uri="{FF2B5EF4-FFF2-40B4-BE49-F238E27FC236}">
              <a16:creationId xmlns:a16="http://schemas.microsoft.com/office/drawing/2014/main" id="{58654826-DCEB-BC24-EED8-1309F20A2F9B}"/>
            </a:ext>
          </a:extLst>
        </xdr:cNvPr>
        <xdr:cNvPicPr>
          <a:picLocks noChangeAspect="1"/>
        </xdr:cNvPicPr>
      </xdr:nvPicPr>
      <xdr:blipFill>
        <a:blip xmlns:r="http://schemas.openxmlformats.org/officeDocument/2006/relationships" r:embed="rId2"/>
        <a:stretch>
          <a:fillRect/>
        </a:stretch>
      </xdr:blipFill>
      <xdr:spPr>
        <a:xfrm>
          <a:off x="0" y="914400"/>
          <a:ext cx="9998306" cy="3924640"/>
        </a:xfrm>
        <a:prstGeom prst="rect">
          <a:avLst/>
        </a:prstGeom>
      </xdr:spPr>
    </xdr:pic>
    <xdr:clientData/>
  </xdr:twoCellAnchor>
  <xdr:twoCellAnchor editAs="oneCell">
    <xdr:from>
      <xdr:col>0</xdr:col>
      <xdr:colOff>0</xdr:colOff>
      <xdr:row>29</xdr:row>
      <xdr:rowOff>0</xdr:rowOff>
    </xdr:from>
    <xdr:to>
      <xdr:col>6</xdr:col>
      <xdr:colOff>419453</xdr:colOff>
      <xdr:row>54</xdr:row>
      <xdr:rowOff>91844</xdr:rowOff>
    </xdr:to>
    <xdr:pic>
      <xdr:nvPicPr>
        <xdr:cNvPr id="4" name="Picture 3">
          <a:extLst>
            <a:ext uri="{FF2B5EF4-FFF2-40B4-BE49-F238E27FC236}">
              <a16:creationId xmlns:a16="http://schemas.microsoft.com/office/drawing/2014/main" id="{86619813-27E9-8F9F-DF32-42985264C6C4}"/>
            </a:ext>
          </a:extLst>
        </xdr:cNvPr>
        <xdr:cNvPicPr>
          <a:picLocks noChangeAspect="1"/>
        </xdr:cNvPicPr>
      </xdr:nvPicPr>
      <xdr:blipFill>
        <a:blip xmlns:r="http://schemas.openxmlformats.org/officeDocument/2006/relationships" r:embed="rId3"/>
        <a:stretch>
          <a:fillRect/>
        </a:stretch>
      </xdr:blipFill>
      <xdr:spPr>
        <a:xfrm>
          <a:off x="0" y="5303520"/>
          <a:ext cx="4077053" cy="4663844"/>
        </a:xfrm>
        <a:prstGeom prst="rect">
          <a:avLst/>
        </a:prstGeom>
      </xdr:spPr>
    </xdr:pic>
    <xdr:clientData/>
  </xdr:twoCellAnchor>
  <xdr:twoCellAnchor editAs="oneCell">
    <xdr:from>
      <xdr:col>0</xdr:col>
      <xdr:colOff>0</xdr:colOff>
      <xdr:row>93</xdr:row>
      <xdr:rowOff>121920</xdr:rowOff>
    </xdr:from>
    <xdr:to>
      <xdr:col>14</xdr:col>
      <xdr:colOff>541807</xdr:colOff>
      <xdr:row>109</xdr:row>
      <xdr:rowOff>243</xdr:rowOff>
    </xdr:to>
    <xdr:pic>
      <xdr:nvPicPr>
        <xdr:cNvPr id="5" name="Picture 4">
          <a:extLst>
            <a:ext uri="{FF2B5EF4-FFF2-40B4-BE49-F238E27FC236}">
              <a16:creationId xmlns:a16="http://schemas.microsoft.com/office/drawing/2014/main" id="{D2054473-FD4E-D12F-3D2E-3A28EC8E0A48}"/>
            </a:ext>
          </a:extLst>
        </xdr:cNvPr>
        <xdr:cNvPicPr>
          <a:picLocks noChangeAspect="1"/>
        </xdr:cNvPicPr>
      </xdr:nvPicPr>
      <xdr:blipFill>
        <a:blip xmlns:r="http://schemas.openxmlformats.org/officeDocument/2006/relationships" r:embed="rId4"/>
        <a:stretch>
          <a:fillRect/>
        </a:stretch>
      </xdr:blipFill>
      <xdr:spPr>
        <a:xfrm>
          <a:off x="0" y="17129760"/>
          <a:ext cx="9076207" cy="2804403"/>
        </a:xfrm>
        <a:prstGeom prst="rect">
          <a:avLst/>
        </a:prstGeom>
      </xdr:spPr>
    </xdr:pic>
    <xdr:clientData/>
  </xdr:twoCellAnchor>
  <xdr:twoCellAnchor editAs="oneCell">
    <xdr:from>
      <xdr:col>0</xdr:col>
      <xdr:colOff>0</xdr:colOff>
      <xdr:row>109</xdr:row>
      <xdr:rowOff>76200</xdr:rowOff>
    </xdr:from>
    <xdr:to>
      <xdr:col>15</xdr:col>
      <xdr:colOff>2324</xdr:colOff>
      <xdr:row>123</xdr:row>
      <xdr:rowOff>30480</xdr:rowOff>
    </xdr:to>
    <xdr:pic>
      <xdr:nvPicPr>
        <xdr:cNvPr id="6" name="Picture 5">
          <a:extLst>
            <a:ext uri="{FF2B5EF4-FFF2-40B4-BE49-F238E27FC236}">
              <a16:creationId xmlns:a16="http://schemas.microsoft.com/office/drawing/2014/main" id="{32D4F51F-DAEC-3858-E35D-25088E3FBEAF}"/>
            </a:ext>
          </a:extLst>
        </xdr:cNvPr>
        <xdr:cNvPicPr>
          <a:picLocks noChangeAspect="1"/>
        </xdr:cNvPicPr>
      </xdr:nvPicPr>
      <xdr:blipFill>
        <a:blip xmlns:r="http://schemas.openxmlformats.org/officeDocument/2006/relationships" r:embed="rId5"/>
        <a:stretch>
          <a:fillRect/>
        </a:stretch>
      </xdr:blipFill>
      <xdr:spPr>
        <a:xfrm>
          <a:off x="0" y="20010120"/>
          <a:ext cx="9146324" cy="2514600"/>
        </a:xfrm>
        <a:prstGeom prst="rect">
          <a:avLst/>
        </a:prstGeom>
      </xdr:spPr>
    </xdr:pic>
    <xdr:clientData/>
  </xdr:twoCellAnchor>
  <xdr:twoCellAnchor editAs="oneCell">
    <xdr:from>
      <xdr:col>0</xdr:col>
      <xdr:colOff>0</xdr:colOff>
      <xdr:row>124</xdr:row>
      <xdr:rowOff>0</xdr:rowOff>
    </xdr:from>
    <xdr:to>
      <xdr:col>6</xdr:col>
      <xdr:colOff>526143</xdr:colOff>
      <xdr:row>156</xdr:row>
      <xdr:rowOff>91955</xdr:rowOff>
    </xdr:to>
    <xdr:pic>
      <xdr:nvPicPr>
        <xdr:cNvPr id="7" name="Picture 6">
          <a:extLst>
            <a:ext uri="{FF2B5EF4-FFF2-40B4-BE49-F238E27FC236}">
              <a16:creationId xmlns:a16="http://schemas.microsoft.com/office/drawing/2014/main" id="{52643506-2824-13A5-E77F-AF6FCCF72A0C}"/>
            </a:ext>
          </a:extLst>
        </xdr:cNvPr>
        <xdr:cNvPicPr>
          <a:picLocks noChangeAspect="1"/>
        </xdr:cNvPicPr>
      </xdr:nvPicPr>
      <xdr:blipFill>
        <a:blip xmlns:r="http://schemas.openxmlformats.org/officeDocument/2006/relationships" r:embed="rId6"/>
        <a:stretch>
          <a:fillRect/>
        </a:stretch>
      </xdr:blipFill>
      <xdr:spPr>
        <a:xfrm>
          <a:off x="0" y="22677120"/>
          <a:ext cx="4183743" cy="5944115"/>
        </a:xfrm>
        <a:prstGeom prst="rect">
          <a:avLst/>
        </a:prstGeom>
      </xdr:spPr>
    </xdr:pic>
    <xdr:clientData/>
  </xdr:twoCellAnchor>
  <xdr:twoCellAnchor editAs="oneCell">
    <xdr:from>
      <xdr:col>0</xdr:col>
      <xdr:colOff>0</xdr:colOff>
      <xdr:row>159</xdr:row>
      <xdr:rowOff>0</xdr:rowOff>
    </xdr:from>
    <xdr:to>
      <xdr:col>6</xdr:col>
      <xdr:colOff>518522</xdr:colOff>
      <xdr:row>191</xdr:row>
      <xdr:rowOff>69093</xdr:rowOff>
    </xdr:to>
    <xdr:pic>
      <xdr:nvPicPr>
        <xdr:cNvPr id="8" name="Picture 7">
          <a:extLst>
            <a:ext uri="{FF2B5EF4-FFF2-40B4-BE49-F238E27FC236}">
              <a16:creationId xmlns:a16="http://schemas.microsoft.com/office/drawing/2014/main" id="{8993DD79-8EE1-9F10-791F-730AC4B989DA}"/>
            </a:ext>
          </a:extLst>
        </xdr:cNvPr>
        <xdr:cNvPicPr>
          <a:picLocks noChangeAspect="1"/>
        </xdr:cNvPicPr>
      </xdr:nvPicPr>
      <xdr:blipFill>
        <a:blip xmlns:r="http://schemas.openxmlformats.org/officeDocument/2006/relationships" r:embed="rId7"/>
        <a:stretch>
          <a:fillRect/>
        </a:stretch>
      </xdr:blipFill>
      <xdr:spPr>
        <a:xfrm>
          <a:off x="0" y="29077920"/>
          <a:ext cx="4176122" cy="5921253"/>
        </a:xfrm>
        <a:prstGeom prst="rect">
          <a:avLst/>
        </a:prstGeom>
      </xdr:spPr>
    </xdr:pic>
    <xdr:clientData/>
  </xdr:twoCellAnchor>
  <xdr:twoCellAnchor editAs="oneCell">
    <xdr:from>
      <xdr:col>0</xdr:col>
      <xdr:colOff>0</xdr:colOff>
      <xdr:row>195</xdr:row>
      <xdr:rowOff>0</xdr:rowOff>
    </xdr:from>
    <xdr:to>
      <xdr:col>6</xdr:col>
      <xdr:colOff>518522</xdr:colOff>
      <xdr:row>227</xdr:row>
      <xdr:rowOff>15748</xdr:rowOff>
    </xdr:to>
    <xdr:pic>
      <xdr:nvPicPr>
        <xdr:cNvPr id="9" name="Picture 8">
          <a:extLst>
            <a:ext uri="{FF2B5EF4-FFF2-40B4-BE49-F238E27FC236}">
              <a16:creationId xmlns:a16="http://schemas.microsoft.com/office/drawing/2014/main" id="{06144758-859F-F893-69D1-268FBBFFBCFB}"/>
            </a:ext>
          </a:extLst>
        </xdr:cNvPr>
        <xdr:cNvPicPr>
          <a:picLocks noChangeAspect="1"/>
        </xdr:cNvPicPr>
      </xdr:nvPicPr>
      <xdr:blipFill>
        <a:blip xmlns:r="http://schemas.openxmlformats.org/officeDocument/2006/relationships" r:embed="rId8"/>
        <a:stretch>
          <a:fillRect/>
        </a:stretch>
      </xdr:blipFill>
      <xdr:spPr>
        <a:xfrm>
          <a:off x="0" y="35661600"/>
          <a:ext cx="4176122" cy="5867908"/>
        </a:xfrm>
        <a:prstGeom prst="rect">
          <a:avLst/>
        </a:prstGeom>
      </xdr:spPr>
    </xdr:pic>
    <xdr:clientData/>
  </xdr:twoCellAnchor>
  <xdr:twoCellAnchor editAs="oneCell">
    <xdr:from>
      <xdr:col>0</xdr:col>
      <xdr:colOff>0</xdr:colOff>
      <xdr:row>229</xdr:row>
      <xdr:rowOff>0</xdr:rowOff>
    </xdr:from>
    <xdr:to>
      <xdr:col>10</xdr:col>
      <xdr:colOff>152942</xdr:colOff>
      <xdr:row>249</xdr:row>
      <xdr:rowOff>137489</xdr:rowOff>
    </xdr:to>
    <xdr:pic>
      <xdr:nvPicPr>
        <xdr:cNvPr id="10" name="Picture 9">
          <a:extLst>
            <a:ext uri="{FF2B5EF4-FFF2-40B4-BE49-F238E27FC236}">
              <a16:creationId xmlns:a16="http://schemas.microsoft.com/office/drawing/2014/main" id="{CE1F4EAB-6672-6E9E-BB01-DD8F89220B22}"/>
            </a:ext>
          </a:extLst>
        </xdr:cNvPr>
        <xdr:cNvPicPr>
          <a:picLocks noChangeAspect="1"/>
        </xdr:cNvPicPr>
      </xdr:nvPicPr>
      <xdr:blipFill>
        <a:blip xmlns:r="http://schemas.openxmlformats.org/officeDocument/2006/relationships" r:embed="rId9"/>
        <a:stretch>
          <a:fillRect/>
        </a:stretch>
      </xdr:blipFill>
      <xdr:spPr>
        <a:xfrm>
          <a:off x="0" y="41879520"/>
          <a:ext cx="6248942" cy="3795089"/>
        </a:xfrm>
        <a:prstGeom prst="rect">
          <a:avLst/>
        </a:prstGeom>
      </xdr:spPr>
    </xdr:pic>
    <xdr:clientData/>
  </xdr:twoCellAnchor>
  <xdr:twoCellAnchor editAs="oneCell">
    <xdr:from>
      <xdr:col>0</xdr:col>
      <xdr:colOff>0</xdr:colOff>
      <xdr:row>252</xdr:row>
      <xdr:rowOff>0</xdr:rowOff>
    </xdr:from>
    <xdr:to>
      <xdr:col>10</xdr:col>
      <xdr:colOff>206286</xdr:colOff>
      <xdr:row>280</xdr:row>
      <xdr:rowOff>23306</xdr:rowOff>
    </xdr:to>
    <xdr:pic>
      <xdr:nvPicPr>
        <xdr:cNvPr id="11" name="Picture 10">
          <a:extLst>
            <a:ext uri="{FF2B5EF4-FFF2-40B4-BE49-F238E27FC236}">
              <a16:creationId xmlns:a16="http://schemas.microsoft.com/office/drawing/2014/main" id="{062B4984-B218-086C-FDFA-81D9E779BA2B}"/>
            </a:ext>
          </a:extLst>
        </xdr:cNvPr>
        <xdr:cNvPicPr>
          <a:picLocks noChangeAspect="1"/>
        </xdr:cNvPicPr>
      </xdr:nvPicPr>
      <xdr:blipFill>
        <a:blip xmlns:r="http://schemas.openxmlformats.org/officeDocument/2006/relationships" r:embed="rId10"/>
        <a:stretch>
          <a:fillRect/>
        </a:stretch>
      </xdr:blipFill>
      <xdr:spPr>
        <a:xfrm>
          <a:off x="0" y="46085760"/>
          <a:ext cx="6302286" cy="5143946"/>
        </a:xfrm>
        <a:prstGeom prst="rect">
          <a:avLst/>
        </a:prstGeom>
      </xdr:spPr>
    </xdr:pic>
    <xdr:clientData/>
  </xdr:twoCellAnchor>
  <xdr:twoCellAnchor editAs="oneCell">
    <xdr:from>
      <xdr:col>0</xdr:col>
      <xdr:colOff>7620</xdr:colOff>
      <xdr:row>283</xdr:row>
      <xdr:rowOff>45720</xdr:rowOff>
    </xdr:from>
    <xdr:to>
      <xdr:col>10</xdr:col>
      <xdr:colOff>267251</xdr:colOff>
      <xdr:row>309</xdr:row>
      <xdr:rowOff>23270</xdr:rowOff>
    </xdr:to>
    <xdr:pic>
      <xdr:nvPicPr>
        <xdr:cNvPr id="12" name="Picture 11">
          <a:extLst>
            <a:ext uri="{FF2B5EF4-FFF2-40B4-BE49-F238E27FC236}">
              <a16:creationId xmlns:a16="http://schemas.microsoft.com/office/drawing/2014/main" id="{68AF52CB-6FF4-DB87-7812-33AA1B813DA2}"/>
            </a:ext>
          </a:extLst>
        </xdr:cNvPr>
        <xdr:cNvPicPr>
          <a:picLocks noChangeAspect="1"/>
        </xdr:cNvPicPr>
      </xdr:nvPicPr>
      <xdr:blipFill>
        <a:blip xmlns:r="http://schemas.openxmlformats.org/officeDocument/2006/relationships" r:embed="rId11"/>
        <a:stretch>
          <a:fillRect/>
        </a:stretch>
      </xdr:blipFill>
      <xdr:spPr>
        <a:xfrm>
          <a:off x="7620" y="51800760"/>
          <a:ext cx="6355631" cy="4732430"/>
        </a:xfrm>
        <a:prstGeom prst="rect">
          <a:avLst/>
        </a:prstGeom>
      </xdr:spPr>
    </xdr:pic>
    <xdr:clientData/>
  </xdr:twoCellAnchor>
  <xdr:twoCellAnchor editAs="oneCell">
    <xdr:from>
      <xdr:col>0</xdr:col>
      <xdr:colOff>0</xdr:colOff>
      <xdr:row>312</xdr:row>
      <xdr:rowOff>0</xdr:rowOff>
    </xdr:from>
    <xdr:to>
      <xdr:col>6</xdr:col>
      <xdr:colOff>510901</xdr:colOff>
      <xdr:row>344</xdr:row>
      <xdr:rowOff>38610</xdr:rowOff>
    </xdr:to>
    <xdr:pic>
      <xdr:nvPicPr>
        <xdr:cNvPr id="14" name="Picture 13">
          <a:extLst>
            <a:ext uri="{FF2B5EF4-FFF2-40B4-BE49-F238E27FC236}">
              <a16:creationId xmlns:a16="http://schemas.microsoft.com/office/drawing/2014/main" id="{95628B5F-A7E9-2E1D-91FA-B3B5637195AE}"/>
            </a:ext>
          </a:extLst>
        </xdr:cNvPr>
        <xdr:cNvPicPr>
          <a:picLocks noChangeAspect="1"/>
        </xdr:cNvPicPr>
      </xdr:nvPicPr>
      <xdr:blipFill>
        <a:blip xmlns:r="http://schemas.openxmlformats.org/officeDocument/2006/relationships" r:embed="rId12"/>
        <a:stretch>
          <a:fillRect/>
        </a:stretch>
      </xdr:blipFill>
      <xdr:spPr>
        <a:xfrm>
          <a:off x="0" y="57058560"/>
          <a:ext cx="4168501" cy="5890770"/>
        </a:xfrm>
        <a:prstGeom prst="rect">
          <a:avLst/>
        </a:prstGeom>
      </xdr:spPr>
    </xdr:pic>
    <xdr:clientData/>
  </xdr:twoCellAnchor>
  <xdr:twoCellAnchor editAs="oneCell">
    <xdr:from>
      <xdr:col>0</xdr:col>
      <xdr:colOff>0</xdr:colOff>
      <xdr:row>346</xdr:row>
      <xdr:rowOff>0</xdr:rowOff>
    </xdr:from>
    <xdr:to>
      <xdr:col>7</xdr:col>
      <xdr:colOff>180419</xdr:colOff>
      <xdr:row>361</xdr:row>
      <xdr:rowOff>85371</xdr:rowOff>
    </xdr:to>
    <xdr:pic>
      <xdr:nvPicPr>
        <xdr:cNvPr id="13" name="Picture 12">
          <a:extLst>
            <a:ext uri="{FF2B5EF4-FFF2-40B4-BE49-F238E27FC236}">
              <a16:creationId xmlns:a16="http://schemas.microsoft.com/office/drawing/2014/main" id="{23DE1B5E-9F3C-5917-8DA6-B386B82ECC55}"/>
            </a:ext>
          </a:extLst>
        </xdr:cNvPr>
        <xdr:cNvPicPr>
          <a:picLocks noChangeAspect="1"/>
        </xdr:cNvPicPr>
      </xdr:nvPicPr>
      <xdr:blipFill>
        <a:blip xmlns:r="http://schemas.openxmlformats.org/officeDocument/2006/relationships" r:embed="rId13"/>
        <a:stretch>
          <a:fillRect/>
        </a:stretch>
      </xdr:blipFill>
      <xdr:spPr>
        <a:xfrm>
          <a:off x="0" y="63276480"/>
          <a:ext cx="4447619" cy="2828571"/>
        </a:xfrm>
        <a:prstGeom prst="rect">
          <a:avLst/>
        </a:prstGeom>
      </xdr:spPr>
    </xdr:pic>
    <xdr:clientData/>
  </xdr:twoCellAnchor>
  <xdr:twoCellAnchor editAs="oneCell">
    <xdr:from>
      <xdr:col>0</xdr:col>
      <xdr:colOff>0</xdr:colOff>
      <xdr:row>364</xdr:row>
      <xdr:rowOff>0</xdr:rowOff>
    </xdr:from>
    <xdr:to>
      <xdr:col>7</xdr:col>
      <xdr:colOff>75657</xdr:colOff>
      <xdr:row>381</xdr:row>
      <xdr:rowOff>91040</xdr:rowOff>
    </xdr:to>
    <xdr:pic>
      <xdr:nvPicPr>
        <xdr:cNvPr id="21" name="Picture 20">
          <a:extLst>
            <a:ext uri="{FF2B5EF4-FFF2-40B4-BE49-F238E27FC236}">
              <a16:creationId xmlns:a16="http://schemas.microsoft.com/office/drawing/2014/main" id="{42D756AB-11B9-9273-FC0E-BCFB396A5271}"/>
            </a:ext>
          </a:extLst>
        </xdr:cNvPr>
        <xdr:cNvPicPr>
          <a:picLocks noChangeAspect="1"/>
        </xdr:cNvPicPr>
      </xdr:nvPicPr>
      <xdr:blipFill>
        <a:blip xmlns:r="http://schemas.openxmlformats.org/officeDocument/2006/relationships" r:embed="rId14"/>
        <a:stretch>
          <a:fillRect/>
        </a:stretch>
      </xdr:blipFill>
      <xdr:spPr>
        <a:xfrm>
          <a:off x="0" y="66568320"/>
          <a:ext cx="4342857" cy="3200000"/>
        </a:xfrm>
        <a:prstGeom prst="rect">
          <a:avLst/>
        </a:prstGeom>
      </xdr:spPr>
    </xdr:pic>
    <xdr:clientData/>
  </xdr:twoCellAnchor>
  <xdr:twoCellAnchor editAs="oneCell">
    <xdr:from>
      <xdr:col>0</xdr:col>
      <xdr:colOff>0</xdr:colOff>
      <xdr:row>383</xdr:row>
      <xdr:rowOff>0</xdr:rowOff>
    </xdr:from>
    <xdr:to>
      <xdr:col>7</xdr:col>
      <xdr:colOff>28038</xdr:colOff>
      <xdr:row>402</xdr:row>
      <xdr:rowOff>134804</xdr:rowOff>
    </xdr:to>
    <xdr:pic>
      <xdr:nvPicPr>
        <xdr:cNvPr id="22" name="Picture 21">
          <a:extLst>
            <a:ext uri="{FF2B5EF4-FFF2-40B4-BE49-F238E27FC236}">
              <a16:creationId xmlns:a16="http://schemas.microsoft.com/office/drawing/2014/main" id="{2D98C49F-CB50-F53C-CE43-06A166C7A939}"/>
            </a:ext>
          </a:extLst>
        </xdr:cNvPr>
        <xdr:cNvPicPr>
          <a:picLocks noChangeAspect="1"/>
        </xdr:cNvPicPr>
      </xdr:nvPicPr>
      <xdr:blipFill>
        <a:blip xmlns:r="http://schemas.openxmlformats.org/officeDocument/2006/relationships" r:embed="rId15"/>
        <a:stretch>
          <a:fillRect/>
        </a:stretch>
      </xdr:blipFill>
      <xdr:spPr>
        <a:xfrm>
          <a:off x="0" y="70043040"/>
          <a:ext cx="4295238" cy="3609524"/>
        </a:xfrm>
        <a:prstGeom prst="rect">
          <a:avLst/>
        </a:prstGeom>
      </xdr:spPr>
    </xdr:pic>
    <xdr:clientData/>
  </xdr:twoCellAnchor>
  <xdr:twoCellAnchor editAs="oneCell">
    <xdr:from>
      <xdr:col>0</xdr:col>
      <xdr:colOff>0</xdr:colOff>
      <xdr:row>404</xdr:row>
      <xdr:rowOff>0</xdr:rowOff>
    </xdr:from>
    <xdr:to>
      <xdr:col>7</xdr:col>
      <xdr:colOff>47086</xdr:colOff>
      <xdr:row>421</xdr:row>
      <xdr:rowOff>176754</xdr:rowOff>
    </xdr:to>
    <xdr:pic>
      <xdr:nvPicPr>
        <xdr:cNvPr id="23" name="Picture 22">
          <a:extLst>
            <a:ext uri="{FF2B5EF4-FFF2-40B4-BE49-F238E27FC236}">
              <a16:creationId xmlns:a16="http://schemas.microsoft.com/office/drawing/2014/main" id="{6DBAE74F-20D1-40F2-196E-2B8D550847D1}"/>
            </a:ext>
          </a:extLst>
        </xdr:cNvPr>
        <xdr:cNvPicPr>
          <a:picLocks noChangeAspect="1"/>
        </xdr:cNvPicPr>
      </xdr:nvPicPr>
      <xdr:blipFill>
        <a:blip xmlns:r="http://schemas.openxmlformats.org/officeDocument/2006/relationships" r:embed="rId16"/>
        <a:stretch>
          <a:fillRect/>
        </a:stretch>
      </xdr:blipFill>
      <xdr:spPr>
        <a:xfrm>
          <a:off x="0" y="73883520"/>
          <a:ext cx="4314286" cy="3285714"/>
        </a:xfrm>
        <a:prstGeom prst="rect">
          <a:avLst/>
        </a:prstGeom>
      </xdr:spPr>
    </xdr:pic>
    <xdr:clientData/>
  </xdr:twoCellAnchor>
  <xdr:twoCellAnchor editAs="oneCell">
    <xdr:from>
      <xdr:col>0</xdr:col>
      <xdr:colOff>0</xdr:colOff>
      <xdr:row>424</xdr:row>
      <xdr:rowOff>0</xdr:rowOff>
    </xdr:from>
    <xdr:to>
      <xdr:col>7</xdr:col>
      <xdr:colOff>123276</xdr:colOff>
      <xdr:row>443</xdr:row>
      <xdr:rowOff>87185</xdr:rowOff>
    </xdr:to>
    <xdr:pic>
      <xdr:nvPicPr>
        <xdr:cNvPr id="24" name="Picture 23">
          <a:extLst>
            <a:ext uri="{FF2B5EF4-FFF2-40B4-BE49-F238E27FC236}">
              <a16:creationId xmlns:a16="http://schemas.microsoft.com/office/drawing/2014/main" id="{897196A6-2CC1-52EA-22EE-C2BA034CC1A6}"/>
            </a:ext>
          </a:extLst>
        </xdr:cNvPr>
        <xdr:cNvPicPr>
          <a:picLocks noChangeAspect="1"/>
        </xdr:cNvPicPr>
      </xdr:nvPicPr>
      <xdr:blipFill>
        <a:blip xmlns:r="http://schemas.openxmlformats.org/officeDocument/2006/relationships" r:embed="rId17"/>
        <a:stretch>
          <a:fillRect/>
        </a:stretch>
      </xdr:blipFill>
      <xdr:spPr>
        <a:xfrm>
          <a:off x="0" y="77541120"/>
          <a:ext cx="4390476" cy="3561905"/>
        </a:xfrm>
        <a:prstGeom prst="rect">
          <a:avLst/>
        </a:prstGeom>
      </xdr:spPr>
    </xdr:pic>
    <xdr:clientData/>
  </xdr:twoCellAnchor>
  <xdr:twoCellAnchor editAs="oneCell">
    <xdr:from>
      <xdr:col>0</xdr:col>
      <xdr:colOff>0</xdr:colOff>
      <xdr:row>445</xdr:row>
      <xdr:rowOff>0</xdr:rowOff>
    </xdr:from>
    <xdr:to>
      <xdr:col>7</xdr:col>
      <xdr:colOff>66133</xdr:colOff>
      <xdr:row>457</xdr:row>
      <xdr:rowOff>91154</xdr:rowOff>
    </xdr:to>
    <xdr:pic>
      <xdr:nvPicPr>
        <xdr:cNvPr id="25" name="Picture 24">
          <a:extLst>
            <a:ext uri="{FF2B5EF4-FFF2-40B4-BE49-F238E27FC236}">
              <a16:creationId xmlns:a16="http://schemas.microsoft.com/office/drawing/2014/main" id="{CC330F48-C36F-D337-7F49-68C51B2EC0E4}"/>
            </a:ext>
          </a:extLst>
        </xdr:cNvPr>
        <xdr:cNvPicPr>
          <a:picLocks noChangeAspect="1"/>
        </xdr:cNvPicPr>
      </xdr:nvPicPr>
      <xdr:blipFill>
        <a:blip xmlns:r="http://schemas.openxmlformats.org/officeDocument/2006/relationships" r:embed="rId18"/>
        <a:stretch>
          <a:fillRect/>
        </a:stretch>
      </xdr:blipFill>
      <xdr:spPr>
        <a:xfrm>
          <a:off x="0" y="81381600"/>
          <a:ext cx="4333333" cy="2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rookins, Barry" id="{F9978E5B-5309-4048-AEA3-9D2EAD82EB36}" userId="S::BBROOKINS@hdrinc.com::d0dc275e-3e8f-4a18-ad67-9a06b9850b76"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4</v>
  </rv>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5-07-28T23:15:56.96" personId="{F9978E5B-5309-4048-AEA3-9D2EAD82EB36}" id="{ABC8CDD0-9C17-4B8E-9AB3-D79B48FF4885}">
    <text>Note this is different from “Highway Loading” tab</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barry.brookins@hdrinc.com" TargetMode="External"/><Relationship Id="rId1" Type="http://schemas.openxmlformats.org/officeDocument/2006/relationships/hyperlink" Target="mailto:Jonathan.Liechti@hdrinc.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ecfr.gov/current/title-49/subtitle-B/chapter-I/subchapter-D/part-192/subpart-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2531-7B88-4C56-91D2-FA6E3AFD7CF6}">
  <sheetPr codeName="Sheet1"/>
  <dimension ref="B3:G33"/>
  <sheetViews>
    <sheetView topLeftCell="A5" workbookViewId="0">
      <selection activeCell="D6" sqref="D6"/>
    </sheetView>
  </sheetViews>
  <sheetFormatPr defaultColWidth="9.21875" defaultRowHeight="13.2"/>
  <cols>
    <col min="1" max="2" width="9.21875" style="12"/>
    <col min="3" max="3" width="12.21875" style="12" bestFit="1" customWidth="1"/>
    <col min="4" max="4" width="9.21875" style="12"/>
    <col min="5" max="5" width="10.21875" style="12" customWidth="1"/>
    <col min="6" max="6" width="11.77734375" style="12" customWidth="1"/>
    <col min="7" max="7" width="14.44140625" style="12" customWidth="1"/>
    <col min="8" max="16384" width="9.21875" style="12"/>
  </cols>
  <sheetData>
    <row r="3" spans="2:7">
      <c r="D3" s="226" t="s">
        <v>166</v>
      </c>
      <c r="E3" s="226"/>
      <c r="F3" s="226"/>
      <c r="G3" s="226"/>
    </row>
    <row r="4" spans="2:7">
      <c r="D4" s="226" t="s">
        <v>167</v>
      </c>
      <c r="E4" s="226"/>
      <c r="F4" s="226"/>
      <c r="G4" s="226"/>
    </row>
    <row r="5" spans="2:7">
      <c r="D5" s="226" t="s">
        <v>262</v>
      </c>
      <c r="E5" s="226"/>
      <c r="F5" s="226"/>
      <c r="G5" s="226"/>
    </row>
    <row r="8" spans="2:7">
      <c r="B8" s="13" t="s">
        <v>168</v>
      </c>
      <c r="C8" s="14"/>
      <c r="D8" s="15" t="s">
        <v>169</v>
      </c>
      <c r="E8" s="16"/>
      <c r="F8" s="13" t="s">
        <v>170</v>
      </c>
      <c r="G8" s="14"/>
    </row>
    <row r="9" spans="2:7" ht="15.6">
      <c r="B9" s="227" t="s">
        <v>171</v>
      </c>
      <c r="C9" s="228"/>
      <c r="D9" s="17"/>
      <c r="E9" s="18"/>
      <c r="F9" s="19" t="s">
        <v>172</v>
      </c>
      <c r="G9" s="20">
        <v>45665</v>
      </c>
    </row>
    <row r="10" spans="2:7">
      <c r="B10" s="13"/>
      <c r="C10" s="21" t="s">
        <v>173</v>
      </c>
      <c r="D10" s="14" t="s">
        <v>174</v>
      </c>
      <c r="E10" s="14"/>
      <c r="F10" s="19" t="s">
        <v>175</v>
      </c>
      <c r="G10" s="14" t="s">
        <v>174</v>
      </c>
    </row>
    <row r="13" spans="2:7">
      <c r="B13" s="22" t="s">
        <v>176</v>
      </c>
    </row>
    <row r="14" spans="2:7">
      <c r="B14" s="23" t="s">
        <v>177</v>
      </c>
      <c r="C14" s="229" t="s">
        <v>178</v>
      </c>
      <c r="D14" s="230"/>
      <c r="E14" s="230"/>
      <c r="F14" s="231"/>
      <c r="G14" s="24" t="s">
        <v>179</v>
      </c>
    </row>
    <row r="15" spans="2:7">
      <c r="B15" s="23"/>
      <c r="C15" s="79"/>
      <c r="D15" s="80" t="s">
        <v>263</v>
      </c>
      <c r="E15" s="80" t="s">
        <v>264</v>
      </c>
      <c r="F15" s="81" t="s">
        <v>265</v>
      </c>
      <c r="G15" s="24"/>
    </row>
    <row r="16" spans="2:7">
      <c r="B16" s="25">
        <v>0</v>
      </c>
      <c r="C16" s="13" t="s">
        <v>180</v>
      </c>
      <c r="D16" s="26" t="s">
        <v>266</v>
      </c>
      <c r="E16" s="26" t="s">
        <v>267</v>
      </c>
      <c r="F16" s="14"/>
      <c r="G16" s="27">
        <v>45665</v>
      </c>
    </row>
    <row r="17" spans="2:7">
      <c r="B17" s="25">
        <v>1</v>
      </c>
      <c r="C17" s="28"/>
      <c r="F17" s="29"/>
      <c r="G17" s="30"/>
    </row>
    <row r="18" spans="2:7">
      <c r="B18" s="25"/>
      <c r="C18" s="13"/>
      <c r="D18" s="26"/>
      <c r="E18" s="26"/>
      <c r="F18" s="14"/>
      <c r="G18" s="30"/>
    </row>
    <row r="19" spans="2:7">
      <c r="B19" s="25"/>
      <c r="C19" s="17"/>
      <c r="D19" s="31"/>
      <c r="E19" s="31"/>
      <c r="F19" s="18"/>
      <c r="G19" s="30"/>
    </row>
    <row r="20" spans="2:7">
      <c r="B20" s="32"/>
    </row>
    <row r="22" spans="2:7">
      <c r="B22" s="33" t="s">
        <v>181</v>
      </c>
    </row>
    <row r="24" spans="2:7">
      <c r="B24" s="33" t="s">
        <v>174</v>
      </c>
    </row>
    <row r="25" spans="2:7">
      <c r="B25" s="34" t="s">
        <v>182</v>
      </c>
    </row>
    <row r="26" spans="2:7" ht="14.4">
      <c r="B26" s="35" t="s">
        <v>183</v>
      </c>
    </row>
    <row r="27" spans="2:7">
      <c r="B27" s="36"/>
    </row>
    <row r="28" spans="2:7">
      <c r="B28" s="12" t="s">
        <v>184</v>
      </c>
    </row>
    <row r="30" spans="2:7">
      <c r="B30" s="33" t="s">
        <v>185</v>
      </c>
    </row>
    <row r="31" spans="2:7">
      <c r="B31" s="12" t="s">
        <v>186</v>
      </c>
    </row>
    <row r="32" spans="2:7">
      <c r="B32" s="34" t="s">
        <v>187</v>
      </c>
    </row>
    <row r="33" spans="2:2" ht="14.4">
      <c r="B33" s="37" t="s">
        <v>188</v>
      </c>
    </row>
  </sheetData>
  <mergeCells count="5">
    <mergeCell ref="D3:G3"/>
    <mergeCell ref="D4:G4"/>
    <mergeCell ref="D5:G5"/>
    <mergeCell ref="B9:C9"/>
    <mergeCell ref="C14:F14"/>
  </mergeCells>
  <hyperlinks>
    <hyperlink ref="B33" r:id="rId1" xr:uid="{68202353-B963-4701-9BFC-12EF1D23EAF5}"/>
    <hyperlink ref="B26" r:id="rId2" xr:uid="{785B852B-62D2-4C04-AA08-5DC54C5399A7}"/>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3CFE-09A2-4500-B3E7-6ED943B0DC2B}">
  <sheetPr codeName="Sheet2"/>
  <dimension ref="A1"/>
  <sheetViews>
    <sheetView workbookViewId="0">
      <selection activeCell="P33" sqref="P33"/>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3CB8-8E12-4447-B6AA-0EA856BD2CD5}">
  <sheetPr codeName="Sheet3"/>
  <dimension ref="A1:C13"/>
  <sheetViews>
    <sheetView workbookViewId="0">
      <selection sqref="A1:B1"/>
    </sheetView>
  </sheetViews>
  <sheetFormatPr defaultColWidth="9.21875" defaultRowHeight="13.2"/>
  <cols>
    <col min="1" max="1" width="13.77734375" style="38" bestFit="1" customWidth="1"/>
    <col min="2" max="2" width="35.77734375" style="38" bestFit="1" customWidth="1"/>
    <col min="3" max="9" width="9.21875" style="38"/>
    <col min="10" max="10" width="1.77734375" style="38" customWidth="1"/>
    <col min="11" max="16384" width="9.21875" style="38"/>
  </cols>
  <sheetData>
    <row r="1" spans="1:3" ht="15.6">
      <c r="A1" s="232" t="s">
        <v>189</v>
      </c>
      <c r="B1" s="233"/>
    </row>
    <row r="2" spans="1:3">
      <c r="A2" s="39" t="s">
        <v>190</v>
      </c>
      <c r="B2" s="40" t="s">
        <v>191</v>
      </c>
    </row>
    <row r="3" spans="1:3">
      <c r="A3" s="41" t="s">
        <v>192</v>
      </c>
      <c r="B3" s="42" t="s">
        <v>193</v>
      </c>
    </row>
    <row r="4" spans="1:3">
      <c r="A4" s="43" t="s">
        <v>194</v>
      </c>
      <c r="B4" s="44" t="s">
        <v>195</v>
      </c>
    </row>
    <row r="5" spans="1:3">
      <c r="A5" s="45"/>
      <c r="B5" s="45"/>
      <c r="C5" s="45"/>
    </row>
    <row r="6" spans="1:3">
      <c r="A6" s="46"/>
    </row>
    <row r="8" spans="1:3" ht="15.6">
      <c r="A8" s="47"/>
    </row>
    <row r="10" spans="1:3">
      <c r="A10" s="45"/>
    </row>
    <row r="11" spans="1:3">
      <c r="A11" s="48"/>
    </row>
    <row r="13" spans="1:3">
      <c r="A13" s="49"/>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2E6E-F3BF-42F3-A98F-02E21CBB6CDB}">
  <sheetPr codeName="Sheet4"/>
  <dimension ref="A2:D29"/>
  <sheetViews>
    <sheetView workbookViewId="0">
      <selection activeCell="C9" sqref="C9"/>
    </sheetView>
  </sheetViews>
  <sheetFormatPr defaultColWidth="9.21875" defaultRowHeight="13.2"/>
  <cols>
    <col min="1" max="1" width="4.21875" style="53" customWidth="1"/>
    <col min="2" max="2" width="27.21875" style="53" bestFit="1" customWidth="1"/>
    <col min="3" max="3" width="117.44140625" style="53" customWidth="1"/>
    <col min="4" max="16384" width="9.21875" style="53"/>
  </cols>
  <sheetData>
    <row r="2" spans="1:4" s="50" customFormat="1" ht="15.6">
      <c r="B2" s="51" t="s">
        <v>196</v>
      </c>
    </row>
    <row r="3" spans="1:4" s="50" customFormat="1" ht="15.6">
      <c r="B3" s="52"/>
    </row>
    <row r="4" spans="1:4">
      <c r="B4" s="54" t="s">
        <v>197</v>
      </c>
      <c r="C4" s="54" t="s">
        <v>198</v>
      </c>
    </row>
    <row r="5" spans="1:4">
      <c r="B5" s="55" t="s">
        <v>199</v>
      </c>
      <c r="C5" s="56" t="s">
        <v>200</v>
      </c>
    </row>
    <row r="6" spans="1:4">
      <c r="A6" s="57">
        <v>1</v>
      </c>
      <c r="B6" s="55" t="s">
        <v>201</v>
      </c>
      <c r="C6" s="56" t="s">
        <v>202</v>
      </c>
      <c r="D6" s="57"/>
    </row>
    <row r="7" spans="1:4">
      <c r="A7" s="57">
        <f t="shared" ref="A7:A29" si="0">1+A6</f>
        <v>2</v>
      </c>
      <c r="B7" s="55" t="s">
        <v>198</v>
      </c>
      <c r="C7" s="58" t="s">
        <v>196</v>
      </c>
      <c r="D7" s="57"/>
    </row>
    <row r="8" spans="1:4">
      <c r="A8" s="57">
        <f t="shared" si="0"/>
        <v>3</v>
      </c>
      <c r="B8" s="55" t="s">
        <v>203</v>
      </c>
      <c r="C8" s="58" t="s">
        <v>204</v>
      </c>
      <c r="D8" s="57"/>
    </row>
    <row r="9" spans="1:4">
      <c r="A9" s="57">
        <f t="shared" si="0"/>
        <v>4</v>
      </c>
      <c r="B9" s="55" t="s">
        <v>504</v>
      </c>
      <c r="C9" s="56" t="s">
        <v>503</v>
      </c>
      <c r="D9" s="57"/>
    </row>
    <row r="10" spans="1:4">
      <c r="A10" s="57">
        <f t="shared" si="0"/>
        <v>5</v>
      </c>
      <c r="B10" s="55" t="s">
        <v>205</v>
      </c>
      <c r="C10" s="56" t="s">
        <v>206</v>
      </c>
      <c r="D10" s="57"/>
    </row>
    <row r="11" spans="1:4">
      <c r="A11" s="57">
        <f t="shared" si="0"/>
        <v>6</v>
      </c>
      <c r="B11" s="55" t="s">
        <v>207</v>
      </c>
      <c r="C11" s="56" t="s">
        <v>208</v>
      </c>
      <c r="D11" s="57"/>
    </row>
    <row r="12" spans="1:4">
      <c r="A12" s="57">
        <f t="shared" si="0"/>
        <v>7</v>
      </c>
      <c r="B12" s="55" t="s">
        <v>209</v>
      </c>
      <c r="C12" s="56" t="s">
        <v>210</v>
      </c>
      <c r="D12" s="57"/>
    </row>
    <row r="13" spans="1:4">
      <c r="A13" s="57">
        <f t="shared" si="0"/>
        <v>8</v>
      </c>
      <c r="B13" s="55"/>
      <c r="C13" s="56"/>
      <c r="D13" s="57"/>
    </row>
    <row r="14" spans="1:4">
      <c r="A14" s="57">
        <f t="shared" si="0"/>
        <v>9</v>
      </c>
      <c r="B14" s="55"/>
      <c r="C14" s="56"/>
      <c r="D14" s="57"/>
    </row>
    <row r="15" spans="1:4">
      <c r="A15" s="57">
        <f t="shared" si="0"/>
        <v>10</v>
      </c>
      <c r="B15" s="55"/>
      <c r="C15" s="56"/>
      <c r="D15" s="57"/>
    </row>
    <row r="16" spans="1:4">
      <c r="A16" s="57">
        <f t="shared" si="0"/>
        <v>11</v>
      </c>
      <c r="B16" s="55"/>
      <c r="C16" s="56"/>
      <c r="D16" s="57"/>
    </row>
    <row r="17" spans="1:4">
      <c r="A17" s="57">
        <f t="shared" si="0"/>
        <v>12</v>
      </c>
      <c r="B17" s="55"/>
      <c r="C17" s="56"/>
      <c r="D17" s="57"/>
    </row>
    <row r="18" spans="1:4">
      <c r="A18" s="57">
        <f t="shared" si="0"/>
        <v>13</v>
      </c>
      <c r="B18" s="55"/>
      <c r="C18" s="56"/>
      <c r="D18" s="57"/>
    </row>
    <row r="19" spans="1:4">
      <c r="A19" s="57">
        <f t="shared" si="0"/>
        <v>14</v>
      </c>
      <c r="B19" s="55"/>
      <c r="C19" s="56"/>
      <c r="D19" s="57"/>
    </row>
    <row r="20" spans="1:4">
      <c r="A20" s="57">
        <f t="shared" si="0"/>
        <v>15</v>
      </c>
      <c r="B20" s="55"/>
      <c r="C20" s="56"/>
      <c r="D20" s="57"/>
    </row>
    <row r="21" spans="1:4">
      <c r="A21" s="57">
        <f t="shared" si="0"/>
        <v>16</v>
      </c>
      <c r="B21" s="55"/>
      <c r="C21" s="56"/>
      <c r="D21" s="57"/>
    </row>
    <row r="22" spans="1:4">
      <c r="A22" s="57">
        <f t="shared" si="0"/>
        <v>17</v>
      </c>
      <c r="B22" s="55"/>
      <c r="C22" s="56"/>
      <c r="D22" s="57"/>
    </row>
    <row r="23" spans="1:4">
      <c r="A23" s="57">
        <f t="shared" si="0"/>
        <v>18</v>
      </c>
      <c r="B23" s="55"/>
      <c r="C23" s="56"/>
      <c r="D23" s="57"/>
    </row>
    <row r="24" spans="1:4">
      <c r="A24" s="57">
        <f t="shared" si="0"/>
        <v>19</v>
      </c>
      <c r="B24" s="55"/>
      <c r="C24" s="56"/>
      <c r="D24" s="57"/>
    </row>
    <row r="25" spans="1:4">
      <c r="A25" s="57">
        <f t="shared" si="0"/>
        <v>20</v>
      </c>
      <c r="B25" s="55"/>
      <c r="C25" s="56"/>
      <c r="D25" s="57"/>
    </row>
    <row r="26" spans="1:4">
      <c r="A26" s="57">
        <f t="shared" si="0"/>
        <v>21</v>
      </c>
      <c r="B26" s="55"/>
      <c r="C26" s="56"/>
      <c r="D26" s="57"/>
    </row>
    <row r="27" spans="1:4">
      <c r="A27" s="57">
        <f t="shared" si="0"/>
        <v>22</v>
      </c>
      <c r="B27" s="55"/>
      <c r="C27" s="56"/>
      <c r="D27" s="57"/>
    </row>
    <row r="28" spans="1:4">
      <c r="A28" s="57">
        <f t="shared" si="0"/>
        <v>23</v>
      </c>
      <c r="B28" s="55"/>
      <c r="C28" s="56"/>
      <c r="D28" s="57"/>
    </row>
    <row r="29" spans="1:4">
      <c r="A29" s="57">
        <f t="shared" si="0"/>
        <v>24</v>
      </c>
      <c r="B29" s="55"/>
      <c r="C29" s="56"/>
      <c r="D29"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CF55-86E0-4AF3-9785-FD77409B6DC4}">
  <sheetPr codeName="Sheet5"/>
  <dimension ref="A1:G49"/>
  <sheetViews>
    <sheetView topLeftCell="A30" workbookViewId="0">
      <selection activeCell="A42" sqref="A42"/>
    </sheetView>
  </sheetViews>
  <sheetFormatPr defaultColWidth="9.21875" defaultRowHeight="13.2"/>
  <cols>
    <col min="1" max="1" width="108.44140625" style="65" customWidth="1"/>
    <col min="2" max="3" width="9.21875" style="53"/>
    <col min="4" max="4" width="66.88671875" style="53" customWidth="1"/>
    <col min="5" max="16384" width="9.21875" style="53"/>
  </cols>
  <sheetData>
    <row r="1" spans="1:7">
      <c r="A1" s="59" t="s">
        <v>211</v>
      </c>
    </row>
    <row r="3" spans="1:7" ht="15.6">
      <c r="A3" s="60" t="s">
        <v>212</v>
      </c>
    </row>
    <row r="4" spans="1:7" ht="30">
      <c r="A4" s="61" t="s">
        <v>261</v>
      </c>
    </row>
    <row r="5" spans="1:7" ht="15">
      <c r="A5" s="62"/>
    </row>
    <row r="6" spans="1:7" ht="15.6">
      <c r="A6" s="63" t="s">
        <v>213</v>
      </c>
    </row>
    <row r="7" spans="1:7" ht="15">
      <c r="A7" s="61"/>
    </row>
    <row r="8" spans="1:7" ht="15">
      <c r="A8" s="62"/>
    </row>
    <row r="9" spans="1:7" ht="15.6">
      <c r="A9" s="64" t="s">
        <v>214</v>
      </c>
    </row>
    <row r="10" spans="1:7" ht="75.599999999999994">
      <c r="A10" s="61" t="s">
        <v>234</v>
      </c>
      <c r="D10" s="234"/>
      <c r="E10" s="234"/>
      <c r="F10" s="234"/>
      <c r="G10" s="234"/>
    </row>
    <row r="11" spans="1:7" ht="15.6">
      <c r="A11" s="63" t="s">
        <v>238</v>
      </c>
    </row>
    <row r="12" spans="1:7" ht="15">
      <c r="A12" s="62" t="s">
        <v>235</v>
      </c>
    </row>
    <row r="13" spans="1:7" ht="15.6">
      <c r="A13" s="63" t="s">
        <v>237</v>
      </c>
    </row>
    <row r="14" spans="1:7" ht="15">
      <c r="A14" s="62" t="s">
        <v>236</v>
      </c>
    </row>
    <row r="15" spans="1:7" ht="15.6">
      <c r="A15" s="63" t="s">
        <v>240</v>
      </c>
    </row>
    <row r="16" spans="1:7" ht="45">
      <c r="A16" s="62" t="s">
        <v>239</v>
      </c>
    </row>
    <row r="17" spans="1:1" ht="15.6">
      <c r="A17" s="63" t="s">
        <v>242</v>
      </c>
    </row>
    <row r="18" spans="1:1" ht="45">
      <c r="A18" s="62" t="s">
        <v>241</v>
      </c>
    </row>
    <row r="19" spans="1:1" ht="15.6">
      <c r="A19" s="63" t="s">
        <v>244</v>
      </c>
    </row>
    <row r="20" spans="1:1" ht="45">
      <c r="A20" s="62" t="s">
        <v>243</v>
      </c>
    </row>
    <row r="21" spans="1:1" ht="15.6">
      <c r="A21" s="63" t="s">
        <v>246</v>
      </c>
    </row>
    <row r="22" spans="1:1" ht="30">
      <c r="A22" s="62" t="s">
        <v>245</v>
      </c>
    </row>
    <row r="23" spans="1:1" ht="15.6">
      <c r="A23" s="63" t="s">
        <v>248</v>
      </c>
    </row>
    <row r="24" spans="1:1" ht="30">
      <c r="A24" s="62" t="s">
        <v>247</v>
      </c>
    </row>
    <row r="25" spans="1:1" ht="15.6">
      <c r="A25" s="63" t="s">
        <v>250</v>
      </c>
    </row>
    <row r="26" spans="1:1" ht="45">
      <c r="A26" s="62" t="s">
        <v>249</v>
      </c>
    </row>
    <row r="27" spans="1:1" ht="15.6">
      <c r="A27" s="63" t="s">
        <v>252</v>
      </c>
    </row>
    <row r="28" spans="1:1" ht="15">
      <c r="A28" s="62" t="s">
        <v>251</v>
      </c>
    </row>
    <row r="29" spans="1:1" ht="15.6">
      <c r="A29" s="63" t="s">
        <v>254</v>
      </c>
    </row>
    <row r="30" spans="1:1" ht="45">
      <c r="A30" s="62" t="s">
        <v>253</v>
      </c>
    </row>
    <row r="31" spans="1:1" ht="15.6">
      <c r="A31" s="63" t="s">
        <v>256</v>
      </c>
    </row>
    <row r="32" spans="1:1" ht="15">
      <c r="A32" s="62" t="s">
        <v>255</v>
      </c>
    </row>
    <row r="33" spans="1:1" ht="15.6">
      <c r="A33" s="63" t="s">
        <v>258</v>
      </c>
    </row>
    <row r="34" spans="1:1" ht="15">
      <c r="A34" s="62" t="s">
        <v>257</v>
      </c>
    </row>
    <row r="35" spans="1:1" ht="15.6">
      <c r="A35" s="63" t="s">
        <v>260</v>
      </c>
    </row>
    <row r="36" spans="1:1" ht="15">
      <c r="A36" s="62" t="s">
        <v>259</v>
      </c>
    </row>
    <row r="37" spans="1:1" ht="15.6">
      <c r="A37" s="63"/>
    </row>
    <row r="38" spans="1:1" ht="15.6">
      <c r="A38" s="64" t="s">
        <v>518</v>
      </c>
    </row>
    <row r="39" spans="1:1" ht="45">
      <c r="A39" s="61" t="s">
        <v>519</v>
      </c>
    </row>
    <row r="41" spans="1:1" ht="15.6">
      <c r="A41" s="64" t="s">
        <v>510</v>
      </c>
    </row>
    <row r="42" spans="1:1" ht="15">
      <c r="A42" s="195" t="s">
        <v>511</v>
      </c>
    </row>
    <row r="43" spans="1:1" ht="15">
      <c r="A43" s="195" t="s">
        <v>512</v>
      </c>
    </row>
    <row r="44" spans="1:1" ht="15">
      <c r="A44" s="195" t="s">
        <v>513</v>
      </c>
    </row>
    <row r="45" spans="1:1" ht="15">
      <c r="A45" s="195" t="s">
        <v>514</v>
      </c>
    </row>
    <row r="46" spans="1:1" ht="15">
      <c r="A46" s="195" t="s">
        <v>515</v>
      </c>
    </row>
    <row r="47" spans="1:1" ht="15">
      <c r="A47" s="195" t="s">
        <v>516</v>
      </c>
    </row>
    <row r="48" spans="1:1" ht="15">
      <c r="A48" s="195"/>
    </row>
    <row r="49" spans="1:1" ht="15">
      <c r="A49" s="195" t="s">
        <v>517</v>
      </c>
    </row>
  </sheetData>
  <mergeCells count="1">
    <mergeCell ref="D10:G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B267-9596-401B-B8BE-38A0EA0B0B60}">
  <sheetPr codeName="Sheet6"/>
  <dimension ref="A1:AG355"/>
  <sheetViews>
    <sheetView topLeftCell="A330" zoomScale="94" zoomScaleNormal="85" workbookViewId="0">
      <selection activeCell="E339" sqref="E339"/>
    </sheetView>
  </sheetViews>
  <sheetFormatPr defaultRowHeight="14.4"/>
  <cols>
    <col min="1" max="1" width="13.88671875" bestFit="1" customWidth="1"/>
    <col min="2" max="2" width="57.88671875" bestFit="1" customWidth="1"/>
    <col min="3" max="3" width="35.109375" bestFit="1" customWidth="1"/>
    <col min="4" max="4" width="13.44140625" bestFit="1" customWidth="1"/>
    <col min="5" max="5" width="63.88671875" customWidth="1"/>
    <col min="6" max="6" width="12.6640625" bestFit="1" customWidth="1"/>
    <col min="8" max="8" width="53.33203125" bestFit="1" customWidth="1"/>
    <col min="9" max="9" width="15.21875" bestFit="1" customWidth="1"/>
    <col min="10" max="10" width="14.33203125" bestFit="1" customWidth="1"/>
    <col min="11" max="11" width="12.109375" bestFit="1" customWidth="1"/>
    <col min="12" max="12" width="53.33203125" bestFit="1" customWidth="1"/>
    <col min="15" max="15" width="53.33203125" bestFit="1" customWidth="1"/>
  </cols>
  <sheetData>
    <row r="1" spans="1:5">
      <c r="A1" s="201" t="s">
        <v>262</v>
      </c>
      <c r="B1" s="201"/>
      <c r="C1" s="201"/>
      <c r="D1" s="201"/>
      <c r="E1" s="201"/>
    </row>
    <row r="3" spans="1:5">
      <c r="A3" s="66" t="s">
        <v>215</v>
      </c>
      <c r="B3" s="202" t="s">
        <v>261</v>
      </c>
      <c r="C3" s="202"/>
      <c r="D3" s="202"/>
      <c r="E3" s="203"/>
    </row>
    <row r="5" spans="1:5">
      <c r="A5" s="67" t="s">
        <v>216</v>
      </c>
      <c r="B5" s="68" t="s">
        <v>217</v>
      </c>
      <c r="C5" s="68" t="s">
        <v>218</v>
      </c>
      <c r="D5" s="68" t="s">
        <v>219</v>
      </c>
      <c r="E5" s="69" t="s">
        <v>220</v>
      </c>
    </row>
    <row r="6" spans="1:5">
      <c r="A6" s="70"/>
      <c r="B6" t="s">
        <v>16</v>
      </c>
      <c r="C6" t="s">
        <v>223</v>
      </c>
      <c r="D6" t="s">
        <v>3</v>
      </c>
      <c r="E6" s="71"/>
    </row>
    <row r="7" spans="1:5">
      <c r="A7" s="70"/>
      <c r="B7" t="s">
        <v>17</v>
      </c>
      <c r="C7" t="s">
        <v>224</v>
      </c>
      <c r="D7" t="s">
        <v>3</v>
      </c>
      <c r="E7" s="71"/>
    </row>
    <row r="8" spans="1:5">
      <c r="A8" s="70"/>
      <c r="B8" t="s">
        <v>221</v>
      </c>
      <c r="C8" t="s">
        <v>225</v>
      </c>
      <c r="D8" t="s">
        <v>3</v>
      </c>
      <c r="E8" s="71"/>
    </row>
    <row r="9" spans="1:5">
      <c r="A9" s="72"/>
      <c r="B9" s="73" t="s">
        <v>222</v>
      </c>
      <c r="C9" s="73" t="s">
        <v>226</v>
      </c>
      <c r="D9" s="73" t="s">
        <v>3</v>
      </c>
      <c r="E9" s="74"/>
    </row>
    <row r="11" spans="1:5">
      <c r="A11" s="67" t="s">
        <v>227</v>
      </c>
      <c r="B11" s="68" t="s">
        <v>217</v>
      </c>
      <c r="C11" s="68" t="s">
        <v>228</v>
      </c>
      <c r="D11" s="68" t="s">
        <v>219</v>
      </c>
      <c r="E11" s="69" t="s">
        <v>220</v>
      </c>
    </row>
    <row r="12" spans="1:5">
      <c r="A12" s="70"/>
      <c r="B12" t="s">
        <v>159</v>
      </c>
      <c r="C12" s="186">
        <v>12</v>
      </c>
      <c r="D12" t="s">
        <v>1</v>
      </c>
      <c r="E12" s="71"/>
    </row>
    <row r="13" spans="1:5">
      <c r="A13" s="70"/>
      <c r="B13" t="s">
        <v>127</v>
      </c>
      <c r="C13">
        <f>IF(ISBLANK($C$12)=TRUE,"",HLOOKUP($C$12,'Highway Loading'!$C$155:$AD$156,2,FALSE))</f>
        <v>12.75</v>
      </c>
      <c r="D13" t="s">
        <v>1</v>
      </c>
      <c r="E13" s="71"/>
    </row>
    <row r="14" spans="1:5">
      <c r="A14" s="70"/>
      <c r="B14" t="s">
        <v>92</v>
      </c>
      <c r="C14" s="186">
        <v>0.25</v>
      </c>
      <c r="D14" t="s">
        <v>1</v>
      </c>
      <c r="E14" s="71"/>
    </row>
    <row r="15" spans="1:5">
      <c r="A15" s="70"/>
      <c r="B15" t="s">
        <v>343</v>
      </c>
      <c r="C15" s="187" t="s">
        <v>429</v>
      </c>
      <c r="E15" s="71"/>
    </row>
    <row r="16" spans="1:5">
      <c r="A16" s="70"/>
      <c r="B16" t="s">
        <v>482</v>
      </c>
      <c r="C16" s="187" t="s">
        <v>435</v>
      </c>
      <c r="E16" s="71"/>
    </row>
    <row r="17" spans="1:6">
      <c r="A17" s="70"/>
      <c r="B17" t="s">
        <v>2</v>
      </c>
      <c r="C17" s="181">
        <f>IF(ISBLANK($C$16)=TRUE,"",INDEX('Highway Loading'!$C$216:$AG$216,MATCH($C$16,'Highway Loading'!$C$215:$AG$215,0)))</f>
        <v>65000</v>
      </c>
      <c r="D17" t="s">
        <v>3</v>
      </c>
      <c r="E17" s="71"/>
    </row>
    <row r="18" spans="1:6">
      <c r="A18" s="70"/>
      <c r="B18" t="s">
        <v>483</v>
      </c>
      <c r="C18" s="188" t="s">
        <v>473</v>
      </c>
      <c r="E18" s="71"/>
    </row>
    <row r="19" spans="1:6">
      <c r="A19" s="70"/>
      <c r="B19" t="s">
        <v>471</v>
      </c>
      <c r="C19" s="186">
        <v>1</v>
      </c>
      <c r="E19" s="71"/>
    </row>
    <row r="20" spans="1:6">
      <c r="A20" s="70"/>
      <c r="B20" t="s">
        <v>115</v>
      </c>
      <c r="C20">
        <f>INDEX('Highway Loading'!I245:L253,MATCH(C18,'Highway Loading'!H245:H253,0),MATCH(C19,'Highway Loading'!I244:L244,0))</f>
        <v>0.72</v>
      </c>
      <c r="E20" s="71"/>
    </row>
    <row r="21" spans="1:6">
      <c r="A21" s="70"/>
      <c r="B21" t="s">
        <v>74</v>
      </c>
      <c r="C21" s="186" t="s">
        <v>299</v>
      </c>
      <c r="E21" s="71"/>
    </row>
    <row r="22" spans="1:6">
      <c r="A22" s="70"/>
      <c r="B22" t="s">
        <v>120</v>
      </c>
      <c r="C22">
        <f>IF(ISBLANK($C$21),"",IF(OR($C$21="SEAMLESS",$C$21="ELECTRIC RESISTANCE WELDED",$C$21="SUBMERGED ARC WELDED",$C$21="COMBINATION WELDED"),1,IF($C$21="FURNACE BUTT WELDED",0.6,IF($C$21="ELECTRIC FUSION WELDED, EVEN CLASS",1,IF($C$21="ELECTRIC FUSION WELDED, ODD CLASS",0.8,IF($C$13&gt;4.5,0.8,0.6))))))</f>
        <v>1</v>
      </c>
      <c r="E22" s="71"/>
    </row>
    <row r="23" spans="1:6">
      <c r="A23" s="70"/>
      <c r="B23" t="s">
        <v>90</v>
      </c>
      <c r="C23" s="186" t="s">
        <v>76</v>
      </c>
      <c r="E23" s="71"/>
    </row>
    <row r="24" spans="1:6">
      <c r="A24" s="70"/>
      <c r="B24" t="s">
        <v>125</v>
      </c>
      <c r="C24" s="76">
        <f>(VLOOKUP(C23,'Highway Loading'!B283:E292,2, FALSE))</f>
        <v>29000000</v>
      </c>
      <c r="D24" t="s">
        <v>3</v>
      </c>
      <c r="E24" s="71" t="str">
        <f>_xlfn.CONCAT("Typically ", (VLOOKUP(C23,'Highway Loading'!B283:E292,2, FALSE)), " psi")</f>
        <v>Typically 29000000 psi</v>
      </c>
      <c r="F24" s="11"/>
    </row>
    <row r="25" spans="1:6">
      <c r="A25" s="70"/>
      <c r="B25" t="s">
        <v>126</v>
      </c>
      <c r="C25">
        <f>(VLOOKUP(C23,'Highway Loading'!B283:E292,3, FALSE))</f>
        <v>0.3</v>
      </c>
      <c r="E25" s="71"/>
    </row>
    <row r="26" spans="1:6">
      <c r="A26" s="70"/>
      <c r="B26" t="s">
        <v>119</v>
      </c>
      <c r="C26">
        <f>(VLOOKUP(C23,'Highway Loading'!B283:E292,4, FALSE))</f>
        <v>6.4999999999999996E-6</v>
      </c>
      <c r="D26" t="s">
        <v>164</v>
      </c>
      <c r="E26" s="71"/>
    </row>
    <row r="27" spans="1:6">
      <c r="A27" s="70"/>
      <c r="B27" t="s">
        <v>94</v>
      </c>
      <c r="C27" s="186">
        <v>70</v>
      </c>
      <c r="D27" t="s">
        <v>163</v>
      </c>
      <c r="E27" s="78" t="s">
        <v>484</v>
      </c>
    </row>
    <row r="28" spans="1:6">
      <c r="A28" s="70"/>
      <c r="B28" t="s">
        <v>93</v>
      </c>
      <c r="C28">
        <f>IF(C27&gt;250, 1-(1/30/50*(C27-250)), 1)</f>
        <v>1</v>
      </c>
      <c r="E28" s="71"/>
    </row>
    <row r="29" spans="1:6">
      <c r="A29" s="70"/>
      <c r="B29" t="s">
        <v>95</v>
      </c>
      <c r="C29" s="186">
        <v>1000</v>
      </c>
      <c r="D29" t="s">
        <v>3</v>
      </c>
      <c r="E29" s="71" t="s">
        <v>489</v>
      </c>
    </row>
    <row r="30" spans="1:6">
      <c r="A30" s="70"/>
      <c r="B30" t="s">
        <v>64</v>
      </c>
      <c r="C30" s="188" t="s">
        <v>61</v>
      </c>
      <c r="E30" s="71"/>
    </row>
    <row r="31" spans="1:6">
      <c r="A31" s="70"/>
      <c r="B31" t="s">
        <v>121</v>
      </c>
      <c r="C31">
        <f>VLOOKUP(C30, 'Highway Loading'!B256:D261,2, FALSE)</f>
        <v>500</v>
      </c>
      <c r="D31" t="s">
        <v>3</v>
      </c>
      <c r="E31" s="71"/>
    </row>
    <row r="32" spans="1:6">
      <c r="A32" s="70"/>
      <c r="B32" t="s">
        <v>122</v>
      </c>
      <c r="C32">
        <f>VLOOKUP(C30, 'Highway Loading'!B256:D261,3, FALSE)</f>
        <v>10000</v>
      </c>
      <c r="D32" t="s">
        <v>3</v>
      </c>
      <c r="E32" s="71"/>
    </row>
    <row r="33" spans="1:7">
      <c r="A33" s="70"/>
      <c r="B33" t="s">
        <v>96</v>
      </c>
      <c r="C33" s="186">
        <v>120</v>
      </c>
      <c r="D33" t="s">
        <v>7</v>
      </c>
      <c r="E33" s="71" t="s">
        <v>485</v>
      </c>
    </row>
    <row r="34" spans="1:7">
      <c r="A34" s="70"/>
      <c r="B34" t="s">
        <v>97</v>
      </c>
      <c r="C34" s="186">
        <v>6</v>
      </c>
      <c r="D34" t="s">
        <v>8</v>
      </c>
      <c r="E34" s="71" t="s">
        <v>486</v>
      </c>
    </row>
    <row r="35" spans="1:7" ht="58.8" customHeight="1">
      <c r="A35" s="70"/>
      <c r="B35" t="s">
        <v>98</v>
      </c>
      <c r="C35" s="189">
        <v>14.75</v>
      </c>
      <c r="D35" t="s">
        <v>9</v>
      </c>
      <c r="E35" s="78" t="s">
        <v>233</v>
      </c>
    </row>
    <row r="36" spans="1:7">
      <c r="A36" s="70"/>
      <c r="B36" t="s">
        <v>128</v>
      </c>
      <c r="C36" s="186" t="s">
        <v>129</v>
      </c>
      <c r="E36" s="71"/>
    </row>
    <row r="37" spans="1:7">
      <c r="A37" s="70"/>
      <c r="B37" t="s">
        <v>143</v>
      </c>
      <c r="C37" s="186" t="s">
        <v>141</v>
      </c>
      <c r="E37" s="78" t="s">
        <v>521</v>
      </c>
    </row>
    <row r="38" spans="1:7">
      <c r="A38" s="70"/>
      <c r="B38" t="s">
        <v>147</v>
      </c>
      <c r="C38">
        <f>(VLOOKUP(C37,'Highway Loading'!B340:C341,2,FALSE))</f>
        <v>10000</v>
      </c>
      <c r="D38" t="s">
        <v>268</v>
      </c>
      <c r="E38" s="71"/>
    </row>
    <row r="39" spans="1:7">
      <c r="A39" s="72"/>
      <c r="B39" s="73" t="s">
        <v>99</v>
      </c>
      <c r="C39" s="190">
        <v>70</v>
      </c>
      <c r="D39" s="73" t="s">
        <v>163</v>
      </c>
      <c r="E39" s="182" t="s">
        <v>488</v>
      </c>
    </row>
    <row r="41" spans="1:7" ht="276" hidden="1" customHeight="1">
      <c r="A41" s="77" t="s">
        <v>229</v>
      </c>
      <c r="B41" s="204" t="s">
        <v>231</v>
      </c>
      <c r="C41" s="204"/>
      <c r="D41" s="204"/>
      <c r="E41" s="205"/>
    </row>
    <row r="43" spans="1:7">
      <c r="A43" s="67" t="s">
        <v>230</v>
      </c>
      <c r="B43" s="68" t="s">
        <v>217</v>
      </c>
      <c r="C43" s="68" t="s">
        <v>228</v>
      </c>
      <c r="D43" s="68" t="s">
        <v>219</v>
      </c>
      <c r="E43" s="69" t="s">
        <v>220</v>
      </c>
    </row>
    <row r="44" spans="1:7">
      <c r="A44" s="70"/>
      <c r="B44" t="s">
        <v>112</v>
      </c>
      <c r="C44">
        <f>C29*C13/(2*C14)</f>
        <v>25500</v>
      </c>
      <c r="D44" t="s">
        <v>3</v>
      </c>
      <c r="E44" s="71"/>
    </row>
    <row r="45" spans="1:7">
      <c r="A45" s="70"/>
      <c r="B45" t="s">
        <v>24</v>
      </c>
      <c r="C45">
        <f>C20*C22*C28*C17</f>
        <v>46800</v>
      </c>
      <c r="D45" t="s">
        <v>3</v>
      </c>
      <c r="E45" s="71"/>
    </row>
    <row r="46" spans="1:7">
      <c r="A46" s="70"/>
      <c r="E46" s="71"/>
    </row>
    <row r="47" spans="1:7">
      <c r="A47" s="70"/>
      <c r="B47" t="s">
        <v>100</v>
      </c>
      <c r="C47">
        <f>VLOOKUP(C31, N92:O95, 2, FALSE)</f>
        <v>2790.5294117647072</v>
      </c>
      <c r="E47" s="71"/>
      <c r="G47" s="2"/>
    </row>
    <row r="48" spans="1:7">
      <c r="A48" s="70"/>
      <c r="B48" t="s">
        <v>101</v>
      </c>
      <c r="C48">
        <f>IF(C31&lt;1000, C103, F103)</f>
        <v>1.0658474576271186</v>
      </c>
      <c r="E48" s="71"/>
    </row>
    <row r="49" spans="1:5">
      <c r="A49" s="70"/>
      <c r="B49" t="s">
        <v>102</v>
      </c>
      <c r="C49">
        <f>C110</f>
        <v>1.104107843137256</v>
      </c>
      <c r="E49" s="71"/>
    </row>
    <row r="50" spans="1:5">
      <c r="A50" s="70"/>
      <c r="B50" t="s">
        <v>103</v>
      </c>
      <c r="C50">
        <f>C47*C48*C49*(C33/(12^3))*C13</f>
        <v>2907.6414109908601</v>
      </c>
      <c r="D50" t="s">
        <v>3</v>
      </c>
      <c r="E50" s="71"/>
    </row>
    <row r="51" spans="1:5">
      <c r="A51" s="70"/>
      <c r="E51" s="71"/>
    </row>
    <row r="52" spans="1:5">
      <c r="A52" s="70"/>
      <c r="B52" t="s">
        <v>104</v>
      </c>
      <c r="C52">
        <f>C117</f>
        <v>1.476219512195122</v>
      </c>
      <c r="E52" s="71"/>
    </row>
    <row r="53" spans="1:5">
      <c r="A53" s="70"/>
      <c r="E53" s="71"/>
    </row>
    <row r="54" spans="1:5">
      <c r="A54" s="70"/>
      <c r="B54" t="s">
        <v>131</v>
      </c>
      <c r="C54">
        <f>VLOOKUP(C32, K120:L122, 2, FALSE)</f>
        <v>14.207908202727459</v>
      </c>
      <c r="E54" s="71"/>
    </row>
    <row r="55" spans="1:5">
      <c r="A55" s="70"/>
      <c r="B55" t="s">
        <v>130</v>
      </c>
      <c r="C55">
        <f>IF(C34&lt;6, C131, IF(C34&lt;8, F131, IF(C34&lt;10, I131, L131)))</f>
        <v>1.01675</v>
      </c>
      <c r="E55" s="71"/>
    </row>
    <row r="56" spans="1:5">
      <c r="A56" s="70"/>
      <c r="B56" t="s">
        <v>145</v>
      </c>
      <c r="C56">
        <f>IF(OR(C34&gt;=4, C13&gt;12),VLOOKUP(_xlfn.CONCAT(C36," ",C37),Tables!D143:F148,2,FALSE), VLOOKUP(_xlfn.CONCAT(C36," ",C37),Tables!A143:C148,2,FALSE))</f>
        <v>1</v>
      </c>
      <c r="E56" s="71"/>
    </row>
    <row r="57" spans="1:5">
      <c r="A57" s="70"/>
      <c r="B57" t="s">
        <v>146</v>
      </c>
      <c r="C57">
        <f>IF(OR(C34&gt;=4, C13&gt;12),VLOOKUP(_xlfn.CONCAT(C36," ",C37),Tables!D143:F148,3,FALSE), VLOOKUP(_xlfn.CONCAT(C36," ",C37),Tables!A143:C148,3,FALSE))</f>
        <v>1</v>
      </c>
      <c r="E57" s="71"/>
    </row>
    <row r="58" spans="1:5">
      <c r="A58" s="70"/>
      <c r="B58" t="s">
        <v>132</v>
      </c>
      <c r="C58">
        <f>C54*C55*C56*C57*C52*C38/12^2</f>
        <v>1480.9240049230664</v>
      </c>
      <c r="D58" t="s">
        <v>3</v>
      </c>
      <c r="E58" s="71"/>
    </row>
    <row r="59" spans="1:5">
      <c r="A59" s="70"/>
      <c r="B59" t="s">
        <v>133</v>
      </c>
      <c r="C59">
        <f>VLOOKUP(C32, K135:L137, 2, FALSE)</f>
        <v>9.7852745098039211</v>
      </c>
      <c r="E59" s="71"/>
    </row>
    <row r="60" spans="1:5">
      <c r="A60" s="70"/>
      <c r="B60" t="s">
        <v>134</v>
      </c>
      <c r="C60">
        <f>IF(C34&lt;6, C148, IF(C34&lt;8, F148, IF(C34&lt;10, I148, L148)))</f>
        <v>1.0024999999999999</v>
      </c>
      <c r="E60" s="71"/>
    </row>
    <row r="61" spans="1:5">
      <c r="A61" s="70"/>
      <c r="B61" t="s">
        <v>135</v>
      </c>
      <c r="C61">
        <f>C59*C60*C56*C57*C52*(C38/12^2)</f>
        <v>1005.6476525324307</v>
      </c>
      <c r="D61" t="s">
        <v>3</v>
      </c>
      <c r="E61" s="71"/>
    </row>
    <row r="62" spans="1:5">
      <c r="A62" s="70"/>
      <c r="E62" s="71"/>
    </row>
    <row r="63" spans="1:5">
      <c r="A63" s="70"/>
      <c r="B63" t="s">
        <v>105</v>
      </c>
      <c r="C63">
        <f>C29*(C13-C14)/(2*C14)</f>
        <v>25000</v>
      </c>
      <c r="D63" t="s">
        <v>3</v>
      </c>
      <c r="E63" s="71"/>
    </row>
    <row r="64" spans="1:5">
      <c r="A64" s="70"/>
      <c r="B64" t="s">
        <v>106</v>
      </c>
      <c r="C64">
        <f>C50+C58+C63</f>
        <v>29388.565415913927</v>
      </c>
      <c r="D64" t="s">
        <v>3</v>
      </c>
      <c r="E64" s="71"/>
    </row>
    <row r="65" spans="1:5">
      <c r="A65" s="70"/>
      <c r="B65" t="s">
        <v>107</v>
      </c>
      <c r="C65">
        <f>C61-(C24)*(C26)*(C27-C39)+((C25)*(C50+C63))</f>
        <v>9377.940075829687</v>
      </c>
      <c r="D65" t="s">
        <v>3</v>
      </c>
      <c r="E65" s="71"/>
    </row>
    <row r="66" spans="1:5">
      <c r="A66" s="70"/>
      <c r="B66" t="s">
        <v>108</v>
      </c>
      <c r="C66">
        <f>-C29</f>
        <v>-1000</v>
      </c>
      <c r="D66" t="s">
        <v>3</v>
      </c>
      <c r="E66" s="71"/>
    </row>
    <row r="67" spans="1:5">
      <c r="A67" s="70"/>
      <c r="B67" t="s">
        <v>109</v>
      </c>
      <c r="C67">
        <f>SQRT(0.5*((C64-C65)^2+(C65-C66)^2+(C66-C64)^2))</f>
        <v>26754.361090820439</v>
      </c>
      <c r="D67" t="s">
        <v>3</v>
      </c>
      <c r="E67" s="71"/>
    </row>
    <row r="68" spans="1:5">
      <c r="A68" s="70"/>
      <c r="E68" s="71"/>
    </row>
    <row r="69" spans="1:5">
      <c r="A69" s="70"/>
      <c r="B69" t="s">
        <v>11</v>
      </c>
      <c r="C69">
        <f>C17*C20</f>
        <v>46800</v>
      </c>
      <c r="D69" t="s">
        <v>3</v>
      </c>
      <c r="E69" s="71"/>
    </row>
    <row r="70" spans="1:5">
      <c r="A70" s="70"/>
      <c r="E70" s="71"/>
    </row>
    <row r="71" spans="1:5">
      <c r="A71" s="70"/>
      <c r="B71" t="s">
        <v>12</v>
      </c>
      <c r="C71">
        <f>VLOOKUP(_xlfn.CONCAT(C17, " ", C21), Tables!A152:E239, 4, FALSE)</f>
        <v>12000</v>
      </c>
      <c r="D71" t="s">
        <v>3</v>
      </c>
      <c r="E71" s="71"/>
    </row>
    <row r="72" spans="1:5">
      <c r="A72" s="70"/>
      <c r="B72" t="s">
        <v>13</v>
      </c>
      <c r="C72">
        <f>VLOOKUP(_xlfn.CONCAT(C17, " ", C21), Tables!A152:E239, 5, FALSE)</f>
        <v>23000</v>
      </c>
      <c r="D72" t="s">
        <v>3</v>
      </c>
      <c r="E72" s="71"/>
    </row>
    <row r="73" spans="1:5">
      <c r="A73" s="70"/>
      <c r="B73" t="s">
        <v>124</v>
      </c>
      <c r="C73">
        <f>C71*C20</f>
        <v>8640</v>
      </c>
      <c r="D73" t="s">
        <v>3</v>
      </c>
      <c r="E73" s="71"/>
    </row>
    <row r="74" spans="1:5">
      <c r="A74" s="72"/>
      <c r="B74" s="73" t="s">
        <v>123</v>
      </c>
      <c r="C74" s="73">
        <f>C72*C20</f>
        <v>16560</v>
      </c>
      <c r="D74" s="73" t="s">
        <v>3</v>
      </c>
      <c r="E74" s="74"/>
    </row>
    <row r="75" spans="1:5">
      <c r="A75" s="70"/>
    </row>
    <row r="76" spans="1:5">
      <c r="A76" s="70"/>
    </row>
    <row r="77" spans="1:5">
      <c r="A77" s="198" t="s">
        <v>232</v>
      </c>
      <c r="B77" s="68" t="s">
        <v>14</v>
      </c>
      <c r="C77" s="68" t="s">
        <v>27</v>
      </c>
      <c r="D77" s="68" t="s">
        <v>28</v>
      </c>
      <c r="E77" s="69" t="s">
        <v>15</v>
      </c>
    </row>
    <row r="78" spans="1:5">
      <c r="A78" s="199"/>
      <c r="B78" t="s">
        <v>16</v>
      </c>
      <c r="C78">
        <f>C44</f>
        <v>25500</v>
      </c>
      <c r="D78">
        <f>C45</f>
        <v>46800</v>
      </c>
      <c r="E78" s="71" t="str">
        <f>IF(C78&gt;D78, "Fail", "Pass")</f>
        <v>Pass</v>
      </c>
    </row>
    <row r="79" spans="1:5">
      <c r="A79" s="199"/>
      <c r="B79" t="s">
        <v>17</v>
      </c>
      <c r="C79">
        <f>C67</f>
        <v>26754.361090820439</v>
      </c>
      <c r="D79">
        <f>C69</f>
        <v>46800</v>
      </c>
      <c r="E79" s="71" t="str">
        <f>IF(C79&gt;D79, "Fail", "Pass")</f>
        <v>Pass</v>
      </c>
    </row>
    <row r="80" spans="1:5">
      <c r="A80" s="199"/>
      <c r="B80" t="s">
        <v>18</v>
      </c>
      <c r="C80">
        <f>C61</f>
        <v>1005.6476525324307</v>
      </c>
      <c r="D80">
        <f>C73</f>
        <v>8640</v>
      </c>
      <c r="E80" s="71" t="str">
        <f>IF(C80&gt;D80, "Fail", "Pass")</f>
        <v>Pass</v>
      </c>
    </row>
    <row r="81" spans="1:15">
      <c r="A81" s="200"/>
      <c r="B81" s="73" t="s">
        <v>19</v>
      </c>
      <c r="C81" s="73">
        <f>C58</f>
        <v>1480.9240049230664</v>
      </c>
      <c r="D81" s="73">
        <f>C74</f>
        <v>16560</v>
      </c>
      <c r="E81" s="74" t="str">
        <f>IF(C81&gt;D81, "Fail", "Pass")</f>
        <v>Pass</v>
      </c>
    </row>
    <row r="84" spans="1:15" ht="15" thickBot="1"/>
    <row r="85" spans="1:15" ht="15" thickBot="1">
      <c r="B85" s="206" t="s">
        <v>334</v>
      </c>
      <c r="C85" s="207"/>
      <c r="D85" s="91"/>
      <c r="E85" s="91"/>
    </row>
    <row r="86" spans="1:15">
      <c r="B86" s="9" t="s">
        <v>21</v>
      </c>
      <c r="C86" s="9">
        <f>C14/C13</f>
        <v>1.9607843137254902E-2</v>
      </c>
    </row>
    <row r="87" spans="1:15">
      <c r="B87" s="8" t="s">
        <v>22</v>
      </c>
      <c r="C87" s="8">
        <f>C34*12/C35</f>
        <v>4.8813559322033901</v>
      </c>
    </row>
    <row r="88" spans="1:15">
      <c r="B88" s="8" t="s">
        <v>23</v>
      </c>
      <c r="C88" s="8">
        <f>C35/C13</f>
        <v>1.1568627450980393</v>
      </c>
    </row>
    <row r="90" spans="1:15" ht="15" thickBot="1"/>
    <row r="91" spans="1:15" ht="15" thickBot="1">
      <c r="B91" s="196" t="s">
        <v>305</v>
      </c>
      <c r="C91" s="197"/>
      <c r="E91" s="196" t="s">
        <v>306</v>
      </c>
      <c r="F91" s="197"/>
      <c r="H91" s="196" t="s">
        <v>307</v>
      </c>
      <c r="I91" s="197"/>
      <c r="K91" s="196" t="s">
        <v>308</v>
      </c>
      <c r="L91" s="197"/>
      <c r="N91" s="191" t="s">
        <v>59</v>
      </c>
      <c r="O91" s="192" t="s">
        <v>304</v>
      </c>
    </row>
    <row r="92" spans="1:15">
      <c r="B92" s="82" t="s">
        <v>272</v>
      </c>
      <c r="C92" s="83">
        <f>_xlfn.XLOOKUP($C$86,Tables!$A$17:$A$38,Tables!$A$17:$A$38,,-1,1)</f>
        <v>1.7500000000000002E-2</v>
      </c>
      <c r="E92" s="82" t="s">
        <v>272</v>
      </c>
      <c r="F92" s="83">
        <f>_xlfn.XLOOKUP($C$86,Tables!$C$17:$C$38,Tables!$C$17:$C$38,,-1,1)</f>
        <v>1.7500000000000002E-2</v>
      </c>
      <c r="H92" s="82" t="s">
        <v>272</v>
      </c>
      <c r="I92" s="83">
        <f>_xlfn.XLOOKUP($C$86,Tables!$E$17:$E$38,Tables!$E$17:$E$38,,-1,1)</f>
        <v>1.7500000000000002E-2</v>
      </c>
      <c r="K92" s="82" t="s">
        <v>272</v>
      </c>
      <c r="L92" s="83">
        <f>_xlfn.XLOOKUP($C$86,Tables!$G$17:$G$38,Tables!$G$17:$G$38,,-1,1)</f>
        <v>1.7500000000000002E-2</v>
      </c>
      <c r="N92" s="173">
        <v>200</v>
      </c>
      <c r="O92" s="178">
        <f>C96</f>
        <v>3141.176470588237</v>
      </c>
    </row>
    <row r="93" spans="1:15">
      <c r="B93" s="84" t="s">
        <v>273</v>
      </c>
      <c r="C93" s="85">
        <f>_xlfn.XLOOKUP($C$86,Tables!$A$17:$A$38,Tables!$A$17:$A$38,,1,1)</f>
        <v>0.02</v>
      </c>
      <c r="E93" s="84" t="s">
        <v>273</v>
      </c>
      <c r="F93" s="85">
        <f>_xlfn.XLOOKUP($C$86,Tables!$C$17:$C$38,Tables!$C$17:$C$38,,1,1)</f>
        <v>0.02</v>
      </c>
      <c r="H93" s="84" t="s">
        <v>273</v>
      </c>
      <c r="I93" s="85">
        <f>_xlfn.XLOOKUP($C$86,Tables!$E$17:$E$38,Tables!$E$17:$E$38,,1,1)</f>
        <v>0.02</v>
      </c>
      <c r="K93" s="84" t="s">
        <v>273</v>
      </c>
      <c r="L93" s="85">
        <f>_xlfn.XLOOKUP($C$86,Tables!$G$17:$G$38,Tables!$G$17:$G$38,,1,1)</f>
        <v>0.02</v>
      </c>
      <c r="N93" s="173">
        <v>500</v>
      </c>
      <c r="O93" s="178">
        <f>F96</f>
        <v>2790.5294117647072</v>
      </c>
    </row>
    <row r="94" spans="1:15">
      <c r="B94" s="84" t="s">
        <v>274</v>
      </c>
      <c r="C94" s="85">
        <f>_xlfn.XLOOKUP(C92,Tables!$A$17:$A$38,Tables!$B$17:$B$38,,0)</f>
        <v>3900</v>
      </c>
      <c r="E94" s="84" t="s">
        <v>274</v>
      </c>
      <c r="F94" s="85">
        <f>_xlfn.XLOOKUP(F92,Tables!$C$17:$C$38,Tables!$D$17:$D$38,,0)</f>
        <v>3476</v>
      </c>
      <c r="H94" s="84" t="s">
        <v>274</v>
      </c>
      <c r="I94" s="85">
        <f>_xlfn.XLOOKUP(I92,Tables!$E$17:$E$38,Tables!$F$17:$F$38,,0)</f>
        <v>2791</v>
      </c>
      <c r="K94" s="84" t="s">
        <v>274</v>
      </c>
      <c r="L94" s="85">
        <f>_xlfn.XLOOKUP(L92,Tables!$G$17:$G$38,Tables!$H$17:$H$38,,0)</f>
        <v>2145</v>
      </c>
      <c r="N94" s="173">
        <v>1000</v>
      </c>
      <c r="O94" s="178">
        <f>I96</f>
        <v>2370.2745098039218</v>
      </c>
    </row>
    <row r="95" spans="1:15" ht="15" thickBot="1">
      <c r="B95" s="84" t="s">
        <v>275</v>
      </c>
      <c r="C95" s="85">
        <f>_xlfn.XLOOKUP(C93,Tables!$A$17:$A$38,Tables!$B$17:$B$38,,0)</f>
        <v>3000</v>
      </c>
      <c r="E95" s="84" t="s">
        <v>275</v>
      </c>
      <c r="F95" s="85">
        <f>_xlfn.XLOOKUP(F93,Tables!$C$17:$C$38,Tables!$D$17:$D$38,,0)</f>
        <v>2663</v>
      </c>
      <c r="H95" s="84" t="s">
        <v>275</v>
      </c>
      <c r="I95" s="85">
        <f>_xlfn.XLOOKUP(I93,Tables!$E$17:$E$38,Tables!$F$17:$F$38,,0)</f>
        <v>2292</v>
      </c>
      <c r="K95" s="84" t="s">
        <v>275</v>
      </c>
      <c r="L95" s="85">
        <f>_xlfn.XLOOKUP(L93,Tables!$G$17:$G$38,Tables!$H$17:$H$38,,0)</f>
        <v>1852</v>
      </c>
      <c r="N95" s="167">
        <v>2000</v>
      </c>
      <c r="O95" s="169">
        <f>L96</f>
        <v>1897.9607843137264</v>
      </c>
    </row>
    <row r="96" spans="1:15" ht="15" thickBot="1">
      <c r="B96" s="86" t="s">
        <v>304</v>
      </c>
      <c r="C96" s="87">
        <f>IFERROR(_xlfn.FORECAST.LINEAR($C$86,C94:C95,C92:C93),VLOOKUP($C$86,Tables!$A$17:$B$38,2, FALSE))</f>
        <v>3141.176470588237</v>
      </c>
      <c r="E96" s="86" t="s">
        <v>304</v>
      </c>
      <c r="F96" s="87">
        <f>IFERROR(_xlfn.FORECAST.LINEAR($C$86,F94:F95,F92:F93),VLOOKUP($C$86,Tables!$C$17:$D$38,2, FALSE))</f>
        <v>2790.5294117647072</v>
      </c>
      <c r="H96" s="86" t="s">
        <v>304</v>
      </c>
      <c r="I96" s="87">
        <f>IFERROR(_xlfn.FORECAST.LINEAR($C$86,I94:I95,I92:I93),VLOOKUP($C$86,Tables!$E$17:$F$38,2, FALSE))</f>
        <v>2370.2745098039218</v>
      </c>
      <c r="K96" s="86" t="s">
        <v>304</v>
      </c>
      <c r="L96" s="87">
        <f>IFERROR(_xlfn.FORECAST.LINEAR($C$86,L94:L95,L92:L93),VLOOKUP($C$86,Tables!$G$17:$H$38,2, FALSE))</f>
        <v>1897.9607843137264</v>
      </c>
    </row>
    <row r="97" spans="2:6" ht="15" thickBot="1"/>
    <row r="98" spans="2:6" ht="15" thickBot="1">
      <c r="B98" s="196" t="s">
        <v>277</v>
      </c>
      <c r="C98" s="197"/>
      <c r="E98" s="196" t="s">
        <v>278</v>
      </c>
      <c r="F98" s="197"/>
    </row>
    <row r="99" spans="2:6">
      <c r="B99" s="82" t="s">
        <v>272</v>
      </c>
      <c r="C99" s="83">
        <f>_xlfn.XLOOKUP($C$87,Tables!$A$43:$A$76,Tables!$A$43:$A$76,,-1,1)</f>
        <v>4</v>
      </c>
      <c r="E99" s="82" t="s">
        <v>272</v>
      </c>
      <c r="F99" s="83">
        <f>_xlfn.XLOOKUP($C$87,Tables!$C$43:$C$76,Tables!$C$43:$C$76,,-1,1)</f>
        <v>4</v>
      </c>
    </row>
    <row r="100" spans="2:6">
      <c r="B100" s="84" t="s">
        <v>273</v>
      </c>
      <c r="C100" s="85">
        <f>_xlfn.XLOOKUP($C$87,Tables!$A$43:$A$76,Tables!$A$43:$A$76,,1,1)</f>
        <v>5</v>
      </c>
      <c r="E100" s="84" t="s">
        <v>273</v>
      </c>
      <c r="F100" s="85">
        <f>_xlfn.XLOOKUP($C$87,Tables!$C$43:$C$76,Tables!$C$43:$C$76,,1,1)</f>
        <v>5</v>
      </c>
    </row>
    <row r="101" spans="2:6">
      <c r="B101" s="84" t="s">
        <v>274</v>
      </c>
      <c r="C101" s="85">
        <f>_xlfn.XLOOKUP($C$99,Tables!$A$43:$A$76,Tables!$B$43:$B$76,,0)</f>
        <v>0.98299999999999998</v>
      </c>
      <c r="E101" s="84" t="s">
        <v>274</v>
      </c>
      <c r="F101" s="85">
        <f>_xlfn.XLOOKUP($F$99,Tables!$C$43:$C$76,Tables!$D$43:$D$76,,0)</f>
        <v>0.89300000000000002</v>
      </c>
    </row>
    <row r="102" spans="2:6">
      <c r="B102" s="84" t="s">
        <v>275</v>
      </c>
      <c r="C102" s="85">
        <f>_xlfn.XLOOKUP($C$100,Tables!$A$43:$A$76,Tables!$B$43:$B$76,,0)</f>
        <v>1.077</v>
      </c>
      <c r="E102" s="84" t="s">
        <v>275</v>
      </c>
      <c r="F102" s="85">
        <f>_xlfn.XLOOKUP($F$100,Tables!$C$43:$C$76,Tables!$D$43:$D$76,,0)</f>
        <v>0.96399999999999997</v>
      </c>
    </row>
    <row r="103" spans="2:6" ht="15" thickBot="1">
      <c r="B103" s="86" t="s">
        <v>276</v>
      </c>
      <c r="C103" s="87">
        <f>IFERROR(_xlfn.FORECAST.LINEAR($C$87,$C$101:$C$102,$C$99:$C$100),VLOOKUP($C$87,Tables!$A$43:$B$76,2, FALSE))</f>
        <v>1.0658474576271186</v>
      </c>
      <c r="E103" s="86" t="s">
        <v>279</v>
      </c>
      <c r="F103" s="87">
        <f>IFERROR(_xlfn.FORECAST.LINEAR($C$87,$F$101:$F$102,$F$99:$F$100),VLOOKUP($C$87,Tables!$C$43:$D$76,2, FALSE))</f>
        <v>0.95557627118644062</v>
      </c>
    </row>
    <row r="105" spans="2:6" ht="15" thickBot="1">
      <c r="B105" s="196" t="s">
        <v>280</v>
      </c>
      <c r="C105" s="197"/>
    </row>
    <row r="106" spans="2:6">
      <c r="B106" s="82" t="s">
        <v>272</v>
      </c>
      <c r="C106" s="83">
        <f>_xlfn.XLOOKUP($C$88,Tables!$A$80:$A$87,Tables!$A$80:$A$87,,-1,1)</f>
        <v>1.1499999999999999</v>
      </c>
    </row>
    <row r="107" spans="2:6">
      <c r="B107" s="84" t="s">
        <v>273</v>
      </c>
      <c r="C107" s="85">
        <f>_xlfn.XLOOKUP($C$88,Tables!$A$80:$A$87,Tables!$A$80:$A$87,,1,1)</f>
        <v>1.2</v>
      </c>
    </row>
    <row r="108" spans="2:6">
      <c r="B108" s="84" t="s">
        <v>274</v>
      </c>
      <c r="C108" s="85">
        <f>_xlfn.XLOOKUP($C$106,Tables!$A$80:$A$87,Tables!$B$80:$B$87,,0)</f>
        <v>1.0903</v>
      </c>
    </row>
    <row r="109" spans="2:6">
      <c r="B109" s="84" t="s">
        <v>275</v>
      </c>
      <c r="C109" s="85">
        <f>_xlfn.XLOOKUP($C$107,Tables!$A$80:$A$87,Tables!$B$80:$B$87,,0)</f>
        <v>1.1909000000000001</v>
      </c>
    </row>
    <row r="110" spans="2:6" ht="15" thickBot="1">
      <c r="B110" s="86" t="s">
        <v>280</v>
      </c>
      <c r="C110" s="87">
        <f>IFERROR(_xlfn.FORECAST.LINEAR($C$88,$C$108:$C$109,$C$106:$C$107),VLOOKUP($C$88,Tables!$A$80:$B$87,2, FALSE))</f>
        <v>1.104107843137256</v>
      </c>
    </row>
    <row r="111" spans="2:6" ht="15" thickBot="1"/>
    <row r="112" spans="2:6" ht="15" thickBot="1">
      <c r="B112" s="196" t="s">
        <v>43</v>
      </c>
      <c r="C112" s="197"/>
    </row>
    <row r="113" spans="2:12">
      <c r="B113" s="82" t="s">
        <v>272</v>
      </c>
      <c r="C113" s="83">
        <f>_xlfn.XLOOKUP($C$34,Tables!$A$91:$A$94,Tables!$A$91:$A$94,,-1,1)</f>
        <v>5.22</v>
      </c>
    </row>
    <row r="114" spans="2:12">
      <c r="B114" s="84" t="s">
        <v>273</v>
      </c>
      <c r="C114" s="85">
        <f>_xlfn.XLOOKUP($C$34,Tables!$A$91:$A$94,Tables!$A$91:$A$94,,1,1)</f>
        <v>21.62</v>
      </c>
    </row>
    <row r="115" spans="2:12">
      <c r="B115" s="84" t="s">
        <v>274</v>
      </c>
      <c r="C115" s="85">
        <f>_xlfn.XLOOKUP($C$113,Tables!$A$91:$A$94,Tables!$B$91:$B$94,,0)</f>
        <v>1.5</v>
      </c>
    </row>
    <row r="116" spans="2:12">
      <c r="B116" s="84" t="s">
        <v>275</v>
      </c>
      <c r="C116" s="85">
        <f>_xlfn.XLOOKUP($C$114,Tables!$A$91:$A$94,Tables!$B$91:$B$94,,0)</f>
        <v>1</v>
      </c>
    </row>
    <row r="117" spans="2:12" ht="15" thickBot="1">
      <c r="B117" s="86" t="s">
        <v>43</v>
      </c>
      <c r="C117" s="87">
        <f>IFERROR(_xlfn.FORECAST.LINEAR($C$34,C115:C116,C113:C114),VLOOKUP($C$34,Tables!$A$91:$B$94,2, FALSE))</f>
        <v>1.476219512195122</v>
      </c>
    </row>
    <row r="118" spans="2:12" ht="15" thickBot="1"/>
    <row r="119" spans="2:12" ht="15" thickBot="1">
      <c r="B119" s="196" t="s">
        <v>313</v>
      </c>
      <c r="C119" s="197"/>
      <c r="E119" s="196" t="s">
        <v>314</v>
      </c>
      <c r="F119" s="197"/>
      <c r="H119" s="196" t="s">
        <v>315</v>
      </c>
      <c r="I119" s="197"/>
      <c r="K119" s="191" t="s">
        <v>60</v>
      </c>
      <c r="L119" s="192" t="s">
        <v>304</v>
      </c>
    </row>
    <row r="120" spans="2:12">
      <c r="B120" s="82" t="s">
        <v>272</v>
      </c>
      <c r="C120" s="83">
        <f>_xlfn.XLOOKUP($C$86,Tables!A99:A118,Tables!A99:A118,,-1,1)</f>
        <v>1.729E-2</v>
      </c>
      <c r="E120" s="82" t="s">
        <v>272</v>
      </c>
      <c r="F120" s="83">
        <f>_xlfn.XLOOKUP($C$86,Tables!C99:C118,Tables!C99:C118,,-1,1)</f>
        <v>1.729E-2</v>
      </c>
      <c r="H120" s="82" t="s">
        <v>272</v>
      </c>
      <c r="I120" s="83">
        <f>_xlfn.XLOOKUP($C$86,Tables!E99:E118,Tables!E99:E118,,-1,1)</f>
        <v>1.729E-2</v>
      </c>
      <c r="K120" s="173">
        <v>5000</v>
      </c>
      <c r="L120" s="178">
        <f>C124</f>
        <v>19.575475201845446</v>
      </c>
    </row>
    <row r="121" spans="2:12">
      <c r="B121" s="84" t="s">
        <v>273</v>
      </c>
      <c r="C121" s="85">
        <f>_xlfn.XLOOKUP($C$86,Tables!A99:A118,Tables!A99:A118,,1,1)</f>
        <v>2.018E-2</v>
      </c>
      <c r="E121" s="84" t="s">
        <v>273</v>
      </c>
      <c r="F121" s="85">
        <f>_xlfn.XLOOKUP($C$86,Tables!C99:C118,Tables!C99:C118,,1,1)</f>
        <v>2.018E-2</v>
      </c>
      <c r="H121" s="84" t="s">
        <v>273</v>
      </c>
      <c r="I121" s="85">
        <f>_xlfn.XLOOKUP($C$86,Tables!E99:E118,Tables!E99:E118,,1,1)</f>
        <v>2.018E-2</v>
      </c>
      <c r="K121" s="173">
        <v>10000</v>
      </c>
      <c r="L121" s="178">
        <f>F124</f>
        <v>14.207908202727459</v>
      </c>
    </row>
    <row r="122" spans="2:12" ht="15" thickBot="1">
      <c r="B122" s="84" t="s">
        <v>274</v>
      </c>
      <c r="C122" s="85">
        <f>_xlfn.XLOOKUP(C120,Tables!A99:A118,Tables!B99:B118,,0)</f>
        <v>20.338999999999999</v>
      </c>
      <c r="E122" s="84" t="s">
        <v>274</v>
      </c>
      <c r="F122" s="85">
        <f>_xlfn.XLOOKUP(F120,Tables!C99:C118,Tables!D99:D118,,0)</f>
        <v>14.641</v>
      </c>
      <c r="H122" s="84" t="s">
        <v>274</v>
      </c>
      <c r="I122" s="85">
        <f>_xlfn.XLOOKUP(I120,Tables!E99:E118,Tables!F99:F118,,0)</f>
        <v>9.3870000000000005</v>
      </c>
      <c r="K122" s="167">
        <v>20000</v>
      </c>
      <c r="L122" s="169">
        <f>I124</f>
        <v>9.4856486871565231</v>
      </c>
    </row>
    <row r="123" spans="2:12">
      <c r="B123" s="84" t="s">
        <v>275</v>
      </c>
      <c r="C123" s="85">
        <f>_xlfn.XLOOKUP(C121,Tables!A99:A118,Tables!B99:B118,,0)</f>
        <v>19.387</v>
      </c>
      <c r="E123" s="84" t="s">
        <v>275</v>
      </c>
      <c r="F123" s="85">
        <f>_xlfn.XLOOKUP(F121,Tables!C99:C118,Tables!D99:D118,,0)</f>
        <v>14.101000000000001</v>
      </c>
      <c r="H123" s="84" t="s">
        <v>275</v>
      </c>
      <c r="I123" s="85">
        <f>_xlfn.XLOOKUP(I121,Tables!E99:E118,Tables!F99:F118,,0)</f>
        <v>9.51</v>
      </c>
    </row>
    <row r="124" spans="2:12" ht="15" thickBot="1">
      <c r="B124" s="86" t="s">
        <v>304</v>
      </c>
      <c r="C124" s="87">
        <f>IFERROR(_xlfn.FORECAST.LINEAR($C$86,C122:C123,C120:C121),VLOOKUP($C$86,Tables!A17:B38,2, FALSE))</f>
        <v>19.575475201845446</v>
      </c>
      <c r="E124" s="86" t="s">
        <v>304</v>
      </c>
      <c r="F124" s="87">
        <f>IFERROR(_xlfn.FORECAST.LINEAR($C$86,F122:F123,F120:F121),VLOOKUP($C$86,Tables!C17:D38,2, FALSE))</f>
        <v>14.207908202727459</v>
      </c>
      <c r="H124" s="86" t="s">
        <v>304</v>
      </c>
      <c r="I124" s="87">
        <f>IFERROR(_xlfn.FORECAST.LINEAR($C$86,I122:I123,I120:I121),VLOOKUP($C$86,Tables!E17:F38,2, FALSE))</f>
        <v>9.4856486871565231</v>
      </c>
    </row>
    <row r="125" spans="2:12" ht="15" thickBot="1"/>
    <row r="126" spans="2:12" ht="15" thickBot="1">
      <c r="B126" s="196" t="s">
        <v>321</v>
      </c>
      <c r="C126" s="197"/>
      <c r="E126" s="196" t="s">
        <v>322</v>
      </c>
      <c r="F126" s="197"/>
      <c r="H126" s="196" t="s">
        <v>323</v>
      </c>
      <c r="I126" s="197"/>
      <c r="K126" s="196" t="s">
        <v>324</v>
      </c>
      <c r="L126" s="197"/>
    </row>
    <row r="127" spans="2:12">
      <c r="B127" s="82" t="s">
        <v>272</v>
      </c>
      <c r="C127" s="83">
        <f>_xlfn.XLOOKUP($C$13,Tables!A123:A139,Tables!A123:A139,,-1,1)</f>
        <v>12</v>
      </c>
      <c r="E127" s="82" t="s">
        <v>272</v>
      </c>
      <c r="F127" s="83">
        <f>_xlfn.XLOOKUP($C$13,Tables!C123:C139,Tables!C123:C139,,-1,1)</f>
        <v>12</v>
      </c>
      <c r="H127" s="82" t="s">
        <v>272</v>
      </c>
      <c r="I127" s="83">
        <f>_xlfn.XLOOKUP($C$13,Tables!E123:E139,Tables!E123:E139,,-1,1)</f>
        <v>12</v>
      </c>
      <c r="K127" s="82" t="s">
        <v>272</v>
      </c>
      <c r="L127" s="83">
        <f>_xlfn.XLOOKUP($C$13,Tables!G123:G139,Tables!G123:G139,,-1,1)</f>
        <v>12</v>
      </c>
    </row>
    <row r="128" spans="2:12">
      <c r="B128" s="84" t="s">
        <v>273</v>
      </c>
      <c r="C128" s="85">
        <f>_xlfn.XLOOKUP($C$13,Tables!A123:A139,Tables!A123:A139,,1,1)</f>
        <v>14</v>
      </c>
      <c r="E128" s="84" t="s">
        <v>273</v>
      </c>
      <c r="F128" s="85">
        <f>_xlfn.XLOOKUP($C$13,Tables!C123:C139,Tables!C123:C139,,1,1)</f>
        <v>14</v>
      </c>
      <c r="H128" s="84" t="s">
        <v>273</v>
      </c>
      <c r="I128" s="85">
        <f>_xlfn.XLOOKUP($C$13,Tables!E123:E139,Tables!E123:E139,,1,1)</f>
        <v>14</v>
      </c>
      <c r="K128" s="84" t="s">
        <v>273</v>
      </c>
      <c r="L128" s="85">
        <f>_xlfn.XLOOKUP($C$13,Tables!G123:G139,Tables!G123:G139,,1,1)</f>
        <v>14</v>
      </c>
    </row>
    <row r="129" spans="2:12">
      <c r="B129" s="84" t="s">
        <v>274</v>
      </c>
      <c r="C129" s="85">
        <f>_xlfn.XLOOKUP(C127,Tables!A123:A139,Tables!B123:B139,,0)</f>
        <v>1.272</v>
      </c>
      <c r="E129" s="84" t="s">
        <v>274</v>
      </c>
      <c r="F129" s="85">
        <f>_xlfn.XLOOKUP(F127,Tables!C123:C139,Tables!D123:D139,,0)</f>
        <v>1.0309999999999999</v>
      </c>
      <c r="H129" s="84" t="s">
        <v>274</v>
      </c>
      <c r="I129" s="85">
        <f>_xlfn.XLOOKUP(I127,Tables!E123:E139,Tables!F123:F139,,0)</f>
        <v>0.84399999999999997</v>
      </c>
      <c r="K129" s="84" t="s">
        <v>274</v>
      </c>
      <c r="L129" s="85">
        <f>_xlfn.XLOOKUP(L127,Tables!G123:G139,Tables!H123:H139,,0)</f>
        <v>0.67400000000000004</v>
      </c>
    </row>
    <row r="130" spans="2:12">
      <c r="B130" s="84" t="s">
        <v>275</v>
      </c>
      <c r="C130" s="85">
        <f>_xlfn.XLOOKUP(C128,Tables!A123:A139,Tables!B123:B139,,0)</f>
        <v>1.2230000000000001</v>
      </c>
      <c r="E130" s="84" t="s">
        <v>275</v>
      </c>
      <c r="F130" s="85">
        <f>_xlfn.XLOOKUP(F128,Tables!C123:C139,Tables!D123:D139,,0)</f>
        <v>0.99299999999999999</v>
      </c>
      <c r="H130" s="84" t="s">
        <v>275</v>
      </c>
      <c r="I130" s="85">
        <f>_xlfn.XLOOKUP(I128,Tables!E123:E139,Tables!F123:F139,,0)</f>
        <v>0.81200000000000006</v>
      </c>
      <c r="K130" s="84" t="s">
        <v>275</v>
      </c>
      <c r="L130" s="85">
        <f>_xlfn.XLOOKUP(L128,Tables!G123:G139,Tables!H123:H139,,0)</f>
        <v>0.65300000000000002</v>
      </c>
    </row>
    <row r="131" spans="2:12" ht="15" thickBot="1">
      <c r="B131" s="86" t="s">
        <v>304</v>
      </c>
      <c r="C131" s="87">
        <f>IFERROR(_xlfn.FORECAST.LINEAR($C$13,C129:C130,C127:C128),VLOOKUP($C$13,Tables!A123:B138,2, FALSE))</f>
        <v>1.253625</v>
      </c>
      <c r="E131" s="86" t="s">
        <v>304</v>
      </c>
      <c r="F131" s="87">
        <f>IFERROR(_xlfn.FORECAST.LINEAR($C$13,F129:F130,F127:F128),VLOOKUP($C$13,Tables!C123:D138,2, FALSE))</f>
        <v>1.01675</v>
      </c>
      <c r="H131" s="86" t="s">
        <v>304</v>
      </c>
      <c r="I131" s="87">
        <f>IFERROR(_xlfn.FORECAST.LINEAR($C$13,I129:I130,I127:I128),VLOOKUP($C$13,Tables!E123:F138,2, FALSE))</f>
        <v>0.83200000000000007</v>
      </c>
      <c r="K131" s="86" t="s">
        <v>304</v>
      </c>
      <c r="L131" s="87">
        <f>IFERROR(_xlfn.FORECAST.LINEAR($C$13,L129:L130,L127:L128),VLOOKUP($C$13,Tables!G123:H138,2, FALSE))</f>
        <v>0.66612499999999986</v>
      </c>
    </row>
    <row r="133" spans="2:12" ht="15" thickBot="1"/>
    <row r="134" spans="2:12" ht="15" thickBot="1">
      <c r="B134" s="196" t="s">
        <v>325</v>
      </c>
      <c r="C134" s="197"/>
      <c r="E134" s="196" t="s">
        <v>326</v>
      </c>
      <c r="F134" s="197"/>
      <c r="H134" s="196" t="s">
        <v>327</v>
      </c>
      <c r="I134" s="197"/>
      <c r="K134" s="191" t="s">
        <v>60</v>
      </c>
      <c r="L134" s="192" t="s">
        <v>304</v>
      </c>
    </row>
    <row r="135" spans="2:12">
      <c r="B135" s="82" t="s">
        <v>272</v>
      </c>
      <c r="C135" s="83">
        <f>_xlfn.XLOOKUP($C$86,Tables!A244:A263,Tables!A244:A263,,-1,1)</f>
        <v>1.4999999999999999E-2</v>
      </c>
      <c r="E135" s="82" t="s">
        <v>272</v>
      </c>
      <c r="F135" s="83">
        <f>_xlfn.XLOOKUP($C$86,Tables!C244:C263,Tables!C244:C263,,-1,1)</f>
        <v>1.4999999999999999E-2</v>
      </c>
      <c r="H135" s="82" t="s">
        <v>272</v>
      </c>
      <c r="I135" s="83">
        <f>_xlfn.XLOOKUP($C$86,Tables!E244:E263,Tables!E244:E263,,-1,1)</f>
        <v>1.4999999999999999E-2</v>
      </c>
      <c r="K135" s="173">
        <v>5000</v>
      </c>
      <c r="L135" s="178">
        <f>C139</f>
        <v>14.433235294117646</v>
      </c>
    </row>
    <row r="136" spans="2:12">
      <c r="B136" s="84" t="s">
        <v>273</v>
      </c>
      <c r="C136" s="85">
        <f>_xlfn.XLOOKUP($C$86,Tables!A244:A263,Tables!A244:A263,,1,1)</f>
        <v>0.02</v>
      </c>
      <c r="E136" s="84" t="s">
        <v>273</v>
      </c>
      <c r="F136" s="85">
        <f>_xlfn.XLOOKUP($C$86,Tables!C244:C263,Tables!C244:C263,,1,1)</f>
        <v>0.02</v>
      </c>
      <c r="H136" s="84" t="s">
        <v>273</v>
      </c>
      <c r="I136" s="85">
        <f>_xlfn.XLOOKUP($C$86,Tables!E244:E263,Tables!E244:E263,,1,1)</f>
        <v>0.02</v>
      </c>
      <c r="K136" s="173">
        <v>10000</v>
      </c>
      <c r="L136" s="178">
        <f>F139</f>
        <v>9.7852745098039211</v>
      </c>
    </row>
    <row r="137" spans="2:12" ht="15" thickBot="1">
      <c r="B137" s="84" t="s">
        <v>274</v>
      </c>
      <c r="C137" s="85">
        <f>_xlfn.XLOOKUP(C135,Tables!A244:A263,Tables!B244:B263,,0)</f>
        <v>15</v>
      </c>
      <c r="E137" s="84" t="s">
        <v>274</v>
      </c>
      <c r="F137" s="85">
        <f>_xlfn.XLOOKUP(F135,Tables!C244:C263,Tables!D244:D263,,0)</f>
        <v>10</v>
      </c>
      <c r="H137" s="84" t="s">
        <v>274</v>
      </c>
      <c r="I137" s="85">
        <f>_xlfn.XLOOKUP(I135,Tables!E244:E263,Tables!F244:F263,,0)</f>
        <v>6.5839999999999996</v>
      </c>
      <c r="K137" s="167">
        <v>20000</v>
      </c>
      <c r="L137" s="169">
        <f>I139</f>
        <v>6.5839999999999996</v>
      </c>
    </row>
    <row r="138" spans="2:12">
      <c r="B138" s="84" t="s">
        <v>275</v>
      </c>
      <c r="C138" s="85">
        <f>_xlfn.XLOOKUP(C136,Tables!A244:A263,Tables!B244:B263,,0)</f>
        <v>14.384999999999998</v>
      </c>
      <c r="E138" s="84" t="s">
        <v>275</v>
      </c>
      <c r="F138" s="85">
        <f>_xlfn.XLOOKUP(F136,Tables!C244:C263,Tables!D244:D263,,0)</f>
        <v>9.7669999999999995</v>
      </c>
      <c r="H138" s="84" t="s">
        <v>275</v>
      </c>
      <c r="I138" s="85">
        <f>_xlfn.XLOOKUP(I136,Tables!E244:E263,Tables!F244:F263,,0)</f>
        <v>6.5839999999999996</v>
      </c>
    </row>
    <row r="139" spans="2:12" ht="15" thickBot="1">
      <c r="B139" s="86" t="s">
        <v>304</v>
      </c>
      <c r="C139" s="87">
        <f>IFERROR(_xlfn.FORECAST.LINEAR($C$86,C137:C138,C135:C136),VLOOKUP($C$86,Tables!A244:F255,2, FALSE))</f>
        <v>14.433235294117646</v>
      </c>
      <c r="E139" s="86" t="s">
        <v>304</v>
      </c>
      <c r="F139" s="87">
        <f>IFERROR(_xlfn.FORECAST.LINEAR($C$86,F137:F138,F135:F136),VLOOKUP($C$86,Tables!C244:H255,2, FALSE))</f>
        <v>9.7852745098039211</v>
      </c>
      <c r="H139" s="86" t="s">
        <v>304</v>
      </c>
      <c r="I139" s="87">
        <f>IFERROR(_xlfn.FORECAST.LINEAR($C$86,I137:I138,I135:I136),VLOOKUP($C$86,Tables!E244:J255,2, FALSE))</f>
        <v>6.5839999999999996</v>
      </c>
    </row>
    <row r="142" spans="2:12" ht="15" thickBot="1"/>
    <row r="143" spans="2:12" ht="15" thickBot="1">
      <c r="B143" s="196" t="s">
        <v>328</v>
      </c>
      <c r="C143" s="197"/>
      <c r="E143" s="196" t="s">
        <v>329</v>
      </c>
      <c r="F143" s="197"/>
      <c r="H143" s="196" t="s">
        <v>330</v>
      </c>
      <c r="I143" s="197"/>
      <c r="K143" s="196" t="s">
        <v>331</v>
      </c>
      <c r="L143" s="197"/>
    </row>
    <row r="144" spans="2:12">
      <c r="B144" s="82" t="s">
        <v>272</v>
      </c>
      <c r="C144" s="83">
        <f>_xlfn.XLOOKUP($C$13,Tables!A260:A274,Tables!A260:A274,,-1,1)</f>
        <v>12</v>
      </c>
      <c r="E144" s="82" t="s">
        <v>272</v>
      </c>
      <c r="F144" s="83">
        <f>_xlfn.XLOOKUP($C$13,Tables!C260:C274,Tables!C260:C274,,-1,1)</f>
        <v>12</v>
      </c>
      <c r="H144" s="82" t="s">
        <v>272</v>
      </c>
      <c r="I144" s="83">
        <f>_xlfn.XLOOKUP($C$13,Tables!E260:E274,Tables!E260:E274,,-1,1)</f>
        <v>12</v>
      </c>
      <c r="K144" s="82" t="s">
        <v>272</v>
      </c>
      <c r="L144" s="83">
        <f>_xlfn.XLOOKUP($C$13,Tables!G260:G274,Tables!G260:G274,,-1,1)</f>
        <v>12</v>
      </c>
    </row>
    <row r="145" spans="1:32">
      <c r="B145" s="84" t="s">
        <v>273</v>
      </c>
      <c r="C145" s="85">
        <f>_xlfn.XLOOKUP($C$13,Tables!A260:A274,Tables!A260:A274,,1,1)</f>
        <v>14</v>
      </c>
      <c r="E145" s="84" t="s">
        <v>273</v>
      </c>
      <c r="F145" s="85">
        <f>_xlfn.XLOOKUP($C$13,Tables!C260:C274,Tables!C260:C274,,1,1)</f>
        <v>14</v>
      </c>
      <c r="H145" s="84" t="s">
        <v>273</v>
      </c>
      <c r="I145" s="85">
        <f>_xlfn.XLOOKUP($C$13,Tables!E260:E274,Tables!E260:E274,,1,1)</f>
        <v>14</v>
      </c>
      <c r="K145" s="84" t="s">
        <v>273</v>
      </c>
      <c r="L145" s="85">
        <f>_xlfn.XLOOKUP($C$13,Tables!G260:G274,Tables!G260:G274,,1,1)</f>
        <v>14</v>
      </c>
    </row>
    <row r="146" spans="1:32">
      <c r="B146" s="84" t="s">
        <v>274</v>
      </c>
      <c r="C146" s="85">
        <f>_xlfn.XLOOKUP(C144,Tables!A260:A274,Tables!B260:B274,,0)</f>
        <v>1.169</v>
      </c>
      <c r="E146" s="84" t="s">
        <v>274</v>
      </c>
      <c r="F146" s="85">
        <f>_xlfn.XLOOKUP(F144,Tables!C260:C274,Tables!D260:D274,,0)</f>
        <v>1.022</v>
      </c>
      <c r="H146" s="84" t="s">
        <v>274</v>
      </c>
      <c r="I146" s="85">
        <f>_xlfn.XLOOKUP(I144,Tables!E260:E274,Tables!F260:F274,,0)</f>
        <v>0.91800000000000004</v>
      </c>
      <c r="K146" s="84" t="s">
        <v>274</v>
      </c>
      <c r="L146" s="85">
        <f>_xlfn.XLOOKUP(L144,Tables!G260:G274,Tables!H260:H274,,0)</f>
        <v>0.82</v>
      </c>
    </row>
    <row r="147" spans="1:32">
      <c r="B147" s="84" t="s">
        <v>275</v>
      </c>
      <c r="C147" s="85">
        <f>_xlfn.XLOOKUP(C145,Tables!A260:A274,Tables!B260:B274,,0)</f>
        <v>1.1299999999999999</v>
      </c>
      <c r="E147" s="84" t="s">
        <v>275</v>
      </c>
      <c r="F147" s="85">
        <f>_xlfn.XLOOKUP(F145,Tables!C260:C274,Tables!D260:D274,,0)</f>
        <v>0.97</v>
      </c>
      <c r="H147" s="84" t="s">
        <v>275</v>
      </c>
      <c r="I147" s="85">
        <f>_xlfn.XLOOKUP(I145,Tables!E260:E274,Tables!F260:F274,,0)</f>
        <v>0.86</v>
      </c>
      <c r="K147" s="84" t="s">
        <v>275</v>
      </c>
      <c r="L147" s="85">
        <f>_xlfn.XLOOKUP(L145,Tables!G260:G274,Tables!H260:H274,,0)</f>
        <v>0.76300000000000001</v>
      </c>
    </row>
    <row r="148" spans="1:32" ht="15" thickBot="1">
      <c r="B148" s="86" t="s">
        <v>304</v>
      </c>
      <c r="C148" s="87">
        <f>IFERROR(_xlfn.FORECAST.LINEAR($C$13,C146:C147,C144:C145),VLOOKUP($C$13,Tables!A260:H274,2, FALSE))</f>
        <v>1.1543749999999999</v>
      </c>
      <c r="E148" s="86" t="s">
        <v>304</v>
      </c>
      <c r="F148" s="87">
        <f>IFERROR(_xlfn.FORECAST.LINEAR($C$13,F146:F147,F144:F145),VLOOKUP($C$13,Tables!C260:J274,2, FALSE))</f>
        <v>1.0024999999999999</v>
      </c>
      <c r="H148" s="86" t="s">
        <v>304</v>
      </c>
      <c r="I148" s="87">
        <f>IFERROR(_xlfn.FORECAST.LINEAR($C$13,I146:I147,I144:I145),VLOOKUP($C$34,Tables!E260:L274,2, FALSE))</f>
        <v>0.8962500000000001</v>
      </c>
      <c r="K148" s="86" t="s">
        <v>304</v>
      </c>
      <c r="L148" s="87">
        <f>IFERROR(_xlfn.FORECAST.LINEAR($C$13,L146:L147,L144:L145),VLOOKUP($C$13,Tables!G260:N274,2, FALSE))</f>
        <v>0.79862499999999992</v>
      </c>
    </row>
    <row r="149" spans="1:32" ht="15" thickBot="1"/>
    <row r="150" spans="1:32">
      <c r="B150" s="183" t="s">
        <v>487</v>
      </c>
    </row>
    <row r="151" spans="1:32">
      <c r="B151" s="184">
        <f>C13</f>
        <v>12.75</v>
      </c>
    </row>
    <row r="152" spans="1:32">
      <c r="B152" s="184">
        <f>B151+1</f>
        <v>13.75</v>
      </c>
    </row>
    <row r="153" spans="1:32" ht="15" thickBot="1">
      <c r="B153" s="166">
        <f>B151+2</f>
        <v>14.75</v>
      </c>
    </row>
    <row r="154" spans="1:32" ht="15" thickBot="1"/>
    <row r="155" spans="1:32" ht="15.6">
      <c r="A155" s="193"/>
      <c r="B155" s="92" t="s">
        <v>335</v>
      </c>
      <c r="C155" s="93" t="s">
        <v>151</v>
      </c>
      <c r="D155" s="94" t="s">
        <v>152</v>
      </c>
      <c r="E155" s="94" t="s">
        <v>153</v>
      </c>
      <c r="F155" s="94" t="s">
        <v>154</v>
      </c>
      <c r="G155" s="94">
        <v>1</v>
      </c>
      <c r="H155" s="94" t="s">
        <v>155</v>
      </c>
      <c r="I155" s="94" t="s">
        <v>156</v>
      </c>
      <c r="J155" s="94">
        <v>2</v>
      </c>
      <c r="K155" s="94" t="s">
        <v>157</v>
      </c>
      <c r="L155" s="94">
        <v>3</v>
      </c>
      <c r="M155" s="94" t="s">
        <v>158</v>
      </c>
      <c r="N155" s="94">
        <v>4</v>
      </c>
      <c r="O155" s="94" t="s">
        <v>336</v>
      </c>
      <c r="P155" s="94">
        <v>5</v>
      </c>
      <c r="Q155" s="94">
        <v>6</v>
      </c>
      <c r="R155" s="94">
        <v>8</v>
      </c>
      <c r="S155" s="94">
        <v>10</v>
      </c>
      <c r="T155" s="94">
        <v>12</v>
      </c>
      <c r="U155" s="94">
        <v>14</v>
      </c>
      <c r="V155" s="94">
        <v>16</v>
      </c>
      <c r="W155" s="94">
        <v>18</v>
      </c>
      <c r="X155" s="94">
        <v>20</v>
      </c>
      <c r="Y155" s="94">
        <v>24</v>
      </c>
      <c r="Z155" s="94">
        <v>26</v>
      </c>
      <c r="AA155" s="94">
        <v>30</v>
      </c>
      <c r="AB155" s="94">
        <v>36</v>
      </c>
      <c r="AC155" s="94">
        <v>42</v>
      </c>
      <c r="AD155" s="95">
        <v>48</v>
      </c>
      <c r="AF155" s="96" t="s">
        <v>337</v>
      </c>
    </row>
    <row r="156" spans="1:32" ht="15" thickBot="1">
      <c r="B156" s="97" t="s">
        <v>338</v>
      </c>
      <c r="C156" s="98">
        <v>0.54</v>
      </c>
      <c r="D156" s="99">
        <v>0.67500000000000004</v>
      </c>
      <c r="E156" s="99">
        <v>0.84</v>
      </c>
      <c r="F156" s="99">
        <v>1.05</v>
      </c>
      <c r="G156" s="99">
        <v>1.3149999999999999</v>
      </c>
      <c r="H156" s="99">
        <v>1.66</v>
      </c>
      <c r="I156" s="99">
        <v>1.9</v>
      </c>
      <c r="J156" s="99">
        <v>2.375</v>
      </c>
      <c r="K156" s="99">
        <v>2.875</v>
      </c>
      <c r="L156" s="99">
        <v>3.5</v>
      </c>
      <c r="M156" s="99">
        <v>4</v>
      </c>
      <c r="N156" s="99">
        <v>4.5</v>
      </c>
      <c r="O156" s="99">
        <v>5</v>
      </c>
      <c r="P156" s="99">
        <v>5.5629999999999997</v>
      </c>
      <c r="Q156" s="99">
        <v>6.625</v>
      </c>
      <c r="R156" s="99">
        <v>8.625</v>
      </c>
      <c r="S156" s="99">
        <v>10.75</v>
      </c>
      <c r="T156" s="99">
        <v>12.75</v>
      </c>
      <c r="U156" s="99">
        <v>14</v>
      </c>
      <c r="V156" s="99">
        <v>16</v>
      </c>
      <c r="W156" s="99">
        <v>18</v>
      </c>
      <c r="X156" s="99">
        <v>20</v>
      </c>
      <c r="Y156" s="99">
        <v>24</v>
      </c>
      <c r="Z156" s="99">
        <v>26</v>
      </c>
      <c r="AA156" s="99">
        <v>30</v>
      </c>
      <c r="AB156" s="99">
        <v>36</v>
      </c>
      <c r="AC156" s="99">
        <v>42</v>
      </c>
      <c r="AD156" s="100">
        <v>48</v>
      </c>
    </row>
    <row r="157" spans="1:32">
      <c r="A157" s="2"/>
      <c r="B157" s="101" t="s">
        <v>339</v>
      </c>
      <c r="C157" s="102">
        <v>6.5000000000000002E-2</v>
      </c>
      <c r="D157" s="103">
        <v>6.5000000000000002E-2</v>
      </c>
      <c r="E157" s="104">
        <v>8.3000000000000004E-2</v>
      </c>
      <c r="F157" s="104">
        <v>8.3000000000000004E-2</v>
      </c>
      <c r="G157" s="104">
        <v>0.109</v>
      </c>
      <c r="H157" s="104">
        <v>0.109</v>
      </c>
      <c r="I157" s="104">
        <v>0.109</v>
      </c>
      <c r="J157" s="104">
        <v>0.109</v>
      </c>
      <c r="K157" s="104">
        <v>0.12</v>
      </c>
      <c r="L157" s="104">
        <v>0.12</v>
      </c>
      <c r="M157" s="104">
        <v>0.12</v>
      </c>
      <c r="N157" s="104">
        <v>0.12</v>
      </c>
      <c r="O157" s="104">
        <v>0.247</v>
      </c>
      <c r="P157" s="104">
        <v>0.13400000000000001</v>
      </c>
      <c r="Q157" s="104">
        <v>0.13400000000000001</v>
      </c>
      <c r="R157" s="104">
        <v>0.14799999999999999</v>
      </c>
      <c r="S157" s="104">
        <v>0.16500000000000001</v>
      </c>
      <c r="T157" s="104">
        <v>0.18</v>
      </c>
      <c r="U157" s="104">
        <v>0.188</v>
      </c>
      <c r="V157" s="104">
        <v>0.188</v>
      </c>
      <c r="W157" s="104">
        <v>0.188</v>
      </c>
      <c r="X157" s="104">
        <v>0.218</v>
      </c>
      <c r="Y157" s="104">
        <v>0.25</v>
      </c>
      <c r="Z157" s="104">
        <v>0.25</v>
      </c>
      <c r="AA157" s="104">
        <v>0.312</v>
      </c>
      <c r="AB157" s="104">
        <v>0.312</v>
      </c>
      <c r="AC157" s="104">
        <v>0.375</v>
      </c>
      <c r="AD157" s="105">
        <v>0.375</v>
      </c>
    </row>
    <row r="158" spans="1:32">
      <c r="B158" s="106"/>
      <c r="C158" s="107">
        <v>8.7999999999999995E-2</v>
      </c>
      <c r="D158" s="108">
        <v>9.0999999999999998E-2</v>
      </c>
      <c r="E158" s="108">
        <v>0.109</v>
      </c>
      <c r="F158" s="108">
        <v>0.113</v>
      </c>
      <c r="G158" s="108">
        <v>0.13300000000000001</v>
      </c>
      <c r="H158" s="108">
        <v>0.14000000000000001</v>
      </c>
      <c r="I158" s="108">
        <v>0.14499999999999999</v>
      </c>
      <c r="J158" s="108">
        <v>0.154</v>
      </c>
      <c r="K158" s="108">
        <v>0.20300000000000001</v>
      </c>
      <c r="L158" s="108">
        <v>0.216</v>
      </c>
      <c r="M158" s="108">
        <v>0.22600000000000001</v>
      </c>
      <c r="N158" s="108">
        <v>0.125</v>
      </c>
      <c r="O158" s="108">
        <v>0.35499999999999998</v>
      </c>
      <c r="P158" s="108">
        <v>0.156</v>
      </c>
      <c r="Q158" s="108">
        <v>0.188</v>
      </c>
      <c r="R158" s="108">
        <v>0.188</v>
      </c>
      <c r="S158" s="108">
        <v>0.188</v>
      </c>
      <c r="T158" s="108">
        <v>0.20300000000000001</v>
      </c>
      <c r="U158" s="108">
        <v>0.21</v>
      </c>
      <c r="V158" s="108">
        <v>0.219</v>
      </c>
      <c r="W158" s="108">
        <v>0.25</v>
      </c>
      <c r="X158" s="108">
        <v>0.25</v>
      </c>
      <c r="Y158" s="108">
        <v>0.28100000000000003</v>
      </c>
      <c r="Z158" s="108">
        <v>0.28100000000000003</v>
      </c>
      <c r="AA158" s="108">
        <v>0.375</v>
      </c>
      <c r="AB158" s="108">
        <v>0.375</v>
      </c>
      <c r="AC158" s="108">
        <v>0.5</v>
      </c>
      <c r="AD158" s="109">
        <v>0.5</v>
      </c>
    </row>
    <row r="159" spans="1:32">
      <c r="B159" s="106"/>
      <c r="C159" s="107">
        <v>0.11899999999999999</v>
      </c>
      <c r="D159" s="108">
        <v>0.126</v>
      </c>
      <c r="E159" s="108">
        <v>0.14699999999999999</v>
      </c>
      <c r="F159" s="108">
        <v>0.154</v>
      </c>
      <c r="G159" s="108">
        <v>0.17899999999999999</v>
      </c>
      <c r="H159" s="108">
        <v>0.191</v>
      </c>
      <c r="I159" s="108">
        <v>0.2</v>
      </c>
      <c r="J159" s="108">
        <v>0.218</v>
      </c>
      <c r="K159" s="108">
        <v>0.27600000000000002</v>
      </c>
      <c r="L159" s="108">
        <v>0.3</v>
      </c>
      <c r="M159" s="108">
        <v>0.318</v>
      </c>
      <c r="N159" s="108">
        <v>0.156</v>
      </c>
      <c r="O159" s="110" t="s">
        <v>116</v>
      </c>
      <c r="P159" s="108">
        <v>0.188</v>
      </c>
      <c r="Q159" s="108">
        <v>0.219</v>
      </c>
      <c r="R159" s="108">
        <v>0.20300000000000001</v>
      </c>
      <c r="S159" s="108">
        <v>0.20300000000000001</v>
      </c>
      <c r="T159" s="108">
        <v>0.219</v>
      </c>
      <c r="U159" s="108">
        <v>0.219</v>
      </c>
      <c r="V159" s="108">
        <v>0.25</v>
      </c>
      <c r="W159" s="108">
        <v>0.28100000000000003</v>
      </c>
      <c r="X159" s="108">
        <v>0.28100000000000003</v>
      </c>
      <c r="Y159" s="108">
        <v>0.312</v>
      </c>
      <c r="Z159" s="108">
        <v>0.312</v>
      </c>
      <c r="AA159" s="108">
        <v>0.438</v>
      </c>
      <c r="AB159" s="108">
        <v>0.5</v>
      </c>
      <c r="AC159" s="111" t="s">
        <v>116</v>
      </c>
      <c r="AD159" s="112" t="s">
        <v>116</v>
      </c>
    </row>
    <row r="160" spans="1:32">
      <c r="B160" s="106"/>
      <c r="C160" s="113" t="s">
        <v>116</v>
      </c>
      <c r="D160" s="110" t="s">
        <v>116</v>
      </c>
      <c r="E160" s="108">
        <v>0.188</v>
      </c>
      <c r="F160" s="108">
        <v>0.219</v>
      </c>
      <c r="G160" s="108">
        <v>0.25</v>
      </c>
      <c r="H160" s="108">
        <v>0.25</v>
      </c>
      <c r="I160" s="108">
        <v>0.28100000000000003</v>
      </c>
      <c r="J160" s="108">
        <v>0.34399999999999997</v>
      </c>
      <c r="K160" s="108">
        <v>0.375</v>
      </c>
      <c r="L160" s="108">
        <v>0.438</v>
      </c>
      <c r="M160" s="108">
        <v>0.63600000000000001</v>
      </c>
      <c r="N160" s="108">
        <v>0.188</v>
      </c>
      <c r="O160" s="110" t="s">
        <v>116</v>
      </c>
      <c r="P160" s="108">
        <v>0.219</v>
      </c>
      <c r="Q160" s="108">
        <v>0.25</v>
      </c>
      <c r="R160" s="108">
        <v>0.219</v>
      </c>
      <c r="S160" s="108">
        <v>0.219</v>
      </c>
      <c r="T160" s="108">
        <v>0.25</v>
      </c>
      <c r="U160" s="108">
        <v>0.25</v>
      </c>
      <c r="V160" s="108">
        <v>0.28100000000000003</v>
      </c>
      <c r="W160" s="108">
        <v>0.312</v>
      </c>
      <c r="X160" s="108">
        <v>0.312</v>
      </c>
      <c r="Y160" s="108">
        <v>0.34399999999999997</v>
      </c>
      <c r="Z160" s="108">
        <v>0.34399999999999997</v>
      </c>
      <c r="AA160" s="108">
        <v>0.5</v>
      </c>
      <c r="AB160" s="108">
        <v>0.625</v>
      </c>
      <c r="AC160" s="110" t="s">
        <v>116</v>
      </c>
      <c r="AD160" s="114" t="s">
        <v>116</v>
      </c>
    </row>
    <row r="161" spans="2:30">
      <c r="B161" s="106"/>
      <c r="C161" s="113" t="s">
        <v>116</v>
      </c>
      <c r="D161" s="110" t="s">
        <v>116</v>
      </c>
      <c r="E161" s="108">
        <v>0.29399999999999998</v>
      </c>
      <c r="F161" s="108">
        <v>0.308</v>
      </c>
      <c r="G161" s="108">
        <v>0.35799999999999998</v>
      </c>
      <c r="H161" s="108">
        <v>0.35799999999999998</v>
      </c>
      <c r="I161" s="108">
        <v>0.4</v>
      </c>
      <c r="J161" s="108">
        <v>0.436</v>
      </c>
      <c r="K161" s="108">
        <v>0.55200000000000005</v>
      </c>
      <c r="L161" s="108">
        <v>0.6</v>
      </c>
      <c r="M161" s="110" t="s">
        <v>116</v>
      </c>
      <c r="N161" s="108">
        <v>0.219</v>
      </c>
      <c r="O161" s="110" t="s">
        <v>116</v>
      </c>
      <c r="P161" s="108">
        <v>0.25800000000000001</v>
      </c>
      <c r="Q161" s="108">
        <v>0.28000000000000003</v>
      </c>
      <c r="R161" s="108">
        <v>0.25</v>
      </c>
      <c r="S161" s="108">
        <v>0.25</v>
      </c>
      <c r="T161" s="108">
        <v>0.28100000000000003</v>
      </c>
      <c r="U161" s="108">
        <v>0.28100000000000003</v>
      </c>
      <c r="V161" s="108">
        <v>0.312</v>
      </c>
      <c r="W161" s="108">
        <v>0.34399999999999997</v>
      </c>
      <c r="X161" s="108">
        <v>0.34399999999999997</v>
      </c>
      <c r="Y161" s="108">
        <v>0.375</v>
      </c>
      <c r="Z161" s="108">
        <v>0.375</v>
      </c>
      <c r="AA161" s="108">
        <v>0.625</v>
      </c>
      <c r="AB161" s="108">
        <v>0.75</v>
      </c>
      <c r="AC161" s="110" t="s">
        <v>116</v>
      </c>
      <c r="AD161" s="114" t="s">
        <v>116</v>
      </c>
    </row>
    <row r="162" spans="2:30">
      <c r="B162" s="106"/>
      <c r="C162" s="113" t="s">
        <v>116</v>
      </c>
      <c r="D162" s="110" t="s">
        <v>116</v>
      </c>
      <c r="E162" s="110" t="s">
        <v>116</v>
      </c>
      <c r="F162" s="110" t="s">
        <v>116</v>
      </c>
      <c r="G162" s="108">
        <v>0.38200000000000001</v>
      </c>
      <c r="H162" s="110" t="s">
        <v>116</v>
      </c>
      <c r="I162" s="110" t="s">
        <v>116</v>
      </c>
      <c r="J162" s="110" t="s">
        <v>116</v>
      </c>
      <c r="K162" s="110" t="s">
        <v>116</v>
      </c>
      <c r="L162" s="110" t="s">
        <v>116</v>
      </c>
      <c r="M162" s="110" t="s">
        <v>116</v>
      </c>
      <c r="N162" s="108">
        <v>0.23699999999999999</v>
      </c>
      <c r="O162" s="110" t="s">
        <v>116</v>
      </c>
      <c r="P162" s="108">
        <v>0.28100000000000003</v>
      </c>
      <c r="Q162" s="108">
        <v>0.312</v>
      </c>
      <c r="R162" s="108">
        <v>0.27700000000000002</v>
      </c>
      <c r="S162" s="108">
        <v>0.27900000000000003</v>
      </c>
      <c r="T162" s="108">
        <v>0.312</v>
      </c>
      <c r="U162" s="108">
        <v>0.312</v>
      </c>
      <c r="V162" s="108">
        <v>0.34399999999999997</v>
      </c>
      <c r="W162" s="108">
        <v>0.375</v>
      </c>
      <c r="X162" s="108">
        <v>0.375</v>
      </c>
      <c r="Y162" s="108">
        <v>0.40600000000000003</v>
      </c>
      <c r="Z162" s="108">
        <v>0.40600000000000003</v>
      </c>
      <c r="AA162" s="110" t="s">
        <v>116</v>
      </c>
      <c r="AB162" s="110" t="s">
        <v>116</v>
      </c>
      <c r="AC162" s="110" t="s">
        <v>116</v>
      </c>
      <c r="AD162" s="114" t="s">
        <v>116</v>
      </c>
    </row>
    <row r="163" spans="2:30">
      <c r="B163" s="106"/>
      <c r="C163" s="113" t="s">
        <v>116</v>
      </c>
      <c r="D163" s="110" t="s">
        <v>116</v>
      </c>
      <c r="E163" s="110" t="s">
        <v>116</v>
      </c>
      <c r="F163" s="110" t="s">
        <v>116</v>
      </c>
      <c r="G163" s="110" t="s">
        <v>116</v>
      </c>
      <c r="H163" s="110" t="s">
        <v>116</v>
      </c>
      <c r="I163" s="110" t="s">
        <v>116</v>
      </c>
      <c r="J163" s="110" t="s">
        <v>116</v>
      </c>
      <c r="K163" s="110" t="s">
        <v>116</v>
      </c>
      <c r="L163" s="110" t="s">
        <v>116</v>
      </c>
      <c r="M163" s="110" t="s">
        <v>116</v>
      </c>
      <c r="N163" s="108">
        <v>0.25</v>
      </c>
      <c r="O163" s="110" t="s">
        <v>116</v>
      </c>
      <c r="P163" s="108">
        <v>0.312</v>
      </c>
      <c r="Q163" s="108">
        <v>0.34399999999999997</v>
      </c>
      <c r="R163" s="108">
        <v>0.312</v>
      </c>
      <c r="S163" s="108">
        <v>0.307</v>
      </c>
      <c r="T163" s="108">
        <v>0.33</v>
      </c>
      <c r="U163" s="108">
        <v>0.34399999999999997</v>
      </c>
      <c r="V163" s="108">
        <v>0.375</v>
      </c>
      <c r="W163" s="108">
        <v>0.438</v>
      </c>
      <c r="X163" s="108">
        <v>0.40600000000000003</v>
      </c>
      <c r="Y163" s="108">
        <v>0.438</v>
      </c>
      <c r="Z163" s="108">
        <v>0.438</v>
      </c>
      <c r="AA163" s="110" t="s">
        <v>116</v>
      </c>
      <c r="AB163" s="110" t="s">
        <v>116</v>
      </c>
      <c r="AC163" s="110" t="s">
        <v>116</v>
      </c>
      <c r="AD163" s="114" t="s">
        <v>116</v>
      </c>
    </row>
    <row r="164" spans="2:30">
      <c r="B164" s="106"/>
      <c r="C164" s="113" t="s">
        <v>116</v>
      </c>
      <c r="D164" s="110" t="s">
        <v>116</v>
      </c>
      <c r="E164" s="110" t="s">
        <v>116</v>
      </c>
      <c r="F164" s="110" t="s">
        <v>116</v>
      </c>
      <c r="G164" s="110" t="s">
        <v>116</v>
      </c>
      <c r="H164" s="110" t="s">
        <v>116</v>
      </c>
      <c r="I164" s="110" t="s">
        <v>116</v>
      </c>
      <c r="J164" s="110" t="s">
        <v>116</v>
      </c>
      <c r="K164" s="110" t="s">
        <v>116</v>
      </c>
      <c r="L164" s="110" t="s">
        <v>116</v>
      </c>
      <c r="M164" s="110" t="s">
        <v>116</v>
      </c>
      <c r="N164" s="108">
        <v>0.28100000000000003</v>
      </c>
      <c r="O164" s="110" t="s">
        <v>116</v>
      </c>
      <c r="P164" s="108">
        <v>0.34399999999999997</v>
      </c>
      <c r="Q164" s="108">
        <v>0.375</v>
      </c>
      <c r="R164" s="108">
        <v>0.32200000000000001</v>
      </c>
      <c r="S164" s="108">
        <v>0.34399999999999997</v>
      </c>
      <c r="T164" s="108">
        <v>0.34399999999999997</v>
      </c>
      <c r="U164" s="108">
        <v>0.375</v>
      </c>
      <c r="V164" s="108">
        <v>0.438</v>
      </c>
      <c r="W164" s="108">
        <v>0.46899999999999997</v>
      </c>
      <c r="X164" s="108">
        <v>0.438</v>
      </c>
      <c r="Y164" s="108">
        <v>0.46899999999999997</v>
      </c>
      <c r="Z164" s="108">
        <v>0.5</v>
      </c>
      <c r="AA164" s="110" t="s">
        <v>116</v>
      </c>
      <c r="AB164" s="110" t="s">
        <v>116</v>
      </c>
      <c r="AC164" s="110" t="s">
        <v>116</v>
      </c>
      <c r="AD164" s="114" t="s">
        <v>116</v>
      </c>
    </row>
    <row r="165" spans="2:30">
      <c r="B165" s="115"/>
      <c r="C165" s="113" t="s">
        <v>116</v>
      </c>
      <c r="D165" s="110" t="s">
        <v>116</v>
      </c>
      <c r="E165" s="110" t="s">
        <v>116</v>
      </c>
      <c r="F165" s="110" t="s">
        <v>116</v>
      </c>
      <c r="G165" s="110" t="s">
        <v>116</v>
      </c>
      <c r="H165" s="110" t="s">
        <v>116</v>
      </c>
      <c r="I165" s="110" t="s">
        <v>116</v>
      </c>
      <c r="J165" s="110" t="s">
        <v>116</v>
      </c>
      <c r="K165" s="110" t="s">
        <v>116</v>
      </c>
      <c r="L165" s="110" t="s">
        <v>116</v>
      </c>
      <c r="M165" s="110" t="s">
        <v>116</v>
      </c>
      <c r="N165" s="108">
        <v>0.312</v>
      </c>
      <c r="O165" s="110" t="s">
        <v>116</v>
      </c>
      <c r="P165" s="108">
        <v>0.375</v>
      </c>
      <c r="Q165" s="108">
        <v>0.432</v>
      </c>
      <c r="R165" s="108">
        <v>0.34399999999999997</v>
      </c>
      <c r="S165" s="108">
        <v>0.36499999999999999</v>
      </c>
      <c r="T165" s="108">
        <v>0.375</v>
      </c>
      <c r="U165" s="108">
        <v>0.438</v>
      </c>
      <c r="V165" s="108">
        <v>0.5</v>
      </c>
      <c r="W165" s="108">
        <v>0.5</v>
      </c>
      <c r="X165" s="108">
        <v>0.46899999999999997</v>
      </c>
      <c r="Y165" s="108">
        <v>0.5</v>
      </c>
      <c r="Z165" s="108">
        <v>0.56200000000000006</v>
      </c>
      <c r="AA165" s="110" t="s">
        <v>116</v>
      </c>
      <c r="AB165" s="110" t="s">
        <v>116</v>
      </c>
      <c r="AC165" s="110" t="s">
        <v>116</v>
      </c>
      <c r="AD165" s="114" t="s">
        <v>116</v>
      </c>
    </row>
    <row r="166" spans="2:30">
      <c r="B166" s="115"/>
      <c r="C166" s="113" t="s">
        <v>116</v>
      </c>
      <c r="D166" s="110" t="s">
        <v>116</v>
      </c>
      <c r="E166" s="110" t="s">
        <v>116</v>
      </c>
      <c r="F166" s="110" t="s">
        <v>116</v>
      </c>
      <c r="G166" s="110" t="s">
        <v>116</v>
      </c>
      <c r="H166" s="110" t="s">
        <v>116</v>
      </c>
      <c r="I166" s="110" t="s">
        <v>116</v>
      </c>
      <c r="J166" s="110" t="s">
        <v>116</v>
      </c>
      <c r="K166" s="110" t="s">
        <v>116</v>
      </c>
      <c r="L166" s="110" t="s">
        <v>116</v>
      </c>
      <c r="M166" s="110" t="s">
        <v>116</v>
      </c>
      <c r="N166" s="108">
        <v>0.33700000000000002</v>
      </c>
      <c r="O166" s="110" t="s">
        <v>116</v>
      </c>
      <c r="P166" s="108">
        <v>0.5</v>
      </c>
      <c r="Q166" s="108">
        <v>0.5</v>
      </c>
      <c r="R166" s="108">
        <v>0.375</v>
      </c>
      <c r="S166" s="108">
        <v>0.438</v>
      </c>
      <c r="T166" s="108">
        <v>0.40600000000000003</v>
      </c>
      <c r="U166" s="108">
        <v>0.46899999999999997</v>
      </c>
      <c r="V166" s="108">
        <v>0.65600000000000003</v>
      </c>
      <c r="W166" s="108">
        <v>0.56200000000000006</v>
      </c>
      <c r="X166" s="108">
        <v>0.5</v>
      </c>
      <c r="Y166" s="108">
        <v>0.56200000000000006</v>
      </c>
      <c r="Z166" s="110" t="s">
        <v>116</v>
      </c>
      <c r="AA166" s="110" t="s">
        <v>116</v>
      </c>
      <c r="AB166" s="110" t="s">
        <v>116</v>
      </c>
      <c r="AC166" s="110" t="s">
        <v>116</v>
      </c>
      <c r="AD166" s="114" t="s">
        <v>116</v>
      </c>
    </row>
    <row r="167" spans="2:30">
      <c r="B167" s="115"/>
      <c r="C167" s="113" t="s">
        <v>116</v>
      </c>
      <c r="D167" s="110" t="s">
        <v>116</v>
      </c>
      <c r="E167" s="110" t="s">
        <v>116</v>
      </c>
      <c r="F167" s="110" t="s">
        <v>116</v>
      </c>
      <c r="G167" s="110" t="s">
        <v>116</v>
      </c>
      <c r="H167" s="110" t="s">
        <v>116</v>
      </c>
      <c r="I167" s="110" t="s">
        <v>116</v>
      </c>
      <c r="J167" s="110" t="s">
        <v>116</v>
      </c>
      <c r="K167" s="110" t="s">
        <v>116</v>
      </c>
      <c r="L167" s="110" t="s">
        <v>116</v>
      </c>
      <c r="M167" s="110" t="s">
        <v>116</v>
      </c>
      <c r="N167" s="108">
        <v>0.438</v>
      </c>
      <c r="O167" s="110" t="s">
        <v>116</v>
      </c>
      <c r="P167" s="108">
        <v>0.625</v>
      </c>
      <c r="Q167" s="108">
        <v>0.56200000000000006</v>
      </c>
      <c r="R167" s="108">
        <v>0.40600000000000003</v>
      </c>
      <c r="S167" s="108">
        <v>0.5</v>
      </c>
      <c r="T167" s="108">
        <v>0.438</v>
      </c>
      <c r="U167" s="108">
        <v>0.5</v>
      </c>
      <c r="V167" s="108">
        <v>0.81200000000000006</v>
      </c>
      <c r="W167" s="108">
        <v>0.65600000000000003</v>
      </c>
      <c r="X167" s="108">
        <v>0.59399999999999997</v>
      </c>
      <c r="Y167" s="108">
        <v>0.68799999999999994</v>
      </c>
      <c r="Z167" s="110" t="s">
        <v>116</v>
      </c>
      <c r="AA167" s="110" t="s">
        <v>116</v>
      </c>
      <c r="AB167" s="110" t="s">
        <v>116</v>
      </c>
      <c r="AC167" s="110" t="s">
        <v>116</v>
      </c>
      <c r="AD167" s="114" t="s">
        <v>116</v>
      </c>
    </row>
    <row r="168" spans="2:30">
      <c r="B168" s="115"/>
      <c r="C168" s="113" t="s">
        <v>116</v>
      </c>
      <c r="D168" s="110" t="s">
        <v>116</v>
      </c>
      <c r="E168" s="110" t="s">
        <v>116</v>
      </c>
      <c r="F168" s="110" t="s">
        <v>116</v>
      </c>
      <c r="G168" s="110" t="s">
        <v>116</v>
      </c>
      <c r="H168" s="110" t="s">
        <v>116</v>
      </c>
      <c r="I168" s="110" t="s">
        <v>116</v>
      </c>
      <c r="J168" s="110" t="s">
        <v>116</v>
      </c>
      <c r="K168" s="110" t="s">
        <v>116</v>
      </c>
      <c r="L168" s="110" t="s">
        <v>116</v>
      </c>
      <c r="M168" s="110" t="s">
        <v>116</v>
      </c>
      <c r="N168" s="108">
        <v>0.53100000000000003</v>
      </c>
      <c r="O168" s="110" t="s">
        <v>116</v>
      </c>
      <c r="P168" s="108">
        <v>0.75</v>
      </c>
      <c r="Q168" s="108">
        <v>0.71899999999999997</v>
      </c>
      <c r="R168" s="108">
        <v>0.438</v>
      </c>
      <c r="S168" s="108">
        <v>0.59399999999999997</v>
      </c>
      <c r="T168" s="108">
        <v>0.5</v>
      </c>
      <c r="U168" s="108">
        <v>0.59399999999999997</v>
      </c>
      <c r="V168" s="108">
        <v>0.84399999999999997</v>
      </c>
      <c r="W168" s="108">
        <v>0.68799999999999994</v>
      </c>
      <c r="X168" s="108">
        <v>0.81200000000000006</v>
      </c>
      <c r="Y168" s="108">
        <v>0.93799999999999994</v>
      </c>
      <c r="Z168" s="110" t="s">
        <v>116</v>
      </c>
      <c r="AA168" s="110" t="s">
        <v>116</v>
      </c>
      <c r="AB168" s="110" t="s">
        <v>116</v>
      </c>
      <c r="AC168" s="110" t="s">
        <v>116</v>
      </c>
      <c r="AD168" s="114" t="s">
        <v>116</v>
      </c>
    </row>
    <row r="169" spans="2:30">
      <c r="B169" s="115"/>
      <c r="C169" s="113" t="s">
        <v>116</v>
      </c>
      <c r="D169" s="110" t="s">
        <v>116</v>
      </c>
      <c r="E169" s="110" t="s">
        <v>116</v>
      </c>
      <c r="F169" s="110" t="s">
        <v>116</v>
      </c>
      <c r="G169" s="110" t="s">
        <v>116</v>
      </c>
      <c r="H169" s="110" t="s">
        <v>116</v>
      </c>
      <c r="I169" s="110" t="s">
        <v>116</v>
      </c>
      <c r="J169" s="110" t="s">
        <v>116</v>
      </c>
      <c r="K169" s="110" t="s">
        <v>116</v>
      </c>
      <c r="L169" s="110" t="s">
        <v>116</v>
      </c>
      <c r="M169" s="110" t="s">
        <v>116</v>
      </c>
      <c r="N169" s="108">
        <v>0.67400000000000004</v>
      </c>
      <c r="O169" s="110" t="s">
        <v>116</v>
      </c>
      <c r="P169" s="110" t="s">
        <v>116</v>
      </c>
      <c r="Q169" s="108">
        <v>0.86399999999999999</v>
      </c>
      <c r="R169" s="108">
        <v>0.5</v>
      </c>
      <c r="S169" s="108">
        <v>0.71899999999999997</v>
      </c>
      <c r="T169" s="108">
        <v>0.56200000000000006</v>
      </c>
      <c r="U169" s="108">
        <v>0.75</v>
      </c>
      <c r="V169" s="108">
        <v>1.0309999999999999</v>
      </c>
      <c r="W169" s="108">
        <v>0.75</v>
      </c>
      <c r="X169" s="108">
        <v>1.0309999999999999</v>
      </c>
      <c r="Y169" s="108">
        <v>0.96899999999999997</v>
      </c>
      <c r="Z169" s="110" t="s">
        <v>116</v>
      </c>
      <c r="AA169" s="110" t="s">
        <v>116</v>
      </c>
      <c r="AB169" s="110" t="s">
        <v>116</v>
      </c>
      <c r="AC169" s="110" t="s">
        <v>116</v>
      </c>
      <c r="AD169" s="114" t="s">
        <v>116</v>
      </c>
    </row>
    <row r="170" spans="2:30">
      <c r="B170" s="115"/>
      <c r="C170" s="113" t="s">
        <v>116</v>
      </c>
      <c r="D170" s="110" t="s">
        <v>116</v>
      </c>
      <c r="E170" s="110" t="s">
        <v>116</v>
      </c>
      <c r="F170" s="110" t="s">
        <v>116</v>
      </c>
      <c r="G170" s="110" t="s">
        <v>116</v>
      </c>
      <c r="H170" s="110" t="s">
        <v>116</v>
      </c>
      <c r="I170" s="110" t="s">
        <v>116</v>
      </c>
      <c r="J170" s="110" t="s">
        <v>116</v>
      </c>
      <c r="K170" s="110" t="s">
        <v>116</v>
      </c>
      <c r="L170" s="110" t="s">
        <v>116</v>
      </c>
      <c r="M170" s="110" t="s">
        <v>116</v>
      </c>
      <c r="N170" s="110" t="s">
        <v>116</v>
      </c>
      <c r="O170" s="110" t="s">
        <v>116</v>
      </c>
      <c r="P170" s="110" t="s">
        <v>116</v>
      </c>
      <c r="Q170" s="110" t="s">
        <v>116</v>
      </c>
      <c r="R170" s="108">
        <v>0.59399999999999997</v>
      </c>
      <c r="S170" s="108">
        <v>0.84399999999999997</v>
      </c>
      <c r="T170" s="108">
        <v>0.68799999999999994</v>
      </c>
      <c r="U170" s="108">
        <v>0.93799999999999994</v>
      </c>
      <c r="V170" s="108">
        <v>1.22</v>
      </c>
      <c r="W170" s="108">
        <v>0.93799999999999994</v>
      </c>
      <c r="X170" s="108">
        <v>1.2809999999999999</v>
      </c>
      <c r="Y170" s="108">
        <v>1.2190000000000001</v>
      </c>
      <c r="Z170" s="110" t="s">
        <v>116</v>
      </c>
      <c r="AA170" s="110" t="s">
        <v>116</v>
      </c>
      <c r="AB170" s="110" t="s">
        <v>116</v>
      </c>
      <c r="AC170" s="110" t="s">
        <v>116</v>
      </c>
      <c r="AD170" s="114" t="s">
        <v>116</v>
      </c>
    </row>
    <row r="171" spans="2:30">
      <c r="B171" s="115"/>
      <c r="C171" s="113" t="s">
        <v>116</v>
      </c>
      <c r="D171" s="110" t="s">
        <v>116</v>
      </c>
      <c r="E171" s="110" t="s">
        <v>116</v>
      </c>
      <c r="F171" s="110" t="s">
        <v>116</v>
      </c>
      <c r="G171" s="110" t="s">
        <v>116</v>
      </c>
      <c r="H171" s="110" t="s">
        <v>116</v>
      </c>
      <c r="I171" s="110" t="s">
        <v>116</v>
      </c>
      <c r="J171" s="110" t="s">
        <v>116</v>
      </c>
      <c r="K171" s="110" t="s">
        <v>116</v>
      </c>
      <c r="L171" s="110" t="s">
        <v>116</v>
      </c>
      <c r="M171" s="110" t="s">
        <v>116</v>
      </c>
      <c r="N171" s="110" t="s">
        <v>116</v>
      </c>
      <c r="O171" s="110" t="s">
        <v>116</v>
      </c>
      <c r="P171" s="110" t="s">
        <v>116</v>
      </c>
      <c r="Q171" s="110" t="s">
        <v>116</v>
      </c>
      <c r="R171" s="108">
        <v>0.71899999999999997</v>
      </c>
      <c r="S171" s="108">
        <v>1</v>
      </c>
      <c r="T171" s="108">
        <v>0.84399999999999997</v>
      </c>
      <c r="U171" s="108">
        <v>1.0940000000000001</v>
      </c>
      <c r="V171" s="108">
        <v>1.2809999999999999</v>
      </c>
      <c r="W171" s="108">
        <v>1.1559999999999999</v>
      </c>
      <c r="X171" s="108">
        <v>1.5</v>
      </c>
      <c r="Y171" s="108">
        <v>1.5309999999999999</v>
      </c>
      <c r="Z171" s="110" t="s">
        <v>116</v>
      </c>
      <c r="AA171" s="110" t="s">
        <v>116</v>
      </c>
      <c r="AB171" s="110" t="s">
        <v>116</v>
      </c>
      <c r="AC171" s="110" t="s">
        <v>116</v>
      </c>
      <c r="AD171" s="114" t="s">
        <v>116</v>
      </c>
    </row>
    <row r="172" spans="2:30">
      <c r="B172" s="115"/>
      <c r="C172" s="113" t="s">
        <v>116</v>
      </c>
      <c r="D172" s="110" t="s">
        <v>116</v>
      </c>
      <c r="E172" s="110" t="s">
        <v>116</v>
      </c>
      <c r="F172" s="110" t="s">
        <v>116</v>
      </c>
      <c r="G172" s="110" t="s">
        <v>116</v>
      </c>
      <c r="H172" s="110" t="s">
        <v>116</v>
      </c>
      <c r="I172" s="110" t="s">
        <v>116</v>
      </c>
      <c r="J172" s="110" t="s">
        <v>116</v>
      </c>
      <c r="K172" s="110" t="s">
        <v>116</v>
      </c>
      <c r="L172" s="110" t="s">
        <v>116</v>
      </c>
      <c r="M172" s="110" t="s">
        <v>116</v>
      </c>
      <c r="N172" s="110" t="s">
        <v>116</v>
      </c>
      <c r="O172" s="110" t="s">
        <v>116</v>
      </c>
      <c r="P172" s="110" t="s">
        <v>116</v>
      </c>
      <c r="Q172" s="110" t="s">
        <v>116</v>
      </c>
      <c r="R172" s="108">
        <v>0.81200000000000006</v>
      </c>
      <c r="S172" s="108">
        <v>1.125</v>
      </c>
      <c r="T172" s="108">
        <v>1</v>
      </c>
      <c r="U172" s="108">
        <v>1.25</v>
      </c>
      <c r="V172" s="108">
        <v>1.4379999999999999</v>
      </c>
      <c r="W172" s="108">
        <v>1.375</v>
      </c>
      <c r="X172" s="108">
        <v>1.75</v>
      </c>
      <c r="Y172" s="108">
        <v>1.8120000000000001</v>
      </c>
      <c r="Z172" s="110" t="s">
        <v>116</v>
      </c>
      <c r="AA172" s="110" t="s">
        <v>116</v>
      </c>
      <c r="AB172" s="110" t="s">
        <v>116</v>
      </c>
      <c r="AC172" s="110" t="s">
        <v>116</v>
      </c>
      <c r="AD172" s="114" t="s">
        <v>116</v>
      </c>
    </row>
    <row r="173" spans="2:30">
      <c r="B173" s="115"/>
      <c r="C173" s="113" t="s">
        <v>116</v>
      </c>
      <c r="D173" s="110" t="s">
        <v>116</v>
      </c>
      <c r="E173" s="110" t="s">
        <v>116</v>
      </c>
      <c r="F173" s="110" t="s">
        <v>116</v>
      </c>
      <c r="G173" s="110" t="s">
        <v>116</v>
      </c>
      <c r="H173" s="110" t="s">
        <v>116</v>
      </c>
      <c r="I173" s="110" t="s">
        <v>116</v>
      </c>
      <c r="J173" s="110" t="s">
        <v>116</v>
      </c>
      <c r="K173" s="110" t="s">
        <v>116</v>
      </c>
      <c r="L173" s="110" t="s">
        <v>116</v>
      </c>
      <c r="M173" s="110" t="s">
        <v>116</v>
      </c>
      <c r="N173" s="110" t="s">
        <v>116</v>
      </c>
      <c r="O173" s="110" t="s">
        <v>116</v>
      </c>
      <c r="P173" s="110" t="s">
        <v>116</v>
      </c>
      <c r="Q173" s="110" t="s">
        <v>116</v>
      </c>
      <c r="R173" s="108">
        <v>0.875</v>
      </c>
      <c r="S173" s="110" t="s">
        <v>116</v>
      </c>
      <c r="T173" s="108">
        <v>1.125</v>
      </c>
      <c r="U173" s="108">
        <v>1.4059999999999999</v>
      </c>
      <c r="V173" s="108">
        <v>1.5</v>
      </c>
      <c r="W173" s="108">
        <v>1.5309999999999999</v>
      </c>
      <c r="X173" s="108">
        <v>1.9690000000000001</v>
      </c>
      <c r="Y173" s="108">
        <v>2.0619999999999998</v>
      </c>
      <c r="Z173" s="110" t="s">
        <v>116</v>
      </c>
      <c r="AA173" s="110" t="s">
        <v>116</v>
      </c>
      <c r="AB173" s="110" t="s">
        <v>116</v>
      </c>
      <c r="AC173" s="110" t="s">
        <v>116</v>
      </c>
      <c r="AD173" s="114" t="s">
        <v>116</v>
      </c>
    </row>
    <row r="174" spans="2:30">
      <c r="B174" s="115"/>
      <c r="C174" s="113" t="s">
        <v>116</v>
      </c>
      <c r="D174" s="110" t="s">
        <v>116</v>
      </c>
      <c r="E174" s="110" t="s">
        <v>116</v>
      </c>
      <c r="F174" s="110" t="s">
        <v>116</v>
      </c>
      <c r="G174" s="110" t="s">
        <v>116</v>
      </c>
      <c r="H174" s="110" t="s">
        <v>116</v>
      </c>
      <c r="I174" s="110" t="s">
        <v>116</v>
      </c>
      <c r="J174" s="110" t="s">
        <v>116</v>
      </c>
      <c r="K174" s="110" t="s">
        <v>116</v>
      </c>
      <c r="L174" s="110" t="s">
        <v>116</v>
      </c>
      <c r="M174" s="110" t="s">
        <v>116</v>
      </c>
      <c r="N174" s="110" t="s">
        <v>116</v>
      </c>
      <c r="O174" s="110" t="s">
        <v>116</v>
      </c>
      <c r="P174" s="110" t="s">
        <v>116</v>
      </c>
      <c r="Q174" s="110" t="s">
        <v>116</v>
      </c>
      <c r="R174" s="108">
        <v>0.90600000000000003</v>
      </c>
      <c r="S174" s="110" t="s">
        <v>116</v>
      </c>
      <c r="T174" s="108">
        <v>1.3120000000000001</v>
      </c>
      <c r="U174" s="108">
        <v>2</v>
      </c>
      <c r="V174" s="108">
        <v>1.5940000000000001</v>
      </c>
      <c r="W174" s="108">
        <v>1.5620000000000001</v>
      </c>
      <c r="X174" s="110" t="s">
        <v>116</v>
      </c>
      <c r="Y174" s="108">
        <v>2.3439999999999999</v>
      </c>
      <c r="Z174" s="110" t="s">
        <v>116</v>
      </c>
      <c r="AA174" s="110" t="s">
        <v>116</v>
      </c>
      <c r="AB174" s="110" t="s">
        <v>116</v>
      </c>
      <c r="AC174" s="110" t="s">
        <v>116</v>
      </c>
      <c r="AD174" s="114" t="s">
        <v>116</v>
      </c>
    </row>
    <row r="175" spans="2:30">
      <c r="B175" s="115"/>
      <c r="C175" s="116" t="s">
        <v>116</v>
      </c>
      <c r="D175" s="117" t="s">
        <v>116</v>
      </c>
      <c r="E175" s="117" t="s">
        <v>116</v>
      </c>
      <c r="F175" s="117" t="s">
        <v>116</v>
      </c>
      <c r="G175" s="117" t="s">
        <v>116</v>
      </c>
      <c r="H175" s="117" t="s">
        <v>116</v>
      </c>
      <c r="I175" s="117" t="s">
        <v>116</v>
      </c>
      <c r="J175" s="117" t="s">
        <v>116</v>
      </c>
      <c r="K175" s="117" t="s">
        <v>116</v>
      </c>
      <c r="L175" s="117" t="s">
        <v>116</v>
      </c>
      <c r="M175" s="117" t="s">
        <v>116</v>
      </c>
      <c r="N175" s="117" t="s">
        <v>116</v>
      </c>
      <c r="O175" s="117" t="s">
        <v>116</v>
      </c>
      <c r="P175" s="117" t="s">
        <v>116</v>
      </c>
      <c r="Q175" s="117" t="s">
        <v>116</v>
      </c>
      <c r="R175" s="117" t="s">
        <v>116</v>
      </c>
      <c r="S175" s="117" t="s">
        <v>116</v>
      </c>
      <c r="T175" s="117" t="s">
        <v>116</v>
      </c>
      <c r="U175" s="99">
        <v>2.125</v>
      </c>
      <c r="V175" s="108">
        <v>1.75</v>
      </c>
      <c r="W175" s="108">
        <v>1.7809999999999999</v>
      </c>
      <c r="X175" s="117" t="s">
        <v>116</v>
      </c>
      <c r="Y175" s="117" t="s">
        <v>116</v>
      </c>
      <c r="Z175" s="117" t="s">
        <v>116</v>
      </c>
      <c r="AA175" s="117" t="s">
        <v>116</v>
      </c>
      <c r="AB175" s="117" t="s">
        <v>116</v>
      </c>
      <c r="AC175" s="117" t="s">
        <v>116</v>
      </c>
      <c r="AD175" s="118" t="s">
        <v>116</v>
      </c>
    </row>
    <row r="176" spans="2:30">
      <c r="B176" s="115"/>
      <c r="C176" s="116" t="s">
        <v>116</v>
      </c>
      <c r="D176" s="117" t="s">
        <v>116</v>
      </c>
      <c r="E176" s="117" t="s">
        <v>116</v>
      </c>
      <c r="F176" s="117" t="s">
        <v>116</v>
      </c>
      <c r="G176" s="117" t="s">
        <v>116</v>
      </c>
      <c r="H176" s="117" t="s">
        <v>116</v>
      </c>
      <c r="I176" s="117" t="s">
        <v>116</v>
      </c>
      <c r="J176" s="117" t="s">
        <v>116</v>
      </c>
      <c r="K176" s="117" t="s">
        <v>116</v>
      </c>
      <c r="L176" s="117" t="s">
        <v>116</v>
      </c>
      <c r="M176" s="117" t="s">
        <v>116</v>
      </c>
      <c r="N176" s="117" t="s">
        <v>116</v>
      </c>
      <c r="O176" s="117" t="s">
        <v>116</v>
      </c>
      <c r="P176" s="117" t="s">
        <v>116</v>
      </c>
      <c r="Q176" s="117" t="s">
        <v>116</v>
      </c>
      <c r="R176" s="117" t="s">
        <v>116</v>
      </c>
      <c r="S176" s="117" t="s">
        <v>116</v>
      </c>
      <c r="T176" s="117" t="s">
        <v>116</v>
      </c>
      <c r="U176" s="99">
        <v>2.2000000000000002</v>
      </c>
      <c r="V176" s="108">
        <v>1.9690000000000001</v>
      </c>
      <c r="W176" s="108">
        <v>1.8120000000000001</v>
      </c>
      <c r="X176" s="117" t="s">
        <v>116</v>
      </c>
      <c r="Y176" s="117" t="s">
        <v>116</v>
      </c>
      <c r="Z176" s="117" t="s">
        <v>116</v>
      </c>
      <c r="AA176" s="117" t="s">
        <v>116</v>
      </c>
      <c r="AB176" s="117" t="s">
        <v>116</v>
      </c>
      <c r="AC176" s="117" t="s">
        <v>116</v>
      </c>
      <c r="AD176" s="118" t="s">
        <v>116</v>
      </c>
    </row>
    <row r="177" spans="2:33">
      <c r="B177" s="115"/>
      <c r="C177" s="116" t="s">
        <v>116</v>
      </c>
      <c r="D177" s="117" t="s">
        <v>116</v>
      </c>
      <c r="E177" s="117" t="s">
        <v>116</v>
      </c>
      <c r="F177" s="117" t="s">
        <v>116</v>
      </c>
      <c r="G177" s="117" t="s">
        <v>116</v>
      </c>
      <c r="H177" s="117" t="s">
        <v>116</v>
      </c>
      <c r="I177" s="117" t="s">
        <v>116</v>
      </c>
      <c r="J177" s="117" t="s">
        <v>116</v>
      </c>
      <c r="K177" s="117" t="s">
        <v>116</v>
      </c>
      <c r="L177" s="117" t="s">
        <v>116</v>
      </c>
      <c r="M177" s="117" t="s">
        <v>116</v>
      </c>
      <c r="N177" s="117" t="s">
        <v>116</v>
      </c>
      <c r="O177" s="117" t="s">
        <v>116</v>
      </c>
      <c r="P177" s="117" t="s">
        <v>116</v>
      </c>
      <c r="Q177" s="117" t="s">
        <v>116</v>
      </c>
      <c r="R177" s="117" t="s">
        <v>116</v>
      </c>
      <c r="S177" s="117" t="s">
        <v>116</v>
      </c>
      <c r="T177" s="117" t="s">
        <v>116</v>
      </c>
      <c r="U177" s="99">
        <v>2.5</v>
      </c>
      <c r="V177" s="117" t="s">
        <v>116</v>
      </c>
      <c r="W177" s="108">
        <v>2.0619999999999998</v>
      </c>
      <c r="X177" s="117" t="s">
        <v>116</v>
      </c>
      <c r="Y177" s="117" t="s">
        <v>116</v>
      </c>
      <c r="Z177" s="117" t="s">
        <v>116</v>
      </c>
      <c r="AA177" s="117" t="s">
        <v>116</v>
      </c>
      <c r="AB177" s="117" t="s">
        <v>116</v>
      </c>
      <c r="AC177" s="117" t="s">
        <v>116</v>
      </c>
      <c r="AD177" s="118" t="s">
        <v>116</v>
      </c>
    </row>
    <row r="178" spans="2:33" ht="15" thickBot="1">
      <c r="B178" s="119"/>
      <c r="C178" s="120" t="s">
        <v>116</v>
      </c>
      <c r="D178" s="121" t="s">
        <v>116</v>
      </c>
      <c r="E178" s="121" t="s">
        <v>116</v>
      </c>
      <c r="F178" s="121" t="s">
        <v>116</v>
      </c>
      <c r="G178" s="121" t="s">
        <v>116</v>
      </c>
      <c r="H178" s="121" t="s">
        <v>116</v>
      </c>
      <c r="I178" s="121" t="s">
        <v>116</v>
      </c>
      <c r="J178" s="121" t="s">
        <v>116</v>
      </c>
      <c r="K178" s="121" t="s">
        <v>116</v>
      </c>
      <c r="L178" s="121" t="s">
        <v>116</v>
      </c>
      <c r="M178" s="121" t="s">
        <v>116</v>
      </c>
      <c r="N178" s="121" t="s">
        <v>116</v>
      </c>
      <c r="O178" s="121" t="s">
        <v>116</v>
      </c>
      <c r="P178" s="121" t="s">
        <v>116</v>
      </c>
      <c r="Q178" s="121" t="s">
        <v>116</v>
      </c>
      <c r="R178" s="121" t="s">
        <v>116</v>
      </c>
      <c r="S178" s="121" t="s">
        <v>116</v>
      </c>
      <c r="T178" s="121" t="s">
        <v>116</v>
      </c>
      <c r="U178" s="121" t="s">
        <v>116</v>
      </c>
      <c r="V178" s="121" t="s">
        <v>116</v>
      </c>
      <c r="W178" s="122">
        <v>2.3439999999999999</v>
      </c>
      <c r="X178" s="121" t="s">
        <v>116</v>
      </c>
      <c r="Y178" s="121" t="s">
        <v>116</v>
      </c>
      <c r="Z178" s="121" t="s">
        <v>116</v>
      </c>
      <c r="AA178" s="121" t="s">
        <v>116</v>
      </c>
      <c r="AB178" s="121" t="s">
        <v>116</v>
      </c>
      <c r="AC178" s="121" t="s">
        <v>116</v>
      </c>
      <c r="AD178" s="123" t="s">
        <v>116</v>
      </c>
    </row>
    <row r="180" spans="2:33" ht="15" thickBot="1"/>
    <row r="181" spans="2:33">
      <c r="B181" s="124" t="s">
        <v>340</v>
      </c>
      <c r="C181" s="208" t="s">
        <v>341</v>
      </c>
      <c r="D181" s="209"/>
      <c r="E181" s="209"/>
      <c r="F181" s="209"/>
      <c r="G181" s="209"/>
      <c r="H181" s="209"/>
      <c r="I181" s="209"/>
      <c r="J181" s="209"/>
      <c r="K181" s="209"/>
      <c r="L181" s="209"/>
      <c r="M181" s="209"/>
      <c r="N181" s="209"/>
      <c r="O181" s="209"/>
      <c r="P181" s="209"/>
      <c r="Q181" s="209"/>
      <c r="R181" s="209"/>
      <c r="S181" s="209"/>
      <c r="T181" s="209"/>
      <c r="U181" s="209"/>
      <c r="V181" s="209"/>
      <c r="W181" s="209"/>
      <c r="X181" s="210"/>
    </row>
    <row r="182" spans="2:33" ht="15" thickBot="1">
      <c r="B182" s="125">
        <f>'Highway Loading'!C12</f>
        <v>12</v>
      </c>
      <c r="C182" s="126">
        <f>HLOOKUP($B$182,$C$155:$AD$178,3,FALSE)</f>
        <v>0.18</v>
      </c>
      <c r="D182" s="122">
        <f>HLOOKUP($B$182,$C$155:$AD$178,4,FALSE)</f>
        <v>0.20300000000000001</v>
      </c>
      <c r="E182" s="122">
        <f>HLOOKUP($B$182,$C$155:$AD$178,5,FALSE)</f>
        <v>0.219</v>
      </c>
      <c r="F182" s="122">
        <f>HLOOKUP($B$182,$C$155:$AD$178,6,FALSE)</f>
        <v>0.25</v>
      </c>
      <c r="G182" s="122">
        <f>HLOOKUP($B$182,$C$155:$AD$178,7,FALSE)</f>
        <v>0.28100000000000003</v>
      </c>
      <c r="H182" s="122">
        <f>HLOOKUP($B$182,$C$155:$AD$178,8,FALSE)</f>
        <v>0.312</v>
      </c>
      <c r="I182" s="122">
        <f>HLOOKUP($B$182,$C$155:$AD$178,9,FALSE)</f>
        <v>0.33</v>
      </c>
      <c r="J182" s="122">
        <f>HLOOKUP($B$182,$C$155:$AD$178,10,FALSE)</f>
        <v>0.34399999999999997</v>
      </c>
      <c r="K182" s="122">
        <f>HLOOKUP($B$182,$C$155:$AD$178,11,FALSE)</f>
        <v>0.375</v>
      </c>
      <c r="L182" s="122">
        <f>HLOOKUP($B$182,$C$155:$AD$178,12,FALSE)</f>
        <v>0.40600000000000003</v>
      </c>
      <c r="M182" s="122">
        <f>HLOOKUP($B$182,$C$155:$AD$178,13,FALSE)</f>
        <v>0.438</v>
      </c>
      <c r="N182" s="122">
        <f>HLOOKUP($B$182,$C$155:$AD$178,14,FALSE)</f>
        <v>0.5</v>
      </c>
      <c r="O182" s="122">
        <f>HLOOKUP($B$182,$C$155:$AD$178,15,FALSE)</f>
        <v>0.56200000000000006</v>
      </c>
      <c r="P182" s="122">
        <f>HLOOKUP($B$182,$C$155:$AD$178,16,FALSE)</f>
        <v>0.68799999999999994</v>
      </c>
      <c r="Q182" s="122">
        <f>HLOOKUP($B$182,$C$155:$AD$178,17,FALSE)</f>
        <v>0.84399999999999997</v>
      </c>
      <c r="R182" s="122">
        <f>HLOOKUP($B$182,$C$155:$AD$178,18,FALSE)</f>
        <v>1</v>
      </c>
      <c r="S182" s="122">
        <f>HLOOKUP($B$182,$C$155:$AD$178,19,FALSE)</f>
        <v>1.125</v>
      </c>
      <c r="T182" s="122">
        <f>HLOOKUP($B$182,$C$155:$AD$178,20,FALSE)</f>
        <v>1.3120000000000001</v>
      </c>
      <c r="U182" s="122" t="str">
        <f>HLOOKUP($B$182,$C$155:$AD$178,21,FALSE)</f>
        <v/>
      </c>
      <c r="V182" s="127" t="str">
        <f>HLOOKUP($B$182,$C$155:$AD$178,22,FALSE)</f>
        <v/>
      </c>
      <c r="W182" s="127" t="str">
        <f>HLOOKUP($B$182,$C$155:$AD$178,23,FALSE)</f>
        <v/>
      </c>
      <c r="X182" s="128" t="str">
        <f>HLOOKUP($B$182,$C$155:$AD$178,24,FALSE)</f>
        <v/>
      </c>
      <c r="Y182" s="129" t="s">
        <v>342</v>
      </c>
    </row>
    <row r="183" spans="2:33" ht="15" thickBot="1"/>
    <row r="184" spans="2:33" ht="15" thickBot="1">
      <c r="B184" s="130" t="s">
        <v>343</v>
      </c>
      <c r="C184" s="217" t="s">
        <v>344</v>
      </c>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c r="AA184" s="218"/>
      <c r="AB184" s="218"/>
      <c r="AC184" s="218"/>
      <c r="AD184" s="218"/>
      <c r="AE184" s="218"/>
      <c r="AF184" s="218"/>
      <c r="AG184" s="219"/>
    </row>
    <row r="185" spans="2:33">
      <c r="B185" s="92" t="s">
        <v>345</v>
      </c>
      <c r="C185" s="131" t="s">
        <v>346</v>
      </c>
      <c r="D185" s="132" t="s">
        <v>347</v>
      </c>
      <c r="E185" s="133" t="s">
        <v>116</v>
      </c>
      <c r="F185" s="133" t="s">
        <v>116</v>
      </c>
      <c r="G185" s="133" t="s">
        <v>116</v>
      </c>
      <c r="H185" s="133" t="s">
        <v>116</v>
      </c>
      <c r="I185" s="133" t="s">
        <v>116</v>
      </c>
      <c r="J185" s="133" t="s">
        <v>116</v>
      </c>
      <c r="K185" s="133" t="s">
        <v>116</v>
      </c>
      <c r="L185" s="133" t="s">
        <v>116</v>
      </c>
      <c r="M185" s="133" t="s">
        <v>116</v>
      </c>
      <c r="N185" s="133" t="s">
        <v>116</v>
      </c>
      <c r="O185" s="133" t="s">
        <v>116</v>
      </c>
      <c r="P185" s="133" t="s">
        <v>116</v>
      </c>
      <c r="Q185" s="133" t="s">
        <v>116</v>
      </c>
      <c r="R185" s="133" t="s">
        <v>116</v>
      </c>
      <c r="S185" s="133" t="s">
        <v>116</v>
      </c>
      <c r="T185" s="133" t="s">
        <v>116</v>
      </c>
      <c r="U185" s="133" t="s">
        <v>116</v>
      </c>
      <c r="V185" s="133" t="s">
        <v>116</v>
      </c>
      <c r="W185" s="133" t="s">
        <v>116</v>
      </c>
      <c r="X185" s="133" t="s">
        <v>116</v>
      </c>
      <c r="Y185" s="133" t="s">
        <v>116</v>
      </c>
      <c r="Z185" s="133" t="s">
        <v>116</v>
      </c>
      <c r="AA185" s="133" t="s">
        <v>116</v>
      </c>
      <c r="AB185" s="133" t="s">
        <v>116</v>
      </c>
      <c r="AC185" s="133" t="s">
        <v>116</v>
      </c>
      <c r="AD185" s="133" t="s">
        <v>116</v>
      </c>
      <c r="AE185" s="133" t="s">
        <v>116</v>
      </c>
      <c r="AF185" s="133" t="s">
        <v>116</v>
      </c>
      <c r="AG185" s="134" t="s">
        <v>116</v>
      </c>
    </row>
    <row r="186" spans="2:33">
      <c r="B186" s="135" t="s">
        <v>348</v>
      </c>
      <c r="C186" s="136" t="s">
        <v>346</v>
      </c>
      <c r="D186" s="137" t="s">
        <v>347</v>
      </c>
      <c r="E186" s="138" t="s">
        <v>116</v>
      </c>
      <c r="F186" s="138" t="s">
        <v>116</v>
      </c>
      <c r="G186" s="138" t="s">
        <v>116</v>
      </c>
      <c r="H186" s="138" t="s">
        <v>116</v>
      </c>
      <c r="I186" s="138" t="s">
        <v>116</v>
      </c>
      <c r="J186" s="138" t="s">
        <v>116</v>
      </c>
      <c r="K186" s="138" t="s">
        <v>116</v>
      </c>
      <c r="L186" s="138" t="s">
        <v>116</v>
      </c>
      <c r="M186" s="138" t="s">
        <v>116</v>
      </c>
      <c r="N186" s="138" t="s">
        <v>116</v>
      </c>
      <c r="O186" s="138" t="s">
        <v>116</v>
      </c>
      <c r="P186" s="138" t="s">
        <v>116</v>
      </c>
      <c r="Q186" s="138" t="s">
        <v>116</v>
      </c>
      <c r="R186" s="138" t="s">
        <v>116</v>
      </c>
      <c r="S186" s="138" t="s">
        <v>116</v>
      </c>
      <c r="T186" s="138" t="s">
        <v>116</v>
      </c>
      <c r="U186" s="138" t="s">
        <v>116</v>
      </c>
      <c r="V186" s="138" t="s">
        <v>116</v>
      </c>
      <c r="W186" s="138" t="s">
        <v>116</v>
      </c>
      <c r="X186" s="138" t="s">
        <v>116</v>
      </c>
      <c r="Y186" s="138" t="s">
        <v>116</v>
      </c>
      <c r="Z186" s="138" t="s">
        <v>116</v>
      </c>
      <c r="AA186" s="138" t="s">
        <v>116</v>
      </c>
      <c r="AB186" s="138" t="s">
        <v>116</v>
      </c>
      <c r="AC186" s="138" t="s">
        <v>116</v>
      </c>
      <c r="AD186" s="138" t="s">
        <v>116</v>
      </c>
      <c r="AE186" s="138" t="s">
        <v>116</v>
      </c>
      <c r="AF186" s="138" t="s">
        <v>116</v>
      </c>
      <c r="AG186" s="139" t="s">
        <v>116</v>
      </c>
    </row>
    <row r="187" spans="2:33">
      <c r="B187" s="135" t="s">
        <v>349</v>
      </c>
      <c r="C187" s="136" t="s">
        <v>350</v>
      </c>
      <c r="D187" s="137" t="s">
        <v>351</v>
      </c>
      <c r="E187" s="137" t="s">
        <v>352</v>
      </c>
      <c r="F187" s="137" t="s">
        <v>353</v>
      </c>
      <c r="G187" s="137" t="s">
        <v>354</v>
      </c>
      <c r="H187" s="137" t="s">
        <v>355</v>
      </c>
      <c r="I187" s="137" t="s">
        <v>356</v>
      </c>
      <c r="J187" s="137" t="s">
        <v>357</v>
      </c>
      <c r="K187" s="137" t="s">
        <v>358</v>
      </c>
      <c r="L187" s="138" t="s">
        <v>116</v>
      </c>
      <c r="M187" s="138" t="s">
        <v>116</v>
      </c>
      <c r="N187" s="138" t="s">
        <v>116</v>
      </c>
      <c r="O187" s="138" t="s">
        <v>116</v>
      </c>
      <c r="P187" s="138" t="s">
        <v>116</v>
      </c>
      <c r="Q187" s="138" t="s">
        <v>116</v>
      </c>
      <c r="R187" s="138" t="s">
        <v>116</v>
      </c>
      <c r="S187" s="138" t="s">
        <v>116</v>
      </c>
      <c r="T187" s="138" t="s">
        <v>116</v>
      </c>
      <c r="U187" s="138" t="s">
        <v>116</v>
      </c>
      <c r="V187" s="138" t="s">
        <v>116</v>
      </c>
      <c r="W187" s="138" t="s">
        <v>116</v>
      </c>
      <c r="X187" s="138" t="s">
        <v>116</v>
      </c>
      <c r="Y187" s="138" t="s">
        <v>116</v>
      </c>
      <c r="Z187" s="138" t="s">
        <v>116</v>
      </c>
      <c r="AA187" s="138" t="s">
        <v>116</v>
      </c>
      <c r="AB187" s="138" t="s">
        <v>116</v>
      </c>
      <c r="AC187" s="138" t="s">
        <v>116</v>
      </c>
      <c r="AD187" s="138" t="s">
        <v>116</v>
      </c>
      <c r="AE187" s="138" t="s">
        <v>116</v>
      </c>
      <c r="AF187" s="138" t="s">
        <v>116</v>
      </c>
      <c r="AG187" s="139" t="s">
        <v>116</v>
      </c>
    </row>
    <row r="188" spans="2:33">
      <c r="B188" s="135" t="s">
        <v>359</v>
      </c>
      <c r="C188" s="136" t="s">
        <v>360</v>
      </c>
      <c r="D188" s="137" t="s">
        <v>361</v>
      </c>
      <c r="E188" s="137" t="s">
        <v>362</v>
      </c>
      <c r="F188" s="137" t="s">
        <v>363</v>
      </c>
      <c r="G188" s="137" t="s">
        <v>364</v>
      </c>
      <c r="H188" s="137" t="s">
        <v>365</v>
      </c>
      <c r="I188" s="137" t="s">
        <v>366</v>
      </c>
      <c r="J188" s="137" t="s">
        <v>367</v>
      </c>
      <c r="K188" s="137" t="s">
        <v>368</v>
      </c>
      <c r="L188" s="137" t="s">
        <v>369</v>
      </c>
      <c r="M188" s="137" t="s">
        <v>370</v>
      </c>
      <c r="N188" s="137" t="s">
        <v>371</v>
      </c>
      <c r="O188" s="137" t="s">
        <v>372</v>
      </c>
      <c r="P188" s="137" t="s">
        <v>373</v>
      </c>
      <c r="Q188" s="137" t="s">
        <v>374</v>
      </c>
      <c r="R188" s="137" t="s">
        <v>375</v>
      </c>
      <c r="S188" s="137" t="s">
        <v>376</v>
      </c>
      <c r="T188" s="137" t="s">
        <v>377</v>
      </c>
      <c r="U188" s="137" t="s">
        <v>378</v>
      </c>
      <c r="V188" s="137" t="s">
        <v>379</v>
      </c>
      <c r="W188" s="137" t="s">
        <v>380</v>
      </c>
      <c r="X188" s="137" t="s">
        <v>381</v>
      </c>
      <c r="Y188" s="137" t="s">
        <v>382</v>
      </c>
      <c r="Z188" s="137" t="s">
        <v>383</v>
      </c>
      <c r="AA188" s="137" t="s">
        <v>384</v>
      </c>
      <c r="AB188" s="137" t="s">
        <v>385</v>
      </c>
      <c r="AC188" s="137" t="s">
        <v>386</v>
      </c>
      <c r="AD188" s="137" t="s">
        <v>387</v>
      </c>
      <c r="AE188" s="137" t="s">
        <v>388</v>
      </c>
      <c r="AF188" s="137" t="s">
        <v>389</v>
      </c>
      <c r="AG188" s="140" t="s">
        <v>390</v>
      </c>
    </row>
    <row r="189" spans="2:33">
      <c r="B189" s="135" t="s">
        <v>391</v>
      </c>
      <c r="C189" s="136" t="s">
        <v>392</v>
      </c>
      <c r="D189" s="137" t="s">
        <v>393</v>
      </c>
      <c r="E189" s="137" t="s">
        <v>394</v>
      </c>
      <c r="F189" s="137" t="s">
        <v>395</v>
      </c>
      <c r="G189" s="137" t="s">
        <v>396</v>
      </c>
      <c r="H189" s="137" t="s">
        <v>397</v>
      </c>
      <c r="I189" s="137" t="s">
        <v>398</v>
      </c>
      <c r="J189" s="137" t="s">
        <v>399</v>
      </c>
      <c r="K189" s="137" t="s">
        <v>400</v>
      </c>
      <c r="L189" s="137" t="s">
        <v>401</v>
      </c>
      <c r="M189" s="137" t="s">
        <v>402</v>
      </c>
      <c r="N189" s="137" t="s">
        <v>403</v>
      </c>
      <c r="O189" s="137" t="s">
        <v>404</v>
      </c>
      <c r="P189" s="137" t="s">
        <v>405</v>
      </c>
      <c r="Q189" s="137" t="s">
        <v>406</v>
      </c>
      <c r="R189" s="137" t="s">
        <v>407</v>
      </c>
      <c r="S189" s="137" t="s">
        <v>408</v>
      </c>
      <c r="T189" s="137" t="s">
        <v>409</v>
      </c>
      <c r="U189" s="137" t="s">
        <v>410</v>
      </c>
      <c r="V189" s="137" t="s">
        <v>411</v>
      </c>
      <c r="W189" s="137" t="s">
        <v>412</v>
      </c>
      <c r="X189" s="137" t="s">
        <v>413</v>
      </c>
      <c r="Y189" s="137" t="s">
        <v>414</v>
      </c>
      <c r="Z189" s="138" t="s">
        <v>116</v>
      </c>
      <c r="AA189" s="138" t="s">
        <v>116</v>
      </c>
      <c r="AB189" s="138" t="s">
        <v>116</v>
      </c>
      <c r="AC189" s="138" t="s">
        <v>116</v>
      </c>
      <c r="AD189" s="138" t="s">
        <v>116</v>
      </c>
      <c r="AE189" s="138" t="s">
        <v>116</v>
      </c>
      <c r="AF189" s="138" t="s">
        <v>116</v>
      </c>
      <c r="AG189" s="139" t="s">
        <v>116</v>
      </c>
    </row>
    <row r="190" spans="2:33">
      <c r="B190" s="135" t="s">
        <v>415</v>
      </c>
      <c r="C190" s="136" t="s">
        <v>416</v>
      </c>
      <c r="D190" s="137" t="s">
        <v>417</v>
      </c>
      <c r="E190" s="137" t="s">
        <v>418</v>
      </c>
      <c r="F190" s="137" t="s">
        <v>419</v>
      </c>
      <c r="G190" s="137" t="s">
        <v>420</v>
      </c>
      <c r="H190" s="137" t="s">
        <v>421</v>
      </c>
      <c r="I190" s="137" t="s">
        <v>422</v>
      </c>
      <c r="J190" s="137" t="s">
        <v>423</v>
      </c>
      <c r="K190" s="137" t="s">
        <v>424</v>
      </c>
      <c r="L190" s="137" t="s">
        <v>425</v>
      </c>
      <c r="M190" s="137" t="s">
        <v>426</v>
      </c>
      <c r="N190" s="137" t="s">
        <v>427</v>
      </c>
      <c r="O190" s="137" t="s">
        <v>428</v>
      </c>
      <c r="P190" s="137">
        <v>91</v>
      </c>
      <c r="Q190" s="138" t="s">
        <v>116</v>
      </c>
      <c r="R190" s="138" t="s">
        <v>116</v>
      </c>
      <c r="S190" s="138" t="s">
        <v>116</v>
      </c>
      <c r="T190" s="138" t="s">
        <v>116</v>
      </c>
      <c r="U190" s="138" t="s">
        <v>116</v>
      </c>
      <c r="V190" s="138" t="s">
        <v>116</v>
      </c>
      <c r="W190" s="138" t="s">
        <v>116</v>
      </c>
      <c r="X190" s="138" t="s">
        <v>116</v>
      </c>
      <c r="Y190" s="138" t="s">
        <v>116</v>
      </c>
      <c r="Z190" s="138" t="s">
        <v>116</v>
      </c>
      <c r="AA190" s="138" t="s">
        <v>116</v>
      </c>
      <c r="AB190" s="138" t="s">
        <v>116</v>
      </c>
      <c r="AC190" s="138" t="s">
        <v>116</v>
      </c>
      <c r="AD190" s="138" t="s">
        <v>116</v>
      </c>
      <c r="AE190" s="138" t="s">
        <v>116</v>
      </c>
      <c r="AF190" s="138" t="s">
        <v>116</v>
      </c>
      <c r="AG190" s="139" t="s">
        <v>116</v>
      </c>
    </row>
    <row r="191" spans="2:33">
      <c r="B191" s="135" t="s">
        <v>429</v>
      </c>
      <c r="C191" s="136" t="s">
        <v>430</v>
      </c>
      <c r="D191" s="137" t="s">
        <v>431</v>
      </c>
      <c r="E191" s="137" t="s">
        <v>432</v>
      </c>
      <c r="F191" s="137" t="s">
        <v>433</v>
      </c>
      <c r="G191" s="137" t="s">
        <v>434</v>
      </c>
      <c r="H191" s="137" t="s">
        <v>435</v>
      </c>
      <c r="I191" s="137" t="s">
        <v>436</v>
      </c>
      <c r="J191" s="137" t="s">
        <v>437</v>
      </c>
      <c r="K191" s="138" t="s">
        <v>116</v>
      </c>
      <c r="L191" s="138" t="s">
        <v>116</v>
      </c>
      <c r="M191" s="138" t="s">
        <v>116</v>
      </c>
      <c r="N191" s="138" t="s">
        <v>116</v>
      </c>
      <c r="O191" s="138" t="s">
        <v>116</v>
      </c>
      <c r="P191" s="138" t="s">
        <v>116</v>
      </c>
      <c r="Q191" s="138" t="s">
        <v>116</v>
      </c>
      <c r="R191" s="138" t="s">
        <v>116</v>
      </c>
      <c r="S191" s="138" t="s">
        <v>116</v>
      </c>
      <c r="T191" s="138" t="s">
        <v>116</v>
      </c>
      <c r="U191" s="138" t="s">
        <v>116</v>
      </c>
      <c r="V191" s="138" t="s">
        <v>116</v>
      </c>
      <c r="W191" s="138" t="s">
        <v>116</v>
      </c>
      <c r="X191" s="138" t="s">
        <v>116</v>
      </c>
      <c r="Y191" s="138" t="s">
        <v>116</v>
      </c>
      <c r="Z191" s="138" t="s">
        <v>116</v>
      </c>
      <c r="AA191" s="138" t="s">
        <v>116</v>
      </c>
      <c r="AB191" s="138" t="s">
        <v>116</v>
      </c>
      <c r="AC191" s="138" t="s">
        <v>116</v>
      </c>
      <c r="AD191" s="138" t="s">
        <v>116</v>
      </c>
      <c r="AE191" s="138" t="s">
        <v>116</v>
      </c>
      <c r="AF191" s="138" t="s">
        <v>116</v>
      </c>
      <c r="AG191" s="139" t="s">
        <v>116</v>
      </c>
    </row>
    <row r="192" spans="2:33" ht="15" thickBot="1">
      <c r="B192" s="141" t="s">
        <v>438</v>
      </c>
      <c r="C192" s="142" t="s">
        <v>438</v>
      </c>
      <c r="D192" s="143" t="s">
        <v>116</v>
      </c>
      <c r="E192" s="143" t="s">
        <v>116</v>
      </c>
      <c r="F192" s="143" t="s">
        <v>116</v>
      </c>
      <c r="G192" s="143" t="s">
        <v>116</v>
      </c>
      <c r="H192" s="143" t="s">
        <v>116</v>
      </c>
      <c r="I192" s="143" t="s">
        <v>116</v>
      </c>
      <c r="J192" s="143" t="s">
        <v>116</v>
      </c>
      <c r="K192" s="143" t="s">
        <v>116</v>
      </c>
      <c r="L192" s="143" t="s">
        <v>116</v>
      </c>
      <c r="M192" s="143" t="s">
        <v>116</v>
      </c>
      <c r="N192" s="143" t="s">
        <v>116</v>
      </c>
      <c r="O192" s="143" t="s">
        <v>116</v>
      </c>
      <c r="P192" s="143" t="s">
        <v>116</v>
      </c>
      <c r="Q192" s="143" t="s">
        <v>116</v>
      </c>
      <c r="R192" s="143" t="s">
        <v>116</v>
      </c>
      <c r="S192" s="143" t="s">
        <v>116</v>
      </c>
      <c r="T192" s="143" t="s">
        <v>116</v>
      </c>
      <c r="U192" s="143" t="s">
        <v>116</v>
      </c>
      <c r="V192" s="143" t="s">
        <v>116</v>
      </c>
      <c r="W192" s="143" t="s">
        <v>116</v>
      </c>
      <c r="X192" s="143" t="s">
        <v>116</v>
      </c>
      <c r="Y192" s="143" t="s">
        <v>116</v>
      </c>
      <c r="Z192" s="143" t="s">
        <v>116</v>
      </c>
      <c r="AA192" s="143" t="s">
        <v>116</v>
      </c>
      <c r="AB192" s="143" t="s">
        <v>116</v>
      </c>
      <c r="AC192" s="143" t="s">
        <v>116</v>
      </c>
      <c r="AD192" s="143" t="s">
        <v>116</v>
      </c>
      <c r="AE192" s="143" t="s">
        <v>116</v>
      </c>
      <c r="AF192" s="143" t="s">
        <v>116</v>
      </c>
      <c r="AG192" s="144" t="s">
        <v>116</v>
      </c>
    </row>
    <row r="194" spans="2:33" ht="15" thickBot="1"/>
    <row r="195" spans="2:33" ht="15" thickBot="1">
      <c r="B195" s="130" t="s">
        <v>343</v>
      </c>
      <c r="C195" s="217" t="s">
        <v>439</v>
      </c>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c r="AA195" s="218"/>
      <c r="AB195" s="218"/>
      <c r="AC195" s="218"/>
      <c r="AD195" s="218"/>
      <c r="AE195" s="218"/>
      <c r="AF195" s="218"/>
      <c r="AG195" s="219"/>
    </row>
    <row r="196" spans="2:33">
      <c r="B196" s="92" t="s">
        <v>345</v>
      </c>
      <c r="C196" s="131" t="s">
        <v>346</v>
      </c>
      <c r="D196" s="132" t="s">
        <v>347</v>
      </c>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45"/>
    </row>
    <row r="197" spans="2:33" ht="15" thickBot="1">
      <c r="B197" s="141" t="s">
        <v>440</v>
      </c>
      <c r="C197" s="146">
        <v>30000</v>
      </c>
      <c r="D197" s="147">
        <v>35000</v>
      </c>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8"/>
    </row>
    <row r="198" spans="2:33">
      <c r="B198" s="92" t="s">
        <v>348</v>
      </c>
      <c r="C198" s="131" t="s">
        <v>346</v>
      </c>
      <c r="D198" s="132" t="s">
        <v>347</v>
      </c>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45"/>
    </row>
    <row r="199" spans="2:33" ht="15" thickBot="1">
      <c r="B199" s="141" t="s">
        <v>441</v>
      </c>
      <c r="C199" s="146">
        <v>30000</v>
      </c>
      <c r="D199" s="147">
        <v>35000</v>
      </c>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c r="AC199" s="147"/>
      <c r="AD199" s="147"/>
      <c r="AE199" s="147"/>
      <c r="AF199" s="147"/>
      <c r="AG199" s="148"/>
    </row>
    <row r="200" spans="2:33">
      <c r="B200" s="92" t="s">
        <v>349</v>
      </c>
      <c r="C200" s="131" t="s">
        <v>350</v>
      </c>
      <c r="D200" s="132" t="s">
        <v>351</v>
      </c>
      <c r="E200" s="132" t="s">
        <v>352</v>
      </c>
      <c r="F200" s="132" t="s">
        <v>353</v>
      </c>
      <c r="G200" s="132" t="s">
        <v>354</v>
      </c>
      <c r="H200" s="132" t="s">
        <v>355</v>
      </c>
      <c r="I200" s="132" t="s">
        <v>356</v>
      </c>
      <c r="J200" s="132" t="s">
        <v>357</v>
      </c>
      <c r="K200" s="132" t="s">
        <v>358</v>
      </c>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45"/>
    </row>
    <row r="201" spans="2:33" ht="15" thickBot="1">
      <c r="B201" s="141" t="s">
        <v>442</v>
      </c>
      <c r="C201" s="146">
        <v>30000</v>
      </c>
      <c r="D201" s="147">
        <v>35000</v>
      </c>
      <c r="E201" s="147">
        <v>35000</v>
      </c>
      <c r="F201" s="147">
        <v>35000</v>
      </c>
      <c r="G201" s="147">
        <v>35000</v>
      </c>
      <c r="H201" s="147">
        <v>75000</v>
      </c>
      <c r="I201" s="147">
        <v>46000</v>
      </c>
      <c r="J201" s="147">
        <v>65000</v>
      </c>
      <c r="K201" s="147">
        <v>35000</v>
      </c>
      <c r="L201" s="147"/>
      <c r="M201" s="147"/>
      <c r="N201" s="147"/>
      <c r="O201" s="147"/>
      <c r="P201" s="147"/>
      <c r="Q201" s="147"/>
      <c r="R201" s="147"/>
      <c r="S201" s="147"/>
      <c r="T201" s="147"/>
      <c r="U201" s="147"/>
      <c r="V201" s="147"/>
      <c r="W201" s="147"/>
      <c r="X201" s="147"/>
      <c r="Y201" s="147"/>
      <c r="Z201" s="147"/>
      <c r="AA201" s="147"/>
      <c r="AB201" s="147"/>
      <c r="AC201" s="147"/>
      <c r="AD201" s="147"/>
      <c r="AE201" s="147"/>
      <c r="AF201" s="147"/>
      <c r="AG201" s="148"/>
    </row>
    <row r="202" spans="2:33">
      <c r="B202" s="92" t="s">
        <v>359</v>
      </c>
      <c r="C202" s="131" t="s">
        <v>360</v>
      </c>
      <c r="D202" s="132" t="s">
        <v>361</v>
      </c>
      <c r="E202" s="132" t="s">
        <v>362</v>
      </c>
      <c r="F202" s="132" t="s">
        <v>363</v>
      </c>
      <c r="G202" s="132" t="s">
        <v>364</v>
      </c>
      <c r="H202" s="132" t="s">
        <v>365</v>
      </c>
      <c r="I202" s="132" t="s">
        <v>366</v>
      </c>
      <c r="J202" s="132" t="s">
        <v>367</v>
      </c>
      <c r="K202" s="132" t="s">
        <v>368</v>
      </c>
      <c r="L202" s="132" t="s">
        <v>369</v>
      </c>
      <c r="M202" s="132" t="s">
        <v>370</v>
      </c>
      <c r="N202" s="132" t="s">
        <v>371</v>
      </c>
      <c r="O202" s="132" t="s">
        <v>372</v>
      </c>
      <c r="P202" s="132" t="s">
        <v>373</v>
      </c>
      <c r="Q202" s="132" t="s">
        <v>374</v>
      </c>
      <c r="R202" s="132" t="s">
        <v>375</v>
      </c>
      <c r="S202" s="132" t="s">
        <v>376</v>
      </c>
      <c r="T202" s="132" t="s">
        <v>377</v>
      </c>
      <c r="U202" s="132" t="s">
        <v>378</v>
      </c>
      <c r="V202" s="132" t="s">
        <v>379</v>
      </c>
      <c r="W202" s="132" t="s">
        <v>380</v>
      </c>
      <c r="X202" s="132" t="s">
        <v>381</v>
      </c>
      <c r="Y202" s="132" t="s">
        <v>382</v>
      </c>
      <c r="Z202" s="132" t="s">
        <v>383</v>
      </c>
      <c r="AA202" s="132" t="s">
        <v>384</v>
      </c>
      <c r="AB202" s="132" t="s">
        <v>385</v>
      </c>
      <c r="AC202" s="132" t="s">
        <v>386</v>
      </c>
      <c r="AD202" s="132" t="s">
        <v>387</v>
      </c>
      <c r="AE202" s="132" t="s">
        <v>388</v>
      </c>
      <c r="AF202" s="132" t="s">
        <v>389</v>
      </c>
      <c r="AG202" s="145" t="s">
        <v>390</v>
      </c>
    </row>
    <row r="203" spans="2:33" ht="15" thickBot="1">
      <c r="B203" s="141" t="s">
        <v>443</v>
      </c>
      <c r="C203" s="146">
        <v>30000</v>
      </c>
      <c r="D203" s="147">
        <v>32000</v>
      </c>
      <c r="E203" s="147">
        <v>35000</v>
      </c>
      <c r="F203" s="147">
        <v>38000</v>
      </c>
      <c r="G203" s="147">
        <v>32000</v>
      </c>
      <c r="H203" s="147">
        <v>35000</v>
      </c>
      <c r="I203" s="147">
        <v>38000</v>
      </c>
      <c r="J203" s="147">
        <v>50000</v>
      </c>
      <c r="K203" s="147">
        <v>60000</v>
      </c>
      <c r="L203" s="147">
        <v>37000</v>
      </c>
      <c r="M203" s="147">
        <v>40000</v>
      </c>
      <c r="N203" s="147">
        <v>37000</v>
      </c>
      <c r="O203" s="147">
        <v>40000</v>
      </c>
      <c r="P203" s="147">
        <v>100000</v>
      </c>
      <c r="Q203" s="147">
        <v>100000</v>
      </c>
      <c r="R203" s="147">
        <v>100000</v>
      </c>
      <c r="S203" s="147">
        <v>100000</v>
      </c>
      <c r="T203" s="147">
        <v>100000</v>
      </c>
      <c r="U203" s="147">
        <v>100000</v>
      </c>
      <c r="V203" s="147">
        <v>100000</v>
      </c>
      <c r="W203" s="147">
        <v>100000</v>
      </c>
      <c r="X203" s="147">
        <v>100000</v>
      </c>
      <c r="Y203" s="147">
        <v>100000</v>
      </c>
      <c r="Z203" s="147">
        <v>100000</v>
      </c>
      <c r="AA203" s="147">
        <v>100000</v>
      </c>
      <c r="AB203" s="147">
        <v>100000</v>
      </c>
      <c r="AC203" s="147">
        <v>100000</v>
      </c>
      <c r="AD203" s="147">
        <v>100000</v>
      </c>
      <c r="AE203" s="147">
        <v>42000</v>
      </c>
      <c r="AF203" s="147">
        <v>65000</v>
      </c>
      <c r="AG203" s="148">
        <v>75000</v>
      </c>
    </row>
    <row r="204" spans="2:33">
      <c r="B204" s="92" t="s">
        <v>391</v>
      </c>
      <c r="C204" s="131" t="s">
        <v>392</v>
      </c>
      <c r="D204" s="132" t="s">
        <v>393</v>
      </c>
      <c r="E204" s="132" t="s">
        <v>394</v>
      </c>
      <c r="F204" s="132" t="s">
        <v>395</v>
      </c>
      <c r="G204" s="132" t="s">
        <v>396</v>
      </c>
      <c r="H204" s="132" t="s">
        <v>397</v>
      </c>
      <c r="I204" s="132" t="s">
        <v>398</v>
      </c>
      <c r="J204" s="132" t="s">
        <v>399</v>
      </c>
      <c r="K204" s="132" t="s">
        <v>400</v>
      </c>
      <c r="L204" s="132" t="s">
        <v>401</v>
      </c>
      <c r="M204" s="132" t="s">
        <v>402</v>
      </c>
      <c r="N204" s="132" t="s">
        <v>403</v>
      </c>
      <c r="O204" s="132" t="s">
        <v>404</v>
      </c>
      <c r="P204" s="132" t="s">
        <v>405</v>
      </c>
      <c r="Q204" s="132" t="s">
        <v>406</v>
      </c>
      <c r="R204" s="132" t="s">
        <v>407</v>
      </c>
      <c r="S204" s="132" t="s">
        <v>408</v>
      </c>
      <c r="T204" s="132" t="s">
        <v>409</v>
      </c>
      <c r="U204" s="132" t="s">
        <v>410</v>
      </c>
      <c r="V204" s="132" t="s">
        <v>411</v>
      </c>
      <c r="W204" s="132" t="s">
        <v>412</v>
      </c>
      <c r="X204" s="132" t="s">
        <v>413</v>
      </c>
      <c r="Y204" s="132" t="s">
        <v>414</v>
      </c>
      <c r="Z204" s="132"/>
      <c r="AA204" s="132"/>
      <c r="AB204" s="132"/>
      <c r="AC204" s="132"/>
      <c r="AD204" s="132"/>
      <c r="AE204" s="132"/>
      <c r="AF204" s="132"/>
      <c r="AG204" s="145"/>
    </row>
    <row r="205" spans="2:33" ht="15" thickBot="1">
      <c r="B205" s="141" t="s">
        <v>444</v>
      </c>
      <c r="C205" s="146">
        <v>24000</v>
      </c>
      <c r="D205" s="147">
        <v>27000</v>
      </c>
      <c r="E205" s="147">
        <v>30000</v>
      </c>
      <c r="F205" s="147">
        <v>32000</v>
      </c>
      <c r="G205" s="147">
        <v>35000</v>
      </c>
      <c r="H205" s="147">
        <v>38000</v>
      </c>
      <c r="I205" s="147">
        <v>30000</v>
      </c>
      <c r="J205" s="147">
        <v>32000</v>
      </c>
      <c r="K205" s="147">
        <v>35000</v>
      </c>
      <c r="L205" s="147">
        <v>38000</v>
      </c>
      <c r="M205" s="147">
        <v>50000</v>
      </c>
      <c r="N205" s="147">
        <v>60000</v>
      </c>
      <c r="O205" s="147">
        <v>45000</v>
      </c>
      <c r="P205" s="147">
        <v>50000</v>
      </c>
      <c r="Q205" s="147">
        <v>50000</v>
      </c>
      <c r="R205" s="147">
        <v>70000</v>
      </c>
      <c r="S205" s="147">
        <v>83000</v>
      </c>
      <c r="T205" s="147">
        <v>45000</v>
      </c>
      <c r="U205" s="147">
        <v>47000</v>
      </c>
      <c r="V205" s="147">
        <v>37000</v>
      </c>
      <c r="W205" s="147">
        <v>40000</v>
      </c>
      <c r="X205" s="147">
        <v>43000</v>
      </c>
      <c r="Y205" s="147">
        <v>42000</v>
      </c>
      <c r="Z205" s="147"/>
      <c r="AA205" s="147"/>
      <c r="AB205" s="147"/>
      <c r="AC205" s="147"/>
      <c r="AD205" s="147"/>
      <c r="AE205" s="147"/>
      <c r="AF205" s="147"/>
      <c r="AG205" s="148"/>
    </row>
    <row r="206" spans="2:33">
      <c r="B206" s="92" t="s">
        <v>415</v>
      </c>
      <c r="C206" s="131" t="s">
        <v>416</v>
      </c>
      <c r="D206" s="132" t="s">
        <v>417</v>
      </c>
      <c r="E206" s="132" t="s">
        <v>418</v>
      </c>
      <c r="F206" s="132" t="s">
        <v>419</v>
      </c>
      <c r="G206" s="132" t="s">
        <v>420</v>
      </c>
      <c r="H206" s="132" t="s">
        <v>421</v>
      </c>
      <c r="I206" s="132" t="s">
        <v>422</v>
      </c>
      <c r="J206" s="132" t="s">
        <v>423</v>
      </c>
      <c r="K206" s="132" t="s">
        <v>424</v>
      </c>
      <c r="L206" s="132" t="s">
        <v>425</v>
      </c>
      <c r="M206" s="132" t="s">
        <v>426</v>
      </c>
      <c r="N206" s="132" t="s">
        <v>427</v>
      </c>
      <c r="O206" s="132" t="s">
        <v>428</v>
      </c>
      <c r="P206" s="132">
        <v>91</v>
      </c>
      <c r="Q206" s="132"/>
      <c r="R206" s="132"/>
      <c r="S206" s="132"/>
      <c r="T206" s="132"/>
      <c r="U206" s="132"/>
      <c r="V206" s="132"/>
      <c r="W206" s="132"/>
      <c r="X206" s="132"/>
      <c r="Y206" s="132"/>
      <c r="Z206" s="132"/>
      <c r="AA206" s="132"/>
      <c r="AB206" s="132"/>
      <c r="AC206" s="132"/>
      <c r="AD206" s="132"/>
      <c r="AE206" s="132"/>
      <c r="AF206" s="132"/>
      <c r="AG206" s="145"/>
    </row>
    <row r="207" spans="2:33" ht="15" thickBot="1">
      <c r="B207" s="141" t="s">
        <v>445</v>
      </c>
      <c r="C207" s="146">
        <v>37000</v>
      </c>
      <c r="D207" s="147">
        <v>40000</v>
      </c>
      <c r="E207" s="147">
        <v>43000</v>
      </c>
      <c r="F207" s="147">
        <v>50000</v>
      </c>
      <c r="G207" s="147">
        <v>42000</v>
      </c>
      <c r="H207" s="147">
        <v>60000</v>
      </c>
      <c r="I207" s="147">
        <v>45000</v>
      </c>
      <c r="J207" s="147">
        <v>40000</v>
      </c>
      <c r="K207" s="147">
        <v>45000</v>
      </c>
      <c r="L207" s="147">
        <v>45000</v>
      </c>
      <c r="M207" s="147">
        <v>45000</v>
      </c>
      <c r="N207" s="147">
        <v>45000</v>
      </c>
      <c r="O207" s="147">
        <v>45000</v>
      </c>
      <c r="P207" s="147">
        <v>60000</v>
      </c>
      <c r="Q207" s="147"/>
      <c r="R207" s="147"/>
      <c r="S207" s="147"/>
      <c r="T207" s="147"/>
      <c r="U207" s="147"/>
      <c r="V207" s="147"/>
      <c r="W207" s="147"/>
      <c r="X207" s="147"/>
      <c r="Y207" s="147"/>
      <c r="Z207" s="147"/>
      <c r="AA207" s="147"/>
      <c r="AB207" s="147"/>
      <c r="AC207" s="147"/>
      <c r="AD207" s="147"/>
      <c r="AE207" s="147"/>
      <c r="AF207" s="147"/>
      <c r="AG207" s="148"/>
    </row>
    <row r="208" spans="2:33">
      <c r="B208" s="92" t="s">
        <v>429</v>
      </c>
      <c r="C208" s="131" t="s">
        <v>430</v>
      </c>
      <c r="D208" s="132" t="s">
        <v>431</v>
      </c>
      <c r="E208" s="132" t="s">
        <v>432</v>
      </c>
      <c r="F208" s="132" t="s">
        <v>433</v>
      </c>
      <c r="G208" s="132" t="s">
        <v>434</v>
      </c>
      <c r="H208" s="132" t="s">
        <v>435</v>
      </c>
      <c r="I208" s="132" t="s">
        <v>436</v>
      </c>
      <c r="J208" s="132" t="s">
        <v>437</v>
      </c>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45"/>
    </row>
    <row r="209" spans="2:33" ht="15" thickBot="1">
      <c r="B209" s="141" t="s">
        <v>446</v>
      </c>
      <c r="C209" s="146">
        <v>42000</v>
      </c>
      <c r="D209" s="147">
        <v>46000</v>
      </c>
      <c r="E209" s="147">
        <v>52000</v>
      </c>
      <c r="F209" s="147">
        <v>56000</v>
      </c>
      <c r="G209" s="147">
        <v>60000</v>
      </c>
      <c r="H209" s="147">
        <v>65000</v>
      </c>
      <c r="I209" s="147">
        <v>70000</v>
      </c>
      <c r="J209" s="147">
        <v>80000</v>
      </c>
      <c r="K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8"/>
    </row>
    <row r="210" spans="2:33">
      <c r="B210" s="92" t="s">
        <v>438</v>
      </c>
      <c r="C210" s="131" t="s">
        <v>438</v>
      </c>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45"/>
    </row>
    <row r="211" spans="2:33" ht="15" thickBot="1">
      <c r="B211" s="141" t="s">
        <v>447</v>
      </c>
      <c r="C211" s="146">
        <v>24000</v>
      </c>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c r="AC211" s="147"/>
      <c r="AD211" s="147"/>
      <c r="AE211" s="147"/>
      <c r="AF211" s="147"/>
      <c r="AG211" s="148"/>
    </row>
    <row r="213" spans="2:33" ht="15" thickBot="1"/>
    <row r="214" spans="2:33" ht="15" thickBot="1">
      <c r="B214" s="149" t="s">
        <v>448</v>
      </c>
      <c r="C214" s="220" t="s">
        <v>449</v>
      </c>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c r="AA214" s="221"/>
      <c r="AB214" s="221"/>
      <c r="AC214" s="221"/>
      <c r="AD214" s="221"/>
      <c r="AE214" s="221"/>
      <c r="AF214" s="221"/>
      <c r="AG214" s="222"/>
    </row>
    <row r="215" spans="2:33">
      <c r="B215" s="150" t="str">
        <f>'Highway Loading'!C15</f>
        <v>API 5L</v>
      </c>
      <c r="C215" s="102" t="str">
        <f>VLOOKUP($B$215,$B$185:$AG$192,2,FALSE)</f>
        <v>X42</v>
      </c>
      <c r="D215" s="103" t="str">
        <f>VLOOKUP($B$215,$B$185:$AG$192,3,FALSE)</f>
        <v>X46</v>
      </c>
      <c r="E215" s="103" t="str">
        <f>VLOOKUP($B$215,$B$185:$AG$192,4,FALSE)</f>
        <v>X52</v>
      </c>
      <c r="F215" s="103" t="str">
        <f>VLOOKUP($B$215,$B$185:$AG$192,5,FALSE)</f>
        <v>X56</v>
      </c>
      <c r="G215" s="103" t="str">
        <f>VLOOKUP($B$215,$B$185:$AG$192,6,FALSE)</f>
        <v>X60</v>
      </c>
      <c r="H215" s="103" t="str">
        <f>VLOOKUP($B$215,$B$185:$AG$192,7,FALSE)</f>
        <v>X65</v>
      </c>
      <c r="I215" s="103" t="str">
        <f>VLOOKUP($B$215,$B$185:$AG$192,8,FALSE)</f>
        <v>X70</v>
      </c>
      <c r="J215" s="103" t="str">
        <f>VLOOKUP($B$215,$B$185:$AG$192,9,FALSE)</f>
        <v>X80</v>
      </c>
      <c r="K215" s="103" t="str">
        <f>VLOOKUP($B$215,$B$185:$AG$192,10,FALSE)</f>
        <v/>
      </c>
      <c r="L215" s="103" t="str">
        <f>VLOOKUP($B$215,$B$185:$AG$192,11,FALSE)</f>
        <v/>
      </c>
      <c r="M215" s="103" t="str">
        <f>VLOOKUP($B$215,$B$185:$AG$192,12,FALSE)</f>
        <v/>
      </c>
      <c r="N215" s="103" t="str">
        <f>VLOOKUP($B$215,$B$185:$AG$192,13,FALSE)</f>
        <v/>
      </c>
      <c r="O215" s="103" t="str">
        <f>VLOOKUP($B$215,$B$185:$AG$192,14,FALSE)</f>
        <v/>
      </c>
      <c r="P215" s="103" t="str">
        <f>VLOOKUP($B$215,$B$185:$AG$192,15,FALSE)</f>
        <v/>
      </c>
      <c r="Q215" s="103" t="str">
        <f>VLOOKUP($B$215,$B$185:$AG$192,16,FALSE)</f>
        <v/>
      </c>
      <c r="R215" s="103" t="str">
        <f>VLOOKUP($B$215,$B$185:$AG$192,17,FALSE)</f>
        <v/>
      </c>
      <c r="S215" s="103" t="str">
        <f>VLOOKUP($B$215,$B$185:$AG$192,18,FALSE)</f>
        <v/>
      </c>
      <c r="T215" s="103" t="str">
        <f>VLOOKUP($B$215,$B$185:$AG$192,19,FALSE)</f>
        <v/>
      </c>
      <c r="U215" s="103" t="str">
        <f>VLOOKUP($B$215,$B$185:$AG$192,20,FALSE)</f>
        <v/>
      </c>
      <c r="V215" s="103" t="str">
        <f>VLOOKUP($B$215,$B$185:$AG$192,21,FALSE)</f>
        <v/>
      </c>
      <c r="W215" s="103" t="str">
        <f>VLOOKUP($B$215,$B$185:$AG$192,22,FALSE)</f>
        <v/>
      </c>
      <c r="X215" s="103" t="str">
        <f>VLOOKUP($B$215,$B$185:$AG$192,23,FALSE)</f>
        <v/>
      </c>
      <c r="Y215" s="103" t="str">
        <f>VLOOKUP($B$215,$B$185:$AG$192,24,FALSE)</f>
        <v/>
      </c>
      <c r="Z215" s="103" t="str">
        <f>VLOOKUP($B$215,$B$185:$AG$192,25,FALSE)</f>
        <v/>
      </c>
      <c r="AA215" s="103" t="str">
        <f>VLOOKUP($B$215,$B$185:$AG$192,26,FALSE)</f>
        <v/>
      </c>
      <c r="AB215" s="103" t="str">
        <f>VLOOKUP($B$215,$B$185:$AG$192,27,FALSE)</f>
        <v/>
      </c>
      <c r="AC215" s="103" t="str">
        <f>VLOOKUP($B$215,$B$185:$AG$192,28,FALSE)</f>
        <v/>
      </c>
      <c r="AD215" s="103" t="str">
        <f>VLOOKUP($B$215,$B$185:$AG$192,29,FALSE)</f>
        <v/>
      </c>
      <c r="AE215" s="103" t="str">
        <f>VLOOKUP($B$215,$B$185:$AG$192,30,FALSE)</f>
        <v/>
      </c>
      <c r="AF215" s="103" t="str">
        <f>VLOOKUP($B$215,$B$185:$AG$192,31,FALSE)</f>
        <v/>
      </c>
      <c r="AG215" s="151" t="str">
        <f>VLOOKUP($B$215,$B$185:$AG$192,32,FALSE)</f>
        <v/>
      </c>
    </row>
    <row r="216" spans="2:33" ht="15" thickBot="1">
      <c r="B216" s="152" t="str" cm="1">
        <f t="array" ref="B216">INDEX($B$196:$B$211,MATCH($B$215,$B$196:$B$211,0)+1)</f>
        <v>API 5L SMYS</v>
      </c>
      <c r="C216" s="153">
        <f>VLOOKUP($B$216,$B$196:$AG$211,2,FALSE)</f>
        <v>42000</v>
      </c>
      <c r="D216" s="127">
        <f>VLOOKUP($B$216,$B$196:$AG$211,3,FALSE)</f>
        <v>46000</v>
      </c>
      <c r="E216" s="127">
        <f>VLOOKUP($B$216,$B$196:$AG$211,4,FALSE)</f>
        <v>52000</v>
      </c>
      <c r="F216" s="127">
        <f>VLOOKUP($B$216,$B$196:$AG$211,5,FALSE)</f>
        <v>56000</v>
      </c>
      <c r="G216" s="127">
        <f>VLOOKUP($B$216,$B$196:$AG$211,6,FALSE)</f>
        <v>60000</v>
      </c>
      <c r="H216" s="127">
        <f>VLOOKUP($B$216,$B$196:$AG$211,7,FALSE)</f>
        <v>65000</v>
      </c>
      <c r="I216" s="127">
        <f>VLOOKUP($B$216,$B$196:$AG$211,8,FALSE)</f>
        <v>70000</v>
      </c>
      <c r="J216" s="127">
        <f>VLOOKUP($B$216,$B$196:$AG$211,9,FALSE)</f>
        <v>80000</v>
      </c>
      <c r="K216" s="127">
        <f>VLOOKUP($B$216,$B$196:$AG$211,10,FALSE)</f>
        <v>0</v>
      </c>
      <c r="L216" s="127">
        <f>VLOOKUP($B$216,$B$196:$AG$211,11,FALSE)</f>
        <v>0</v>
      </c>
      <c r="M216" s="127">
        <f>VLOOKUP($B$216,$B$196:$AG$211,12,FALSE)</f>
        <v>0</v>
      </c>
      <c r="N216" s="127">
        <f>VLOOKUP($B$216,$B$196:$AG$211,13,FALSE)</f>
        <v>0</v>
      </c>
      <c r="O216" s="127">
        <f>VLOOKUP($B$216,$B$196:$AG$211,14,FALSE)</f>
        <v>0</v>
      </c>
      <c r="P216" s="127">
        <f>VLOOKUP($B$216,$B$196:$AG$211,15,FALSE)</f>
        <v>0</v>
      </c>
      <c r="Q216" s="127">
        <f>VLOOKUP($B$216,$B$196:$AG$211,16,FALSE)</f>
        <v>0</v>
      </c>
      <c r="R216" s="127">
        <f>VLOOKUP($B$216,$B$196:$AG$211,17,FALSE)</f>
        <v>0</v>
      </c>
      <c r="S216" s="127">
        <f>VLOOKUP($B$216,$B$196:$AG$211,18,FALSE)</f>
        <v>0</v>
      </c>
      <c r="T216" s="127">
        <f>VLOOKUP($B$216,$B$196:$AG$211,19,FALSE)</f>
        <v>0</v>
      </c>
      <c r="U216" s="127">
        <f>VLOOKUP($B$216,$B$196:$AG$211,20,FALSE)</f>
        <v>0</v>
      </c>
      <c r="V216" s="127">
        <f>VLOOKUP($B$216,$B$196:$AG$211,21,FALSE)</f>
        <v>0</v>
      </c>
      <c r="W216" s="127">
        <f>VLOOKUP($B$216,$B$196:$AG$211,22,FALSE)</f>
        <v>0</v>
      </c>
      <c r="X216" s="127">
        <f>VLOOKUP($B$216,$B$196:$AG$211,23,FALSE)</f>
        <v>0</v>
      </c>
      <c r="Y216" s="127">
        <f>VLOOKUP($B$216,$B$196:$AG$211,24,FALSE)</f>
        <v>0</v>
      </c>
      <c r="Z216" s="127">
        <f>VLOOKUP($B$216,$B$196:$AG$211,25,FALSE)</f>
        <v>0</v>
      </c>
      <c r="AA216" s="127">
        <f>VLOOKUP($B$216,$B$196:$AG$211,26,FALSE)</f>
        <v>0</v>
      </c>
      <c r="AB216" s="127">
        <f>VLOOKUP($B$216,$B$196:$AG$211,27,FALSE)</f>
        <v>0</v>
      </c>
      <c r="AC216" s="127">
        <f>VLOOKUP($B$216,$B$196:$AG$211,28,FALSE)</f>
        <v>0</v>
      </c>
      <c r="AD216" s="127">
        <f>VLOOKUP($B$216,$B$196:$AG$211,29,FALSE)</f>
        <v>0</v>
      </c>
      <c r="AE216" s="127">
        <f>VLOOKUP($B$216,$B$196:$AG$211,30,FALSE)</f>
        <v>0</v>
      </c>
      <c r="AF216" s="127">
        <f>VLOOKUP($B$216,$B$196:$AG$211,31,FALSE)</f>
        <v>0</v>
      </c>
      <c r="AG216" s="128">
        <f>VLOOKUP($B$216,$B$196:$AG$211,32,FALSE)</f>
        <v>0</v>
      </c>
    </row>
    <row r="217" spans="2:33">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row>
    <row r="218" spans="2:33" ht="15" thickBot="1"/>
    <row r="219" spans="2:33" ht="15" thickBot="1">
      <c r="B219" s="130" t="s">
        <v>343</v>
      </c>
      <c r="C219" s="223" t="s">
        <v>450</v>
      </c>
      <c r="D219" s="224"/>
      <c r="E219" s="224"/>
      <c r="F219" s="224"/>
      <c r="G219" s="225"/>
      <c r="H219" t="s">
        <v>451</v>
      </c>
    </row>
    <row r="220" spans="2:33">
      <c r="B220" s="92" t="s">
        <v>345</v>
      </c>
      <c r="C220" s="154" t="s">
        <v>67</v>
      </c>
      <c r="D220" s="155" t="s">
        <v>299</v>
      </c>
      <c r="E220" s="155" t="s">
        <v>68</v>
      </c>
      <c r="F220" s="133" t="s">
        <v>116</v>
      </c>
      <c r="G220" s="133" t="s">
        <v>116</v>
      </c>
      <c r="H220" t="s">
        <v>452</v>
      </c>
    </row>
    <row r="221" spans="2:33" ht="15" thickBot="1">
      <c r="B221" s="141" t="s">
        <v>453</v>
      </c>
      <c r="C221" s="156">
        <v>1</v>
      </c>
      <c r="D221" s="157">
        <v>1</v>
      </c>
      <c r="E221" s="157">
        <v>0.6</v>
      </c>
      <c r="F221" s="157"/>
      <c r="G221" s="157"/>
    </row>
    <row r="222" spans="2:33">
      <c r="B222" s="92" t="s">
        <v>348</v>
      </c>
      <c r="C222" s="154" t="s">
        <v>67</v>
      </c>
      <c r="D222" s="133" t="s">
        <v>116</v>
      </c>
      <c r="E222" s="133" t="s">
        <v>116</v>
      </c>
      <c r="F222" s="133" t="s">
        <v>116</v>
      </c>
      <c r="G222" s="133" t="s">
        <v>116</v>
      </c>
    </row>
    <row r="223" spans="2:33" ht="15" thickBot="1">
      <c r="B223" s="141" t="s">
        <v>454</v>
      </c>
      <c r="C223" s="156">
        <v>1</v>
      </c>
      <c r="D223" s="157"/>
      <c r="E223" s="157"/>
      <c r="F223" s="157"/>
      <c r="G223" s="157"/>
    </row>
    <row r="224" spans="2:33">
      <c r="B224" s="92" t="s">
        <v>349</v>
      </c>
      <c r="C224" s="154" t="s">
        <v>67</v>
      </c>
      <c r="D224" s="155" t="s">
        <v>299</v>
      </c>
      <c r="E224" s="155" t="s">
        <v>71</v>
      </c>
      <c r="F224" s="133" t="s">
        <v>116</v>
      </c>
      <c r="G224" s="133" t="s">
        <v>116</v>
      </c>
    </row>
    <row r="225" spans="2:33" ht="15" thickBot="1">
      <c r="B225" s="141" t="s">
        <v>455</v>
      </c>
      <c r="C225" s="156">
        <v>1</v>
      </c>
      <c r="D225" s="157">
        <v>1</v>
      </c>
      <c r="E225" s="157">
        <v>1</v>
      </c>
      <c r="F225" s="157"/>
      <c r="G225" s="157"/>
    </row>
    <row r="226" spans="2:33">
      <c r="B226" s="92" t="s">
        <v>359</v>
      </c>
      <c r="C226" s="154" t="s">
        <v>456</v>
      </c>
      <c r="D226" s="155" t="s">
        <v>457</v>
      </c>
      <c r="E226" s="133" t="s">
        <v>116</v>
      </c>
      <c r="F226" s="133" t="s">
        <v>116</v>
      </c>
      <c r="G226" s="133" t="s">
        <v>116</v>
      </c>
      <c r="H226" t="s">
        <v>458</v>
      </c>
    </row>
    <row r="227" spans="2:33" ht="15" thickBot="1">
      <c r="B227" s="141" t="s">
        <v>459</v>
      </c>
      <c r="C227" s="156">
        <v>1</v>
      </c>
      <c r="D227" s="157">
        <v>0.8</v>
      </c>
      <c r="E227" s="157"/>
      <c r="F227" s="157"/>
      <c r="G227" s="157"/>
    </row>
    <row r="228" spans="2:33">
      <c r="B228" s="92" t="s">
        <v>391</v>
      </c>
      <c r="C228" s="154" t="s">
        <v>456</v>
      </c>
      <c r="D228" s="155" t="s">
        <v>457</v>
      </c>
      <c r="E228" s="133" t="s">
        <v>116</v>
      </c>
      <c r="F228" s="133" t="s">
        <v>116</v>
      </c>
      <c r="G228" s="133" t="s">
        <v>116</v>
      </c>
      <c r="H228" t="s">
        <v>460</v>
      </c>
    </row>
    <row r="229" spans="2:33" ht="15" thickBot="1">
      <c r="B229" s="141" t="s">
        <v>461</v>
      </c>
      <c r="C229" s="156">
        <v>1</v>
      </c>
      <c r="D229" s="157">
        <v>0.8</v>
      </c>
      <c r="E229" s="157"/>
      <c r="F229" s="157"/>
      <c r="G229" s="157"/>
    </row>
    <row r="230" spans="2:33">
      <c r="B230" s="92" t="s">
        <v>415</v>
      </c>
      <c r="C230" s="154" t="s">
        <v>456</v>
      </c>
      <c r="D230" s="155" t="s">
        <v>457</v>
      </c>
      <c r="E230" s="133" t="s">
        <v>116</v>
      </c>
      <c r="F230" s="133" t="s">
        <v>116</v>
      </c>
      <c r="G230" s="133" t="s">
        <v>116</v>
      </c>
      <c r="H230" t="s">
        <v>462</v>
      </c>
    </row>
    <row r="231" spans="2:33" ht="15" thickBot="1">
      <c r="B231" s="141" t="s">
        <v>463</v>
      </c>
      <c r="C231" s="156">
        <v>1</v>
      </c>
      <c r="D231" s="157">
        <v>0.8</v>
      </c>
      <c r="E231" s="157"/>
      <c r="F231" s="157"/>
      <c r="G231" s="157"/>
    </row>
    <row r="232" spans="2:33">
      <c r="B232" s="92" t="s">
        <v>429</v>
      </c>
      <c r="C232" s="154" t="s">
        <v>67</v>
      </c>
      <c r="D232" s="155" t="s">
        <v>299</v>
      </c>
      <c r="E232" s="155" t="s">
        <v>71</v>
      </c>
      <c r="F232" s="155" t="s">
        <v>68</v>
      </c>
      <c r="G232" s="155" t="s">
        <v>464</v>
      </c>
    </row>
    <row r="233" spans="2:33" ht="15" thickBot="1">
      <c r="B233" s="141" t="s">
        <v>465</v>
      </c>
      <c r="C233" s="156">
        <v>1</v>
      </c>
      <c r="D233" s="157">
        <v>1</v>
      </c>
      <c r="E233" s="157">
        <v>1</v>
      </c>
      <c r="F233" s="157">
        <v>0.6</v>
      </c>
      <c r="G233" s="157">
        <v>1</v>
      </c>
    </row>
    <row r="234" spans="2:33">
      <c r="B234" s="92" t="s">
        <v>438</v>
      </c>
      <c r="C234" s="154" t="s">
        <v>438</v>
      </c>
      <c r="D234" s="155" t="s">
        <v>438</v>
      </c>
      <c r="E234" s="133" t="s">
        <v>116</v>
      </c>
      <c r="F234" s="133" t="s">
        <v>116</v>
      </c>
      <c r="G234" s="133" t="s">
        <v>116</v>
      </c>
      <c r="H234" t="s">
        <v>466</v>
      </c>
    </row>
    <row r="235" spans="2:33" ht="15" thickBot="1">
      <c r="B235" s="141" t="s">
        <v>467</v>
      </c>
      <c r="C235" s="156">
        <v>0.8</v>
      </c>
      <c r="D235" s="157">
        <v>0.6</v>
      </c>
      <c r="E235" s="157"/>
      <c r="F235" s="157"/>
      <c r="G235" s="157"/>
    </row>
    <row r="236" spans="2:33">
      <c r="B236" s="158"/>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c r="AB236" s="159"/>
      <c r="AC236" s="159"/>
      <c r="AD236" s="159"/>
      <c r="AE236" s="159"/>
      <c r="AF236" s="159"/>
      <c r="AG236" s="159"/>
    </row>
    <row r="237" spans="2:33" ht="15" thickBot="1">
      <c r="B237" s="158"/>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c r="AB237" s="159"/>
      <c r="AC237" s="159"/>
      <c r="AD237" s="159"/>
      <c r="AE237" s="159"/>
      <c r="AF237" s="159"/>
      <c r="AG237" s="159"/>
    </row>
    <row r="238" spans="2:33" ht="15" thickBot="1">
      <c r="B238" s="160" t="s">
        <v>448</v>
      </c>
      <c r="C238" s="211" t="s">
        <v>468</v>
      </c>
      <c r="D238" s="211"/>
      <c r="E238" s="211"/>
      <c r="F238" s="211"/>
      <c r="G238" s="212"/>
      <c r="H238" s="159" t="s">
        <v>469</v>
      </c>
      <c r="I238" s="159"/>
      <c r="J238" s="159"/>
      <c r="K238" s="159"/>
      <c r="L238" s="159"/>
      <c r="M238" s="159"/>
      <c r="N238" s="159"/>
      <c r="O238" s="159"/>
      <c r="P238" s="159"/>
      <c r="Q238" s="159"/>
      <c r="R238" s="159"/>
      <c r="S238" s="159"/>
      <c r="T238" s="159"/>
      <c r="U238" s="159"/>
      <c r="V238" s="159"/>
      <c r="W238" s="159"/>
      <c r="X238" s="159"/>
      <c r="Y238" s="159"/>
      <c r="Z238" s="159"/>
      <c r="AA238" s="159"/>
      <c r="AB238" s="159"/>
      <c r="AC238" s="159"/>
      <c r="AD238" s="159"/>
      <c r="AE238" s="159"/>
      <c r="AF238" s="159"/>
      <c r="AG238" s="159"/>
    </row>
    <row r="239" spans="2:33">
      <c r="B239" s="161" t="str">
        <f>'Highway Loading'!C15</f>
        <v>API 5L</v>
      </c>
      <c r="C239" s="162" t="str">
        <f>VLOOKUP($B$239,$B$220:$G$235,2,FALSE)</f>
        <v>Seamless</v>
      </c>
      <c r="D239" s="163" t="str">
        <f>VLOOKUP($B$239,$B$220:$G$235,3,FALSE)</f>
        <v>Electric Resistance Welded</v>
      </c>
      <c r="E239" s="163" t="str">
        <f>VLOOKUP($B$239,$B$220:$G$235,4,FALSE)</f>
        <v>Submerged Arc Welded</v>
      </c>
      <c r="F239" s="164" t="str">
        <f>VLOOKUP($B$239,$B$220:$G$235,5,FALSE)</f>
        <v>Furnace Butt Welded</v>
      </c>
      <c r="G239" s="165" t="str">
        <f>VLOOKUP($B$239,$B$220:$G$235,6,FALSE)</f>
        <v>Combination Welded</v>
      </c>
      <c r="H239" s="159"/>
      <c r="I239" s="159"/>
      <c r="J239" s="159"/>
      <c r="K239" s="159"/>
      <c r="L239" s="159"/>
      <c r="M239" s="159"/>
      <c r="N239" s="159"/>
      <c r="O239" s="159"/>
      <c r="P239" s="159"/>
      <c r="Q239" s="159"/>
      <c r="R239" s="159"/>
      <c r="S239" s="159"/>
      <c r="T239" s="159"/>
      <c r="U239" s="159"/>
      <c r="V239" s="159"/>
      <c r="W239" s="159"/>
      <c r="X239" s="159"/>
      <c r="Y239" s="159"/>
      <c r="Z239" s="159"/>
      <c r="AA239" s="159"/>
      <c r="AB239" s="159"/>
      <c r="AC239" s="159"/>
      <c r="AD239" s="159"/>
      <c r="AE239" s="159"/>
      <c r="AF239" s="159"/>
      <c r="AG239" s="159"/>
    </row>
    <row r="240" spans="2:33" ht="15" thickBot="1">
      <c r="B240" s="166" t="str" cm="1">
        <f t="array" ref="B240">INDEX(B220:B235,MATCH(B239,B220:B235,0)+1)</f>
        <v>API 5L Weld Seam Factor</v>
      </c>
      <c r="C240" s="167">
        <f>VLOOKUP($B$240,$B$220:$G$235,2,FALSE)</f>
        <v>1</v>
      </c>
      <c r="D240" s="168">
        <f>VLOOKUP($B$240,$B$220:$G$235,3,FALSE)</f>
        <v>1</v>
      </c>
      <c r="E240" s="168">
        <f>VLOOKUP($B$240,$B$220:$G$235,4,FALSE)</f>
        <v>1</v>
      </c>
      <c r="F240" s="168">
        <f>VLOOKUP($B$240,$B$220:$G$235,5,FALSE)</f>
        <v>0.6</v>
      </c>
      <c r="G240" s="169">
        <f>VLOOKUP($B$240,$B$220:$G$235,6,FALSE)</f>
        <v>1</v>
      </c>
      <c r="H240" s="159"/>
      <c r="I240" s="159"/>
      <c r="J240" s="159"/>
      <c r="K240" s="159"/>
      <c r="L240" s="159"/>
      <c r="M240" s="159"/>
      <c r="N240" s="159"/>
      <c r="O240" s="159"/>
      <c r="P240" s="159"/>
      <c r="Q240" s="159"/>
      <c r="R240" s="159"/>
      <c r="S240" s="159"/>
      <c r="T240" s="159"/>
      <c r="U240" s="159"/>
      <c r="V240" s="159"/>
      <c r="W240" s="159"/>
      <c r="X240" s="159"/>
      <c r="Y240" s="159"/>
      <c r="Z240" s="159"/>
      <c r="AA240" s="159"/>
      <c r="AB240" s="159"/>
      <c r="AC240" s="159"/>
      <c r="AD240" s="159"/>
      <c r="AE240" s="159"/>
      <c r="AF240" s="159"/>
      <c r="AG240" s="159"/>
    </row>
    <row r="241" spans="2:15" ht="15" thickBot="1"/>
    <row r="242" spans="2:15" ht="18">
      <c r="B242" s="1"/>
      <c r="C242" s="1"/>
      <c r="E242" s="7"/>
      <c r="F242" s="170"/>
      <c r="H242" s="213" t="s">
        <v>470</v>
      </c>
      <c r="I242" s="214"/>
      <c r="J242" s="214"/>
      <c r="K242" s="214"/>
      <c r="L242" s="215"/>
      <c r="N242" s="171"/>
      <c r="O242" s="1"/>
    </row>
    <row r="243" spans="2:15">
      <c r="B243" s="10"/>
      <c r="E243" s="158"/>
      <c r="F243" s="172"/>
      <c r="H243" s="173"/>
      <c r="I243" s="201" t="s">
        <v>471</v>
      </c>
      <c r="J243" s="201"/>
      <c r="K243" s="201"/>
      <c r="L243" s="216"/>
    </row>
    <row r="244" spans="2:15" ht="15" thickBot="1">
      <c r="B244" s="10"/>
      <c r="E244" s="158"/>
      <c r="F244" s="172"/>
      <c r="H244" s="174" t="s">
        <v>472</v>
      </c>
      <c r="I244" s="175">
        <v>1</v>
      </c>
      <c r="J244" s="175">
        <v>2</v>
      </c>
      <c r="K244" s="175">
        <v>3</v>
      </c>
      <c r="L244" s="176">
        <v>4</v>
      </c>
    </row>
    <row r="245" spans="2:15">
      <c r="B245" s="10"/>
      <c r="E245" s="158"/>
      <c r="F245" s="172"/>
      <c r="H245" s="177" t="s">
        <v>473</v>
      </c>
      <c r="I245">
        <v>0.72</v>
      </c>
      <c r="J245">
        <v>0.6</v>
      </c>
      <c r="K245">
        <v>0.5</v>
      </c>
      <c r="L245" s="178">
        <v>0.4</v>
      </c>
    </row>
    <row r="246" spans="2:15">
      <c r="B246" s="10"/>
      <c r="E246" s="158"/>
      <c r="F246" s="172"/>
      <c r="H246" s="179" t="s">
        <v>474</v>
      </c>
      <c r="I246">
        <v>0.6</v>
      </c>
      <c r="J246">
        <v>0.5</v>
      </c>
      <c r="K246">
        <v>0.5</v>
      </c>
      <c r="L246" s="178">
        <v>0.4</v>
      </c>
    </row>
    <row r="247" spans="2:15">
      <c r="B247" s="10"/>
      <c r="E247" s="158"/>
      <c r="F247" s="172"/>
      <c r="H247" s="179" t="s">
        <v>475</v>
      </c>
      <c r="I247">
        <v>0.72</v>
      </c>
      <c r="J247">
        <v>0.6</v>
      </c>
      <c r="K247">
        <v>0.5</v>
      </c>
      <c r="L247" s="178">
        <v>0.4</v>
      </c>
    </row>
    <row r="248" spans="2:15">
      <c r="B248" s="10"/>
      <c r="E248" s="158"/>
      <c r="F248" s="172"/>
      <c r="H248" s="179" t="s">
        <v>476</v>
      </c>
      <c r="I248">
        <v>0.6</v>
      </c>
      <c r="J248">
        <v>0.6</v>
      </c>
      <c r="K248">
        <v>0.5</v>
      </c>
      <c r="L248" s="178">
        <v>0.4</v>
      </c>
    </row>
    <row r="249" spans="2:15">
      <c r="B249" s="10"/>
      <c r="E249" s="158"/>
      <c r="F249" s="172"/>
      <c r="H249" s="179" t="s">
        <v>477</v>
      </c>
      <c r="I249">
        <v>0.6</v>
      </c>
      <c r="J249">
        <v>0.6</v>
      </c>
      <c r="K249">
        <v>0.5</v>
      </c>
      <c r="L249" s="178">
        <v>0.4</v>
      </c>
    </row>
    <row r="250" spans="2:15">
      <c r="B250" s="10"/>
      <c r="E250" s="158"/>
      <c r="F250" s="172"/>
      <c r="H250" s="177" t="s">
        <v>478</v>
      </c>
      <c r="I250">
        <v>0.6</v>
      </c>
      <c r="J250">
        <v>0.6</v>
      </c>
      <c r="K250">
        <v>0.5</v>
      </c>
      <c r="L250" s="178">
        <v>0.4</v>
      </c>
    </row>
    <row r="251" spans="2:15">
      <c r="B251" s="10"/>
      <c r="E251" s="158"/>
      <c r="F251" s="172"/>
      <c r="H251" s="179" t="s">
        <v>479</v>
      </c>
      <c r="I251">
        <v>0.6</v>
      </c>
      <c r="J251">
        <v>0.6</v>
      </c>
      <c r="K251">
        <v>0.5</v>
      </c>
      <c r="L251" s="178">
        <v>0.4</v>
      </c>
    </row>
    <row r="252" spans="2:15">
      <c r="H252" s="177" t="s">
        <v>480</v>
      </c>
      <c r="I252">
        <v>0.5</v>
      </c>
      <c r="J252">
        <v>0.5</v>
      </c>
      <c r="K252">
        <v>0.5</v>
      </c>
      <c r="L252" s="178">
        <v>0.4</v>
      </c>
    </row>
    <row r="253" spans="2:15" ht="15" thickBot="1">
      <c r="H253" s="180" t="s">
        <v>481</v>
      </c>
      <c r="I253" s="168">
        <v>0.5</v>
      </c>
      <c r="J253" s="168">
        <v>0.5</v>
      </c>
      <c r="K253" s="168">
        <v>0.5</v>
      </c>
      <c r="L253" s="169">
        <v>0.4</v>
      </c>
    </row>
    <row r="255" spans="2:15">
      <c r="B255" s="1" t="s">
        <v>50</v>
      </c>
      <c r="C255" s="1" t="s">
        <v>59</v>
      </c>
      <c r="D255" s="1" t="s">
        <v>60</v>
      </c>
    </row>
    <row r="256" spans="2:15">
      <c r="B256" t="s">
        <v>52</v>
      </c>
      <c r="C256">
        <v>200</v>
      </c>
      <c r="D256">
        <v>5000</v>
      </c>
    </row>
    <row r="257" spans="2:4">
      <c r="B257" t="s">
        <v>53</v>
      </c>
      <c r="C257">
        <v>500</v>
      </c>
      <c r="D257">
        <v>5000</v>
      </c>
    </row>
    <row r="258" spans="2:4">
      <c r="B258" t="s">
        <v>61</v>
      </c>
      <c r="C258">
        <v>500</v>
      </c>
      <c r="D258">
        <v>10000</v>
      </c>
    </row>
    <row r="259" spans="2:4">
      <c r="B259" t="s">
        <v>54</v>
      </c>
      <c r="C259">
        <v>1000</v>
      </c>
      <c r="D259">
        <v>10000</v>
      </c>
    </row>
    <row r="260" spans="2:4">
      <c r="B260" t="s">
        <v>55</v>
      </c>
      <c r="C260">
        <v>1000</v>
      </c>
      <c r="D260">
        <v>10000</v>
      </c>
    </row>
    <row r="261" spans="2:4">
      <c r="B261" t="s">
        <v>56</v>
      </c>
      <c r="C261">
        <v>2000</v>
      </c>
      <c r="D261">
        <v>20000</v>
      </c>
    </row>
    <row r="263" spans="2:4">
      <c r="B263" s="1" t="s">
        <v>51</v>
      </c>
      <c r="C263" s="1" t="s">
        <v>62</v>
      </c>
      <c r="D263" s="1"/>
    </row>
    <row r="264" spans="2:4">
      <c r="B264">
        <v>1</v>
      </c>
      <c r="C264">
        <v>0.72</v>
      </c>
    </row>
    <row r="265" spans="2:4">
      <c r="B265">
        <v>2</v>
      </c>
      <c r="C265">
        <v>0.6</v>
      </c>
    </row>
    <row r="266" spans="2:4">
      <c r="B266">
        <v>3</v>
      </c>
      <c r="C266">
        <v>0.5</v>
      </c>
    </row>
    <row r="267" spans="2:4">
      <c r="B267">
        <v>4</v>
      </c>
      <c r="C267">
        <v>0.4</v>
      </c>
    </row>
    <row r="269" spans="2:4">
      <c r="B269" s="201" t="s">
        <v>4</v>
      </c>
      <c r="C269" s="201"/>
    </row>
    <row r="270" spans="2:4">
      <c r="B270" s="2" t="s">
        <v>74</v>
      </c>
      <c r="C270" s="2" t="s">
        <v>4</v>
      </c>
    </row>
    <row r="271" spans="2:4">
      <c r="B271" t="s">
        <v>67</v>
      </c>
      <c r="C271">
        <v>1</v>
      </c>
    </row>
    <row r="272" spans="2:4">
      <c r="B272" t="s">
        <v>299</v>
      </c>
      <c r="C272">
        <v>1</v>
      </c>
    </row>
    <row r="273" spans="2:7">
      <c r="B273" t="s">
        <v>68</v>
      </c>
      <c r="C273">
        <v>0.6</v>
      </c>
    </row>
    <row r="274" spans="2:7">
      <c r="B274" t="s">
        <v>69</v>
      </c>
      <c r="C274">
        <v>1</v>
      </c>
    </row>
    <row r="275" spans="2:7">
      <c r="B275" t="s">
        <v>70</v>
      </c>
      <c r="C275">
        <v>1</v>
      </c>
    </row>
    <row r="276" spans="2:7">
      <c r="B276" t="s">
        <v>71</v>
      </c>
      <c r="C276">
        <v>1</v>
      </c>
    </row>
    <row r="277" spans="2:7">
      <c r="B277" t="s">
        <v>72</v>
      </c>
      <c r="C277">
        <v>0.8</v>
      </c>
    </row>
    <row r="278" spans="2:7">
      <c r="B278" t="s">
        <v>73</v>
      </c>
      <c r="C278">
        <v>0.6</v>
      </c>
    </row>
    <row r="281" spans="2:7">
      <c r="B281" s="201" t="s">
        <v>77</v>
      </c>
      <c r="C281" s="201"/>
      <c r="D281" s="201"/>
      <c r="E281" s="201"/>
      <c r="F281" s="201"/>
      <c r="G281" s="201"/>
    </row>
    <row r="282" spans="2:7">
      <c r="B282" s="2" t="s">
        <v>78</v>
      </c>
      <c r="C282" s="2" t="s">
        <v>88</v>
      </c>
      <c r="D282" s="2" t="s">
        <v>5</v>
      </c>
      <c r="E282" s="2" t="s">
        <v>89</v>
      </c>
    </row>
    <row r="283" spans="2:7">
      <c r="B283" t="s">
        <v>76</v>
      </c>
      <c r="C283">
        <v>29000000</v>
      </c>
      <c r="D283">
        <v>0.3</v>
      </c>
      <c r="E283">
        <v>6.4999999999999996E-6</v>
      </c>
    </row>
    <row r="284" spans="2:7">
      <c r="B284" t="s">
        <v>79</v>
      </c>
      <c r="C284">
        <v>10000000</v>
      </c>
      <c r="D284">
        <v>0.33</v>
      </c>
      <c r="E284">
        <v>1.3099999999999998E-5</v>
      </c>
    </row>
    <row r="285" spans="2:7">
      <c r="B285" t="s">
        <v>80</v>
      </c>
      <c r="C285">
        <v>14500000</v>
      </c>
      <c r="D285">
        <v>0.21</v>
      </c>
      <c r="E285">
        <v>6.7000000000000002E-6</v>
      </c>
    </row>
    <row r="286" spans="2:7">
      <c r="B286" t="s">
        <v>81</v>
      </c>
      <c r="C286">
        <v>1600000</v>
      </c>
      <c r="D286">
        <v>0.33</v>
      </c>
      <c r="E286">
        <v>1.6999999999999998E-6</v>
      </c>
    </row>
    <row r="287" spans="2:7">
      <c r="B287" t="s">
        <v>82</v>
      </c>
      <c r="C287">
        <v>14800000</v>
      </c>
      <c r="D287">
        <v>0.33</v>
      </c>
      <c r="E287">
        <v>1.04E-5</v>
      </c>
    </row>
    <row r="288" spans="2:7">
      <c r="B288" t="s">
        <v>83</v>
      </c>
      <c r="C288">
        <v>17000000</v>
      </c>
      <c r="D288">
        <v>0.36</v>
      </c>
      <c r="E288">
        <v>9.3000000000000007E-6</v>
      </c>
    </row>
    <row r="289" spans="2:5">
      <c r="B289" t="s">
        <v>84</v>
      </c>
      <c r="C289">
        <v>13900000</v>
      </c>
      <c r="D289">
        <v>0.34</v>
      </c>
      <c r="E289">
        <v>9.9999999999999991E-6</v>
      </c>
    </row>
    <row r="290" spans="2:5">
      <c r="B290" t="s">
        <v>85</v>
      </c>
      <c r="C290">
        <v>6500000</v>
      </c>
      <c r="D290">
        <v>0.35</v>
      </c>
      <c r="E290">
        <v>1.4E-5</v>
      </c>
    </row>
    <row r="291" spans="2:5">
      <c r="B291" t="s">
        <v>86</v>
      </c>
      <c r="C291">
        <v>10200000</v>
      </c>
      <c r="D291">
        <v>0.22</v>
      </c>
      <c r="E291">
        <v>4.9999999999999996E-6</v>
      </c>
    </row>
    <row r="292" spans="2:5">
      <c r="B292" t="s">
        <v>87</v>
      </c>
      <c r="C292">
        <v>300000</v>
      </c>
      <c r="D292">
        <v>0.34</v>
      </c>
      <c r="E292">
        <v>3.8899999999999997E-5</v>
      </c>
    </row>
    <row r="295" spans="2:5">
      <c r="B295" s="2" t="s">
        <v>148</v>
      </c>
      <c r="C295" s="2" t="s">
        <v>149</v>
      </c>
    </row>
    <row r="296" spans="2:5">
      <c r="B296" s="10" t="s">
        <v>150</v>
      </c>
      <c r="C296">
        <v>0.40500000000000003</v>
      </c>
    </row>
    <row r="297" spans="2:5">
      <c r="B297" s="10" t="s">
        <v>151</v>
      </c>
      <c r="C297">
        <v>0.54</v>
      </c>
    </row>
    <row r="298" spans="2:5">
      <c r="B298" s="10" t="s">
        <v>152</v>
      </c>
      <c r="C298">
        <v>0.67500000000000004</v>
      </c>
    </row>
    <row r="299" spans="2:5">
      <c r="B299" s="10" t="s">
        <v>153</v>
      </c>
      <c r="C299">
        <v>0.84</v>
      </c>
    </row>
    <row r="300" spans="2:5">
      <c r="B300" s="10" t="s">
        <v>154</v>
      </c>
      <c r="C300">
        <v>1.05</v>
      </c>
    </row>
    <row r="301" spans="2:5">
      <c r="B301" s="10">
        <v>1</v>
      </c>
      <c r="C301">
        <v>1.3149999999999999</v>
      </c>
    </row>
    <row r="302" spans="2:5">
      <c r="B302" s="10" t="s">
        <v>155</v>
      </c>
      <c r="C302">
        <v>1.66</v>
      </c>
    </row>
    <row r="303" spans="2:5">
      <c r="B303" s="10" t="s">
        <v>156</v>
      </c>
      <c r="C303">
        <v>1.9</v>
      </c>
    </row>
    <row r="304" spans="2:5">
      <c r="B304" s="10">
        <v>2</v>
      </c>
      <c r="C304">
        <v>2.375</v>
      </c>
    </row>
    <row r="305" spans="2:3">
      <c r="B305" s="10" t="s">
        <v>157</v>
      </c>
      <c r="C305">
        <v>2.875</v>
      </c>
    </row>
    <row r="306" spans="2:3">
      <c r="B306" s="10">
        <v>3</v>
      </c>
      <c r="C306">
        <v>3.5</v>
      </c>
    </row>
    <row r="307" spans="2:3">
      <c r="B307" s="10" t="s">
        <v>158</v>
      </c>
      <c r="C307">
        <v>4</v>
      </c>
    </row>
    <row r="308" spans="2:3">
      <c r="B308" s="10">
        <v>4</v>
      </c>
      <c r="C308">
        <v>4.5</v>
      </c>
    </row>
    <row r="309" spans="2:3">
      <c r="B309" s="10">
        <v>5</v>
      </c>
      <c r="C309">
        <v>5.5629999999999997</v>
      </c>
    </row>
    <row r="310" spans="2:3">
      <c r="B310" s="10">
        <v>6</v>
      </c>
      <c r="C310">
        <v>6.625</v>
      </c>
    </row>
    <row r="311" spans="2:3">
      <c r="B311" s="10">
        <v>8</v>
      </c>
      <c r="C311">
        <v>8.625</v>
      </c>
    </row>
    <row r="312" spans="2:3">
      <c r="B312" s="10">
        <v>10</v>
      </c>
      <c r="C312">
        <v>10.75</v>
      </c>
    </row>
    <row r="313" spans="2:3">
      <c r="B313" s="10">
        <v>12</v>
      </c>
      <c r="C313">
        <v>12.75</v>
      </c>
    </row>
    <row r="314" spans="2:3">
      <c r="B314" s="10">
        <v>14</v>
      </c>
      <c r="C314">
        <v>14</v>
      </c>
    </row>
    <row r="315" spans="2:3">
      <c r="B315" s="10">
        <v>16</v>
      </c>
      <c r="C315">
        <v>16</v>
      </c>
    </row>
    <row r="316" spans="2:3">
      <c r="B316" s="10">
        <v>18</v>
      </c>
      <c r="C316">
        <v>18</v>
      </c>
    </row>
    <row r="317" spans="2:3">
      <c r="B317" s="10">
        <v>20</v>
      </c>
      <c r="C317">
        <v>20</v>
      </c>
    </row>
    <row r="318" spans="2:3">
      <c r="B318" s="10">
        <v>22</v>
      </c>
      <c r="C318">
        <v>22</v>
      </c>
    </row>
    <row r="319" spans="2:3">
      <c r="B319" s="10">
        <v>24</v>
      </c>
      <c r="C319">
        <v>24</v>
      </c>
    </row>
    <row r="320" spans="2:3">
      <c r="B320" s="10">
        <v>26</v>
      </c>
      <c r="C320">
        <v>26</v>
      </c>
    </row>
    <row r="321" spans="2:3">
      <c r="B321" s="10">
        <v>28</v>
      </c>
      <c r="C321">
        <v>28</v>
      </c>
    </row>
    <row r="322" spans="2:3">
      <c r="B322" s="10">
        <v>30</v>
      </c>
      <c r="C322">
        <v>30</v>
      </c>
    </row>
    <row r="323" spans="2:3">
      <c r="B323" s="10">
        <v>32</v>
      </c>
      <c r="C323">
        <v>32</v>
      </c>
    </row>
    <row r="324" spans="2:3">
      <c r="B324" s="10">
        <v>34</v>
      </c>
      <c r="C324">
        <v>34</v>
      </c>
    </row>
    <row r="325" spans="2:3">
      <c r="B325" s="10">
        <v>36</v>
      </c>
      <c r="C325">
        <v>36</v>
      </c>
    </row>
    <row r="326" spans="2:3">
      <c r="B326" s="10">
        <v>38</v>
      </c>
      <c r="C326">
        <v>38</v>
      </c>
    </row>
    <row r="327" spans="2:3">
      <c r="B327" s="10">
        <v>40</v>
      </c>
      <c r="C327">
        <v>40</v>
      </c>
    </row>
    <row r="328" spans="2:3">
      <c r="B328" s="10">
        <v>42</v>
      </c>
      <c r="C328">
        <v>42</v>
      </c>
    </row>
    <row r="329" spans="2:3">
      <c r="B329" s="10">
        <v>44</v>
      </c>
      <c r="C329">
        <v>44</v>
      </c>
    </row>
    <row r="330" spans="2:3">
      <c r="B330" s="10">
        <v>46</v>
      </c>
      <c r="C330">
        <v>46</v>
      </c>
    </row>
    <row r="331" spans="2:3">
      <c r="B331" s="10">
        <v>48</v>
      </c>
      <c r="C331">
        <v>48</v>
      </c>
    </row>
    <row r="334" spans="2:3">
      <c r="B334" s="2" t="s">
        <v>128</v>
      </c>
    </row>
    <row r="335" spans="2:3">
      <c r="B335" t="s">
        <v>129</v>
      </c>
    </row>
    <row r="336" spans="2:3">
      <c r="B336" t="s">
        <v>139</v>
      </c>
    </row>
    <row r="337" spans="2:3">
      <c r="B337" t="s">
        <v>138</v>
      </c>
    </row>
    <row r="339" spans="2:3">
      <c r="B339" s="2" t="s">
        <v>140</v>
      </c>
      <c r="C339" s="2" t="s">
        <v>147</v>
      </c>
    </row>
    <row r="340" spans="2:3">
      <c r="B340" t="s">
        <v>141</v>
      </c>
      <c r="C340">
        <v>10000</v>
      </c>
    </row>
    <row r="341" spans="2:3">
      <c r="B341" t="s">
        <v>142</v>
      </c>
      <c r="C341">
        <v>12000</v>
      </c>
    </row>
    <row r="344" spans="2:3">
      <c r="B344" s="2" t="s">
        <v>161</v>
      </c>
    </row>
    <row r="345" spans="2:3">
      <c r="B345" s="10">
        <v>24000</v>
      </c>
    </row>
    <row r="346" spans="2:3">
      <c r="B346" s="10">
        <v>30000</v>
      </c>
    </row>
    <row r="347" spans="2:3">
      <c r="B347" s="10">
        <v>35000</v>
      </c>
    </row>
    <row r="348" spans="2:3">
      <c r="B348" s="10">
        <v>42000</v>
      </c>
    </row>
    <row r="349" spans="2:3">
      <c r="B349" s="10" t="s">
        <v>292</v>
      </c>
    </row>
    <row r="350" spans="2:3">
      <c r="B350" s="10">
        <v>52000</v>
      </c>
    </row>
    <row r="351" spans="2:3">
      <c r="B351" s="10" t="s">
        <v>293</v>
      </c>
    </row>
    <row r="352" spans="2:3">
      <c r="B352" s="10" t="s">
        <v>162</v>
      </c>
    </row>
    <row r="353" spans="2:2">
      <c r="B353" s="10" t="s">
        <v>165</v>
      </c>
    </row>
    <row r="354" spans="2:2">
      <c r="B354" s="10">
        <v>70000</v>
      </c>
    </row>
    <row r="355" spans="2:2">
      <c r="B355" s="10">
        <v>80000</v>
      </c>
    </row>
  </sheetData>
  <sheetProtection formatCells="0" formatColumns="0" formatRows="0" sort="0" autoFilter="0"/>
  <mergeCells count="37">
    <mergeCell ref="B269:C269"/>
    <mergeCell ref="B281:G281"/>
    <mergeCell ref="C181:X181"/>
    <mergeCell ref="C238:G238"/>
    <mergeCell ref="H242:L242"/>
    <mergeCell ref="I243:L243"/>
    <mergeCell ref="C184:AG184"/>
    <mergeCell ref="C195:AG195"/>
    <mergeCell ref="C214:AG214"/>
    <mergeCell ref="C219:G219"/>
    <mergeCell ref="B143:C143"/>
    <mergeCell ref="E143:F143"/>
    <mergeCell ref="H143:I143"/>
    <mergeCell ref="K143:L143"/>
    <mergeCell ref="H134:I134"/>
    <mergeCell ref="B134:C134"/>
    <mergeCell ref="E134:F134"/>
    <mergeCell ref="B126:C126"/>
    <mergeCell ref="E126:F126"/>
    <mergeCell ref="H126:I126"/>
    <mergeCell ref="K126:L126"/>
    <mergeCell ref="B119:C119"/>
    <mergeCell ref="E119:F119"/>
    <mergeCell ref="H119:I119"/>
    <mergeCell ref="H91:I91"/>
    <mergeCell ref="K91:L91"/>
    <mergeCell ref="B105:C105"/>
    <mergeCell ref="B98:C98"/>
    <mergeCell ref="E98:F98"/>
    <mergeCell ref="B112:C112"/>
    <mergeCell ref="A77:A81"/>
    <mergeCell ref="A1:E1"/>
    <mergeCell ref="B3:E3"/>
    <mergeCell ref="B41:E41"/>
    <mergeCell ref="B85:C85"/>
    <mergeCell ref="B91:C91"/>
    <mergeCell ref="E91:F91"/>
  </mergeCells>
  <conditionalFormatting sqref="E78:E81">
    <cfRule type="containsText" dxfId="7" priority="1" operator="containsText" text="Pass">
      <formula>NOT(ISERROR(SEARCH("Pass",E78)))</formula>
    </cfRule>
    <cfRule type="containsText" dxfId="6" priority="2" operator="containsText" text="Fail">
      <formula>NOT(ISERROR(SEARCH("Fail",E78)))</formula>
    </cfRule>
    <cfRule type="containsText" dxfId="5" priority="3" operator="containsText" text="Fail">
      <formula>NOT(ISERROR(SEARCH("Fail",E78)))</formula>
    </cfRule>
    <cfRule type="containsText" dxfId="4" priority="4" operator="containsText" text="Pass">
      <formula>NOT(ISERROR(SEARCH("Pass",E78)))</formula>
    </cfRule>
  </conditionalFormatting>
  <dataValidations disablePrompts="1" count="19">
    <dataValidation errorStyle="warning" allowBlank="1" showInputMessage="1" showErrorMessage="1" error="This is an atypical nominal pipe diameter." sqref="C13" xr:uid="{B070FD84-289B-4830-A9AD-2DB09D2CC263}"/>
    <dataValidation errorStyle="warning" allowBlank="1" showInputMessage="1" showErrorMessage="1" error="This is an atypical pipe SMYS." sqref="C17" xr:uid="{712949FA-C1B3-4C51-B9EB-A1E71CAA3D30}"/>
    <dataValidation type="decimal" allowBlank="1" showInputMessage="1" showErrorMessage="1" error="Temperature is not within limits of CFR 192.115." sqref="C27 C39" xr:uid="{FFBDF61D-6BB3-4ED1-B721-59CF88BA6FC6}">
      <formula1>-20</formula1>
      <formula2>450</formula2>
    </dataValidation>
    <dataValidation type="decimal" allowBlank="1" showInputMessage="1" showErrorMessage="1" promptTitle="Soil Unit Weight" prompt="Typical value is 120 pcf. Range: 50-200 pcf" sqref="C33" xr:uid="{DC35C475-0C16-4625-B269-ABBF45FEBB7A}">
      <formula1>50</formula1>
      <formula2>200</formula2>
    </dataValidation>
    <dataValidation allowBlank="1" showInputMessage="1" showErrorMessage="1" errorTitle="Pipe Internal Pressure Error" error="The value entered for the pipes internal pressure is outside of the allowable range." sqref="E34 E29" xr:uid="{B5BB844E-FFF0-4FB0-89A4-578776FF8350}"/>
    <dataValidation type="decimal" allowBlank="1" showInputMessage="1" showErrorMessage="1" promptTitle="Pipe Depth" prompt="API 1102 recommends 3-10 ft for highway crossings" sqref="C34" xr:uid="{F3B8F03B-2E59-4AC6-9425-77A163230F75}">
      <formula1>1</formula1>
      <formula2>30</formula2>
    </dataValidation>
    <dataValidation type="whole" allowBlank="1" showInputMessage="1" showErrorMessage="1" errorTitle="Invalid Pressure" error="Pressure must be between 0 and 6000 psi per API 1102" promptTitle="Operating Pressure" prompt="Enter pressure between 0 and 6000 psi" sqref="C29" xr:uid="{DE20B2AF-0A43-45FC-B973-0654528C7BE6}">
      <formula1>0</formula1>
      <formula2>6000</formula2>
    </dataValidation>
    <dataValidation type="list" errorStyle="warning" allowBlank="1" showInputMessage="1" showErrorMessage="1" error="This is an atypical nominal pipe diameter." sqref="C12" xr:uid="{7448F7E3-D035-4FCF-925A-FE21BAEAC94B}">
      <formula1>$C$155:$AD$155</formula1>
    </dataValidation>
    <dataValidation type="list" errorStyle="warning" allowBlank="1" showInputMessage="1" showErrorMessage="1" error="The wall thickness that was entered is atypical for this pipe size." sqref="C14" xr:uid="{9856AC70-72BA-47B0-B3F6-6B4697DDD545}">
      <formula1>OFFSET($C$182,0,0,1,COUNT($C$182:$X$182))</formula1>
    </dataValidation>
    <dataValidation type="list" allowBlank="1" showInputMessage="1" showErrorMessage="1" sqref="C21" xr:uid="{4FFB25E6-CDFD-4B41-B3BD-47F048F14D4F}">
      <formula1>OFFSET($C$239,0,0,1,COUNTIF($C$239:$G$239, "&gt;"""))</formula1>
    </dataValidation>
    <dataValidation type="list" allowBlank="1" showInputMessage="1" showErrorMessage="1" sqref="C19" xr:uid="{D546C6F9-BEA8-4D55-89E6-DAAD1D324A36}">
      <formula1>$I$244:$L$244</formula1>
    </dataValidation>
    <dataValidation type="list" allowBlank="1" showInputMessage="1" showErrorMessage="1" error="This is an atypical pipe grade." sqref="C16" xr:uid="{D80FF213-8748-4E1B-B26D-BE5807A07ED6}">
      <formula1>OFFSET($C$215,0,0,1,COUNTIF($C$215:$AG$215, "&gt;"""))</formula1>
    </dataValidation>
    <dataValidation type="list" allowBlank="1" showInputMessage="1" showErrorMessage="1" sqref="C18" xr:uid="{8457B2DC-C0B3-4090-8891-BAA9BC3F072C}">
      <formula1>$H$245:$H$253</formula1>
    </dataValidation>
    <dataValidation type="list" allowBlank="1" showInputMessage="1" showErrorMessage="1" sqref="C35" xr:uid="{23676713-3B0E-400E-B1FC-68A6542523A0}">
      <formula1>$B$151:$B$153</formula1>
    </dataValidation>
    <dataValidation type="list" allowBlank="1" showInputMessage="1" showErrorMessage="1" sqref="C15" xr:uid="{0CC2BE42-F7D5-40E2-82BB-26350B5B7461}">
      <formula1>$B$185:$B$192</formula1>
    </dataValidation>
    <dataValidation type="list" allowBlank="1" showInputMessage="1" showErrorMessage="1" sqref="C30" xr:uid="{BB44EF8E-D5A8-4758-A2C1-30290B5687DE}">
      <formula1>$B$256:$B$261</formula1>
    </dataValidation>
    <dataValidation type="list" allowBlank="1" showInputMessage="1" showErrorMessage="1" sqref="C23" xr:uid="{BAA31872-0FD0-4934-B159-0CDF589815AD}">
      <formula1>$B$283:$B$292</formula1>
    </dataValidation>
    <dataValidation type="list" allowBlank="1" showInputMessage="1" showErrorMessage="1" sqref="C36" xr:uid="{7F44265C-D925-4340-BFBB-6512448118C2}">
      <formula1>$B$335:$B$337</formula1>
    </dataValidation>
    <dataValidation type="list" allowBlank="1" showInputMessage="1" showErrorMessage="1" sqref="C37" xr:uid="{035811C0-06DC-4193-8EA2-7A9249AA378E}">
      <formula1>$B$340:$B$341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8099-A068-4C3A-9A60-6E51B04FFE28}">
  <sheetPr codeName="Sheet7"/>
  <dimension ref="A1:N97"/>
  <sheetViews>
    <sheetView zoomScale="55" zoomScaleNormal="55" workbookViewId="0">
      <selection activeCell="D23" sqref="D23"/>
    </sheetView>
  </sheetViews>
  <sheetFormatPr defaultRowHeight="14.4"/>
  <cols>
    <col min="1" max="1" width="57.88671875" bestFit="1" customWidth="1"/>
    <col min="2" max="2" width="99.109375" bestFit="1" customWidth="1"/>
    <col min="3" max="3" width="23.44140625" bestFit="1" customWidth="1"/>
    <col min="4" max="4" width="99.109375" bestFit="1" customWidth="1"/>
    <col min="5" max="5" width="16.6640625" bestFit="1" customWidth="1"/>
    <col min="6" max="6" width="14.77734375" bestFit="1" customWidth="1"/>
    <col min="8" max="8" width="12.6640625" bestFit="1" customWidth="1"/>
    <col min="9" max="9" width="14.33203125" bestFit="1" customWidth="1"/>
    <col min="10" max="10" width="12.109375" bestFit="1" customWidth="1"/>
    <col min="11" max="11" width="8.88671875" customWidth="1"/>
  </cols>
  <sheetData>
    <row r="1" spans="1:8">
      <c r="A1" s="1" t="s">
        <v>0</v>
      </c>
    </row>
    <row r="2" spans="1:8">
      <c r="A2" t="s">
        <v>159</v>
      </c>
      <c r="B2" s="3">
        <f>'Highway Loading'!C12</f>
        <v>12</v>
      </c>
      <c r="C2" t="s">
        <v>1</v>
      </c>
    </row>
    <row r="3" spans="1:8">
      <c r="A3" t="s">
        <v>127</v>
      </c>
      <c r="B3">
        <f>'Highway Loading'!C13</f>
        <v>12.75</v>
      </c>
      <c r="C3" t="s">
        <v>1</v>
      </c>
    </row>
    <row r="4" spans="1:8">
      <c r="A4" t="s">
        <v>92</v>
      </c>
      <c r="B4" s="3">
        <f>'Highway Loading'!C14</f>
        <v>0.25</v>
      </c>
      <c r="C4" t="s">
        <v>1</v>
      </c>
    </row>
    <row r="5" spans="1:8">
      <c r="A5" t="s">
        <v>2</v>
      </c>
      <c r="B5" s="3">
        <f>'Highway Loading'!C17</f>
        <v>65000</v>
      </c>
      <c r="C5" t="s">
        <v>3</v>
      </c>
    </row>
    <row r="6" spans="1:8">
      <c r="A6" t="s">
        <v>51</v>
      </c>
      <c r="B6" s="3">
        <f>'Highway Loading'!C19</f>
        <v>1</v>
      </c>
      <c r="G6" t="s">
        <v>75</v>
      </c>
    </row>
    <row r="7" spans="1:8">
      <c r="A7" t="s">
        <v>115</v>
      </c>
      <c r="B7">
        <f>'Highway Loading'!C20</f>
        <v>0.72</v>
      </c>
    </row>
    <row r="8" spans="1:8">
      <c r="A8" t="s">
        <v>74</v>
      </c>
      <c r="B8" s="3" t="str">
        <f>'Highway Loading'!C21</f>
        <v>Electric Resistance Welded</v>
      </c>
    </row>
    <row r="9" spans="1:8">
      <c r="A9" t="s">
        <v>120</v>
      </c>
      <c r="B9">
        <f>'Highway Loading'!C22</f>
        <v>1</v>
      </c>
    </row>
    <row r="10" spans="1:8">
      <c r="A10" t="s">
        <v>90</v>
      </c>
      <c r="B10" s="3" t="str">
        <f>'Highway Loading'!C23</f>
        <v>Steel</v>
      </c>
    </row>
    <row r="11" spans="1:8">
      <c r="A11" t="s">
        <v>125</v>
      </c>
      <c r="B11" s="75">
        <f>'Highway Loading'!C24</f>
        <v>29000000</v>
      </c>
      <c r="C11" t="s">
        <v>3</v>
      </c>
      <c r="G11" s="3" t="s">
        <v>160</v>
      </c>
      <c r="H11" s="194">
        <f>(VLOOKUP(B10,'Highway Loading'!B283:E292,2, FALSE))</f>
        <v>29000000</v>
      </c>
    </row>
    <row r="12" spans="1:8">
      <c r="A12" t="s">
        <v>126</v>
      </c>
      <c r="B12">
        <f>'Highway Loading'!C25</f>
        <v>0.3</v>
      </c>
    </row>
    <row r="13" spans="1:8">
      <c r="A13" t="s">
        <v>119</v>
      </c>
      <c r="B13">
        <f>'Highway Loading'!C26</f>
        <v>6.4999999999999996E-6</v>
      </c>
      <c r="C13" t="s">
        <v>164</v>
      </c>
    </row>
    <row r="14" spans="1:8">
      <c r="A14" t="s">
        <v>93</v>
      </c>
      <c r="B14" s="3">
        <f>'Highway Loading'!C28</f>
        <v>1</v>
      </c>
      <c r="G14" t="s">
        <v>63</v>
      </c>
    </row>
    <row r="15" spans="1:8">
      <c r="A15" t="s">
        <v>94</v>
      </c>
      <c r="B15" s="3">
        <f>'Highway Loading'!C27</f>
        <v>70</v>
      </c>
      <c r="C15" t="s">
        <v>163</v>
      </c>
    </row>
    <row r="16" spans="1:8">
      <c r="A16" t="s">
        <v>95</v>
      </c>
      <c r="B16" s="3">
        <f>'Highway Loading'!C29</f>
        <v>1000</v>
      </c>
      <c r="C16" t="s">
        <v>3</v>
      </c>
    </row>
    <row r="18" spans="1:7">
      <c r="A18" s="1" t="s">
        <v>6</v>
      </c>
    </row>
    <row r="19" spans="1:7">
      <c r="A19" t="s">
        <v>64</v>
      </c>
      <c r="B19" s="5" t="str">
        <f>'Highway Loading'!C30</f>
        <v>Loose sands and gravels</v>
      </c>
    </row>
    <row r="20" spans="1:7">
      <c r="A20" t="s">
        <v>121</v>
      </c>
      <c r="B20">
        <f>'Highway Loading'!C31</f>
        <v>500</v>
      </c>
      <c r="C20" t="s">
        <v>3</v>
      </c>
    </row>
    <row r="21" spans="1:7">
      <c r="A21" t="s">
        <v>122</v>
      </c>
      <c r="B21">
        <f>'Highway Loading'!C32</f>
        <v>10000</v>
      </c>
      <c r="C21" t="s">
        <v>3</v>
      </c>
    </row>
    <row r="22" spans="1:7">
      <c r="A22" t="s">
        <v>96</v>
      </c>
      <c r="B22" s="3">
        <f>'Highway Loading'!C33</f>
        <v>120</v>
      </c>
      <c r="C22" t="s">
        <v>7</v>
      </c>
      <c r="G22" t="s">
        <v>65</v>
      </c>
    </row>
    <row r="23" spans="1:7">
      <c r="A23" t="s">
        <v>97</v>
      </c>
      <c r="B23" s="3">
        <f>'Highway Loading'!C34</f>
        <v>6</v>
      </c>
      <c r="C23" t="s">
        <v>8</v>
      </c>
    </row>
    <row r="24" spans="1:7">
      <c r="A24" t="s">
        <v>98</v>
      </c>
      <c r="B24" s="3">
        <f>'Highway Loading'!C35</f>
        <v>14.75</v>
      </c>
      <c r="C24" t="s">
        <v>9</v>
      </c>
      <c r="G24" t="s">
        <v>66</v>
      </c>
    </row>
    <row r="25" spans="1:7">
      <c r="A25" t="s">
        <v>128</v>
      </c>
      <c r="B25" s="3" t="str">
        <f>'Highway Loading'!C36</f>
        <v>Flexible</v>
      </c>
    </row>
    <row r="26" spans="1:7">
      <c r="A26" t="s">
        <v>143</v>
      </c>
      <c r="B26" s="3" t="str">
        <f>'Highway Loading'!C37</f>
        <v>Tandem Axle</v>
      </c>
      <c r="G26" t="s">
        <v>144</v>
      </c>
    </row>
    <row r="27" spans="1:7">
      <c r="A27" t="s">
        <v>147</v>
      </c>
      <c r="B27">
        <f>'Highway Loading'!C38</f>
        <v>10000</v>
      </c>
      <c r="C27" t="s">
        <v>268</v>
      </c>
    </row>
    <row r="28" spans="1:7">
      <c r="A28" t="s">
        <v>99</v>
      </c>
      <c r="B28" s="3">
        <f>'Highway Loading'!C39</f>
        <v>70</v>
      </c>
      <c r="C28" t="s">
        <v>163</v>
      </c>
    </row>
    <row r="30" spans="1:7">
      <c r="A30" s="1" t="s">
        <v>10</v>
      </c>
      <c r="B30" s="7" t="s">
        <v>114</v>
      </c>
      <c r="D30" s="1" t="s">
        <v>110</v>
      </c>
      <c r="E30" s="1" t="s">
        <v>111</v>
      </c>
      <c r="G30" s="1" t="s">
        <v>29</v>
      </c>
    </row>
    <row r="31" spans="1:7">
      <c r="A31" t="s">
        <v>112</v>
      </c>
      <c r="B31">
        <f>'Highway Loading'!C44</f>
        <v>25500</v>
      </c>
      <c r="C31" t="s">
        <v>3</v>
      </c>
      <c r="D31" t="str">
        <f>ROUND(B16*B3/(2*B4),2)&amp;" = "&amp;B16&amp;"*"&amp;B3&amp;"/(2*"&amp;B4&amp;")"</f>
        <v>25500 = 1000*12.75/(2*0.25)</v>
      </c>
      <c r="E31">
        <f>B16*B3/(2*B4)</f>
        <v>25500</v>
      </c>
    </row>
    <row r="32" spans="1:7">
      <c r="A32" t="s">
        <v>24</v>
      </c>
      <c r="B32">
        <f>'Highway Loading'!C45</f>
        <v>46800</v>
      </c>
      <c r="C32" t="s">
        <v>3</v>
      </c>
      <c r="D32" t="str">
        <f>ROUND(B7*B9*B14*B5,2)&amp;" = "&amp;B7&amp;"*"&amp;B9&amp;"*"&amp;B14&amp;"*"&amp;B5</f>
        <v>46800 = 0.72*1*1*65000</v>
      </c>
      <c r="E32">
        <f>B7*B9*B14*B5</f>
        <v>46800</v>
      </c>
    </row>
    <row r="33" spans="1:14">
      <c r="L33" s="235" t="s">
        <v>40</v>
      </c>
      <c r="M33" s="235"/>
      <c r="N33" s="235"/>
    </row>
    <row r="34" spans="1:14">
      <c r="A34" t="s">
        <v>100</v>
      </c>
      <c r="B34" s="3">
        <f>'Highway Loading'!C47</f>
        <v>2790.5294117647072</v>
      </c>
      <c r="G34" t="s">
        <v>30</v>
      </c>
      <c r="L34" s="2" t="s">
        <v>20</v>
      </c>
    </row>
    <row r="35" spans="1:14">
      <c r="A35" t="s">
        <v>101</v>
      </c>
      <c r="B35" s="3">
        <f>'Highway Loading'!C48</f>
        <v>1.0658474576271186</v>
      </c>
      <c r="G35" t="s">
        <v>31</v>
      </c>
      <c r="L35" t="str" cm="1">
        <f t="array" ref="L35:N38">F80:H83</f>
        <v>E'</v>
      </c>
      <c r="M35">
        <v>500</v>
      </c>
      <c r="N35" t="str">
        <v>psi</v>
      </c>
    </row>
    <row r="36" spans="1:14">
      <c r="A36" t="s">
        <v>102</v>
      </c>
      <c r="B36" s="3">
        <f>'Highway Loading'!C49</f>
        <v>1.104107843137256</v>
      </c>
      <c r="G36" t="s">
        <v>32</v>
      </c>
      <c r="L36" t="str">
        <v>tw/D</v>
      </c>
      <c r="M36">
        <v>1.9607843137254902E-2</v>
      </c>
      <c r="N36" t="str">
        <v/>
      </c>
    </row>
    <row r="37" spans="1:14">
      <c r="A37" t="s">
        <v>103</v>
      </c>
      <c r="B37">
        <f>'Highway Loading'!C50</f>
        <v>2907.6414109908601</v>
      </c>
      <c r="C37" t="s">
        <v>3</v>
      </c>
      <c r="D37" t="str">
        <f>ROUND(B37,2)&amp;" = "&amp;ROUND(B34,2)&amp;"*"&amp;ROUND(B35,3)&amp;"*"&amp;ROUND(B36,3)&amp;"*("&amp;B22&amp;"/1728)*"&amp;B3</f>
        <v>2907.64 = 2790.53*1.066*1.104*(120/1728)*12.75</v>
      </c>
      <c r="E37">
        <f>B34*B35*B36*(B22/12^3)*B3</f>
        <v>2907.6414109908601</v>
      </c>
      <c r="L37" t="str">
        <v/>
      </c>
      <c r="M37" t="str">
        <v/>
      </c>
      <c r="N37" t="str">
        <v/>
      </c>
    </row>
    <row r="38" spans="1:14">
      <c r="L38" t="str">
        <v/>
      </c>
      <c r="M38" t="str">
        <v/>
      </c>
      <c r="N38" t="str">
        <v/>
      </c>
    </row>
    <row r="39" spans="1:14">
      <c r="A39" t="s">
        <v>104</v>
      </c>
      <c r="B39" s="3">
        <f>'Highway Loading'!C52</f>
        <v>1.476219512195122</v>
      </c>
      <c r="G39" t="s">
        <v>33</v>
      </c>
      <c r="L39" t="e" vm="1">
        <f>VLOOKUP(L33,Tables!A2:B12,2, FALSE)</f>
        <v>#VALUE!</v>
      </c>
    </row>
    <row r="41" spans="1:14">
      <c r="A41" t="s">
        <v>131</v>
      </c>
      <c r="B41" s="3">
        <f>'Highway Loading'!C54</f>
        <v>14.207908202727459</v>
      </c>
      <c r="G41" t="s">
        <v>34</v>
      </c>
    </row>
    <row r="42" spans="1:14">
      <c r="A42" t="s">
        <v>130</v>
      </c>
      <c r="B42" s="3">
        <f>'Highway Loading'!C55</f>
        <v>1.01675</v>
      </c>
      <c r="G42" t="s">
        <v>35</v>
      </c>
    </row>
    <row r="43" spans="1:14">
      <c r="A43" t="s">
        <v>145</v>
      </c>
      <c r="B43" s="3">
        <f>'Highway Loading'!C56</f>
        <v>1</v>
      </c>
      <c r="G43" t="s">
        <v>136</v>
      </c>
    </row>
    <row r="44" spans="1:14">
      <c r="A44" t="s">
        <v>146</v>
      </c>
      <c r="B44" s="3">
        <f>'Highway Loading'!C57</f>
        <v>1</v>
      </c>
      <c r="G44" t="s">
        <v>136</v>
      </c>
    </row>
    <row r="45" spans="1:14">
      <c r="A45" t="s">
        <v>132</v>
      </c>
      <c r="B45">
        <f>'Highway Loading'!C58</f>
        <v>1480.9240049230664</v>
      </c>
      <c r="C45" t="s">
        <v>3</v>
      </c>
      <c r="D45" t="str">
        <f>ROUND(B45,2)&amp;" = "&amp;ROUND(B41,2)&amp;"*"&amp;ROUND(B42,3)&amp;"*"&amp;B43&amp;"*"&amp;B44&amp;"*"&amp;ROUND(B39,3)&amp;"*"&amp;B27&amp;"/144"</f>
        <v>1480.92 = 14.21*1.017*1*1*1.476*10000/144</v>
      </c>
      <c r="E45">
        <f>B41*B42*B43*B44*B39*(B27/12^2)</f>
        <v>1480.9240049230664</v>
      </c>
    </row>
    <row r="46" spans="1:14">
      <c r="A46" t="s">
        <v>133</v>
      </c>
      <c r="B46" s="3">
        <f>'Highway Loading'!C59</f>
        <v>9.7852745098039211</v>
      </c>
      <c r="G46" t="s">
        <v>36</v>
      </c>
    </row>
    <row r="47" spans="1:14">
      <c r="A47" t="s">
        <v>134</v>
      </c>
      <c r="B47" s="3">
        <f>'Highway Loading'!C60</f>
        <v>1.0024999999999999</v>
      </c>
      <c r="G47" t="s">
        <v>37</v>
      </c>
    </row>
    <row r="48" spans="1:14">
      <c r="A48" t="s">
        <v>135</v>
      </c>
      <c r="B48">
        <f>'Highway Loading'!C61</f>
        <v>1005.6476525324307</v>
      </c>
      <c r="C48" t="s">
        <v>3</v>
      </c>
      <c r="D48" t="str">
        <f>ROUND(B48,2)&amp;" = "&amp;ROUND(B46,2)&amp;"*"&amp;ROUND(B47,3)&amp;"*"&amp;B43&amp;"*"&amp;B44&amp;"*"&amp;ROUND(B39,3)&amp;"*"&amp;B27&amp;"/144"</f>
        <v>1005.65 = 9.79*1.003*1*1*1.476*10000/144</v>
      </c>
      <c r="E48">
        <f>B46*B47*B43*B44*B39*(B27/12^2)</f>
        <v>1005.6476525324307</v>
      </c>
    </row>
    <row r="50" spans="1:7">
      <c r="A50" t="s">
        <v>105</v>
      </c>
      <c r="B50">
        <f>'Highway Loading'!C63</f>
        <v>25000</v>
      </c>
      <c r="C50" t="s">
        <v>3</v>
      </c>
      <c r="D50" t="str">
        <f>ROUND(B50,2)&amp;" = "&amp;B16&amp;"*("&amp;B3&amp;"-"&amp;B4&amp;")/(2*"&amp;B4&amp;")"</f>
        <v>25000 = 1000*(12.75-0.25)/(2*0.25)</v>
      </c>
      <c r="E50">
        <f>B16*(B3-B4)/(2*B4)</f>
        <v>25000</v>
      </c>
    </row>
    <row r="51" spans="1:7">
      <c r="A51" t="s">
        <v>106</v>
      </c>
      <c r="B51">
        <f>'Highway Loading'!C64</f>
        <v>29388.565415913927</v>
      </c>
      <c r="C51" t="s">
        <v>3</v>
      </c>
      <c r="D51" t="str">
        <f>ROUND(B51,2)&amp;" = "&amp;ROUND(B37,2)&amp;"+"&amp;ROUND(B45,2)&amp;"+"&amp;ROUND(B50,2)</f>
        <v>29388.57 = 2907.64+1480.92+25000</v>
      </c>
      <c r="E51">
        <f>E37+E45+E50</f>
        <v>29388.565415913927</v>
      </c>
    </row>
    <row r="52" spans="1:7">
      <c r="A52" t="s">
        <v>107</v>
      </c>
      <c r="B52">
        <f>'Highway Loading'!C65</f>
        <v>9377.940075829687</v>
      </c>
      <c r="C52" t="s">
        <v>3</v>
      </c>
      <c r="D52" t="str">
        <f>ROUND(B52,2)&amp;" = "&amp;ROUND(B48,2)&amp;"-"&amp;B11&amp;"*"&amp;B13&amp;"*"&amp;(B28-B15)&amp;"+"&amp;B12&amp;"*("&amp;ROUND(B37,2)&amp;"+"&amp;ROUND(B50,2)&amp;")"</f>
        <v>9377.94 = 1005.65-29000000*0.0000065*0+0.3*(2907.64+25000)</v>
      </c>
      <c r="E52" s="185">
        <f>E48-B11*B13*(B15-B28)+B12*(E37+E50)</f>
        <v>9377.940075829687</v>
      </c>
    </row>
    <row r="53" spans="1:7">
      <c r="A53" t="s">
        <v>108</v>
      </c>
      <c r="B53">
        <f>'Highway Loading'!C66</f>
        <v>-1000</v>
      </c>
      <c r="C53" t="s">
        <v>3</v>
      </c>
      <c r="D53" t="str">
        <f>B53&amp;" = -"&amp;B16</f>
        <v>-1000 = -1000</v>
      </c>
      <c r="E53">
        <f>-B16</f>
        <v>-1000</v>
      </c>
    </row>
    <row r="54" spans="1:7">
      <c r="A54" t="s">
        <v>109</v>
      </c>
      <c r="B54">
        <f>'Highway Loading'!C67</f>
        <v>26754.361090820439</v>
      </c>
      <c r="C54" t="s">
        <v>3</v>
      </c>
      <c r="D54" t="str">
        <f>ROUND(B54,2)&amp;" = √(½*[("&amp;ROUND(B51,2)&amp;"-"&amp;ROUND(B52,2)&amp;")²+("&amp;ROUND(B52,2)&amp;"-"&amp;ROUND(B53,2)&amp;")²+("&amp;ROUND(B53,2)&amp;"-"&amp;ROUND(B51,2)&amp;")²])"</f>
        <v>26754.36 = √(½*[(29388.57-9377.94)²+(9377.94--1000)²+(-1000-29388.57)²])</v>
      </c>
      <c r="E54">
        <f>SQRT(0.5*((E51-E52)^2+(E52-E53)^2+(E53-E51)^2))</f>
        <v>26754.361090820439</v>
      </c>
    </row>
    <row r="57" spans="1:7">
      <c r="A57" t="s">
        <v>11</v>
      </c>
      <c r="B57">
        <f>'Highway Loading'!C69</f>
        <v>46800</v>
      </c>
      <c r="C57" t="s">
        <v>3</v>
      </c>
      <c r="D57" t="str">
        <f>B57&amp;" = "&amp;B5&amp;"*"&amp;B7</f>
        <v>46800 = 65000*0.72</v>
      </c>
      <c r="E57">
        <f>B5*B7</f>
        <v>46800</v>
      </c>
    </row>
    <row r="59" spans="1:7">
      <c r="A59" t="s">
        <v>12</v>
      </c>
      <c r="B59" s="3">
        <f>'Highway Loading'!C71</f>
        <v>12000</v>
      </c>
      <c r="C59" t="s">
        <v>3</v>
      </c>
      <c r="G59" t="s">
        <v>38</v>
      </c>
    </row>
    <row r="60" spans="1:7">
      <c r="A60" t="s">
        <v>13</v>
      </c>
      <c r="B60" s="3">
        <f>'Highway Loading'!C72</f>
        <v>23000</v>
      </c>
      <c r="C60" t="s">
        <v>3</v>
      </c>
      <c r="G60" t="s">
        <v>39</v>
      </c>
    </row>
    <row r="61" spans="1:7">
      <c r="A61" t="s">
        <v>124</v>
      </c>
      <c r="B61">
        <f>'Highway Loading'!C73</f>
        <v>8640</v>
      </c>
      <c r="C61" t="s">
        <v>3</v>
      </c>
      <c r="D61" t="str">
        <f>ROUND(B61,0)&amp;" = "&amp;B59&amp;"*"&amp;B7</f>
        <v>8640 = 12000*0.72</v>
      </c>
      <c r="E61">
        <v>8640</v>
      </c>
    </row>
    <row r="62" spans="1:7">
      <c r="A62" t="s">
        <v>123</v>
      </c>
      <c r="B62">
        <f>'Highway Loading'!C74</f>
        <v>16560</v>
      </c>
      <c r="C62" t="s">
        <v>3</v>
      </c>
      <c r="D62" t="str">
        <f>ROUND(B60*B7,0)&amp;" = "&amp;B60&amp;"*"&amp;B7</f>
        <v>16560 = 23000*0.72</v>
      </c>
      <c r="E62">
        <f>B60*B7</f>
        <v>16560</v>
      </c>
    </row>
    <row r="65" spans="1:8">
      <c r="A65" s="2" t="s">
        <v>14</v>
      </c>
      <c r="B65" s="2" t="s">
        <v>27</v>
      </c>
      <c r="C65" s="2" t="s">
        <v>28</v>
      </c>
      <c r="D65" s="2" t="s">
        <v>15</v>
      </c>
    </row>
    <row r="66" spans="1:8">
      <c r="A66" t="s">
        <v>16</v>
      </c>
      <c r="B66">
        <f>B31</f>
        <v>25500</v>
      </c>
      <c r="C66">
        <f>B32</f>
        <v>46800</v>
      </c>
      <c r="D66" t="str">
        <f>IF(B66&gt;=C66, "Fail", "Pass")</f>
        <v>Pass</v>
      </c>
    </row>
    <row r="67" spans="1:8">
      <c r="A67" t="s">
        <v>17</v>
      </c>
      <c r="B67">
        <f>B54</f>
        <v>26754.361090820439</v>
      </c>
      <c r="C67">
        <f>B57</f>
        <v>46800</v>
      </c>
      <c r="D67" t="str">
        <f t="shared" ref="D67:D69" si="0">IF(B67&gt;=C67, "Fail", "Pass")</f>
        <v>Pass</v>
      </c>
    </row>
    <row r="68" spans="1:8">
      <c r="A68" t="s">
        <v>18</v>
      </c>
      <c r="B68">
        <f>B48</f>
        <v>1005.6476525324307</v>
      </c>
      <c r="C68">
        <f>B61</f>
        <v>8640</v>
      </c>
      <c r="D68" t="str">
        <f t="shared" si="0"/>
        <v>Pass</v>
      </c>
    </row>
    <row r="69" spans="1:8">
      <c r="A69" t="s">
        <v>19</v>
      </c>
      <c r="B69">
        <f>B45</f>
        <v>1480.9240049230664</v>
      </c>
      <c r="C69">
        <f>B62</f>
        <v>16560</v>
      </c>
      <c r="D69" t="str">
        <f t="shared" si="0"/>
        <v>Pass</v>
      </c>
    </row>
    <row r="71" spans="1:8">
      <c r="B71" s="201" t="s">
        <v>113</v>
      </c>
      <c r="C71" s="201"/>
    </row>
    <row r="72" spans="1:8">
      <c r="B72" t="str">
        <f>ROUND(B31,2)&amp;" = "&amp;B16&amp;"*"&amp;B3&amp;"/(2*"&amp;B4&amp;")"</f>
        <v>25500 = 1000*12.75/(2*0.25)</v>
      </c>
      <c r="C72" t="str">
        <f>ROUND(B32,2)&amp;" = "&amp;B7&amp;"*"&amp;B9&amp;"*"&amp;B14&amp;"*"&amp;B5</f>
        <v>46800 = 0.72*1*1*65000</v>
      </c>
    </row>
    <row r="73" spans="1:8">
      <c r="B73" t="str">
        <f>ROUND(B54,2)&amp;" = √(½*[("&amp;ROUND(B51,2)&amp;"-"&amp;ROUND(B52,2)&amp;")²+("&amp;ROUND(B52,2)&amp;"-"&amp;B53&amp;")²+("&amp;B53&amp;"-"&amp;ROUND(B51,2)&amp;")²])"</f>
        <v>26754.36 = √(½*[(29388.57-9377.94)²+(9377.94--1000)²+(-1000-29388.57)²])</v>
      </c>
      <c r="C73" t="str">
        <f>ROUND(B57,2)&amp;" = "&amp;B5&amp;"*"&amp;B7</f>
        <v>46800 = 65000*0.72</v>
      </c>
    </row>
    <row r="74" spans="1:8">
      <c r="B74" t="str">
        <f>ROUND(B48,2)&amp;" = "&amp;ROUND(B46,2)&amp;"*"&amp;ROUND(B47,3)&amp;"*"&amp;B43&amp;"*"&amp;B44&amp;"*"&amp;ROUND(B39,2)&amp;"*"&amp;B27&amp;"/144"</f>
        <v>1005.65 = 9.79*1.003*1*1*1.48*10000/144</v>
      </c>
      <c r="C74" t="str">
        <f>ROUND(B61,2)&amp;" = "&amp;B59&amp;"*"&amp;B7</f>
        <v>8640 = 12000*0.72</v>
      </c>
    </row>
    <row r="75" spans="1:8">
      <c r="B75" t="str">
        <f>ROUND(B45,2)&amp;" = "&amp;ROUND(B41,2)&amp;"*"&amp;ROUND(B42,3)&amp;"*"&amp;B43&amp;"*"&amp;B44&amp;"*"&amp;ROUND(B39,2)&amp;"*"&amp;B27&amp;"/144"</f>
        <v>1480.92 = 14.21*1.017*1*1*1.48*10000/144</v>
      </c>
      <c r="C75" t="str">
        <f>ROUND(B62,2)&amp;" = "&amp;B60&amp;"*"&amp;B7</f>
        <v>16560 = 23000*0.72</v>
      </c>
    </row>
    <row r="78" spans="1:8" ht="15" thickBot="1"/>
    <row r="79" spans="1:8" ht="15" thickBot="1">
      <c r="A79" s="206" t="s">
        <v>117</v>
      </c>
      <c r="B79" s="236"/>
      <c r="C79" s="236"/>
      <c r="D79" s="207"/>
      <c r="F79" s="237" t="s">
        <v>118</v>
      </c>
      <c r="G79" s="238"/>
      <c r="H79" s="239"/>
    </row>
    <row r="80" spans="1:8">
      <c r="A80" s="9" t="s">
        <v>40</v>
      </c>
      <c r="B80" s="9" t="s">
        <v>57</v>
      </c>
      <c r="C80" s="9">
        <f>B20</f>
        <v>500</v>
      </c>
      <c r="D80" s="9" t="s">
        <v>3</v>
      </c>
      <c r="F80" s="9" t="str" cm="1">
        <f t="array" ref="F80">IF(IFERROR(INDEX(B$80:B$97, SMALL(IF($L$33=$A$80:$A$97, ROW($A$80:$A$97)-ROW($A$80)+1), ROW(1:1))),"")=0, "", IFERROR(INDEX(B$80:B$97, SMALL(IF($L$33=$A$80:$A$97, ROW($A$80:$A$97)-ROW($A$80)+1), ROW(1:1))),""))</f>
        <v>E'</v>
      </c>
      <c r="G80" s="9" cm="1">
        <f t="array" ref="G80">IF(IFERROR(INDEX(C$80:C$97, SMALL(IF($L$33=$A$80:$A$97, ROW($A$80:$A$97)-ROW($A$80)+1), ROW(1:1))),"")=0, "", IFERROR(INDEX(C$80:C$97, SMALL(IF($L$33=$A$80:$A$97, ROW($A$80:$A$97)-ROW($A$80)+1), ROW(1:1))),""))</f>
        <v>500</v>
      </c>
      <c r="H80" s="9" t="str" cm="1">
        <f t="array" ref="H80">IF(IFERROR(INDEX(D$80:D$97, SMALL(IF($L$33=$A$80:$A$97, ROW($A$80:$A$97)-ROW($A$80)+1), ROW(1:1))),"")=0, "", IFERROR(INDEX(D$80:D$97, SMALL(IF($L$33=$A$80:$A$97, ROW($A$80:$A$97)-ROW($A$80)+1), ROW(1:1))),""))</f>
        <v>psi</v>
      </c>
    </row>
    <row r="81" spans="1:8">
      <c r="A81" s="8" t="s">
        <v>40</v>
      </c>
      <c r="B81" s="8" t="s">
        <v>21</v>
      </c>
      <c r="C81" s="8">
        <f>B4/B3</f>
        <v>1.9607843137254902E-2</v>
      </c>
      <c r="D81" s="8" t="s">
        <v>116</v>
      </c>
      <c r="F81" s="9" t="str" cm="1">
        <f t="array" ref="F81">IF(IFERROR(INDEX(B$80:B$97, SMALL(IF($L$33=$A$80:$A$97, ROW($A$80:$A$97)-ROW($A$80)+1), ROW(2:2))),"")=0, "", IFERROR(INDEX(B$80:B$97, SMALL(IF($L$33=$A$80:$A$97, ROW($A$80:$A$97)-ROW($A$80)+1), ROW(2:2))),""))</f>
        <v>tw/D</v>
      </c>
      <c r="G81" s="9" cm="1">
        <f t="array" ref="G81">IF(IFERROR(INDEX(C$80:C$97, SMALL(IF($L$33=$A$80:$A$97, ROW($A$80:$A$97)-ROW($A$80)+1), ROW(2:2))),"")=0, "", IFERROR(INDEX(C$80:C$97, SMALL(IF($L$33=$A$80:$A$97, ROW($A$80:$A$97)-ROW($A$80)+1), ROW(2:2))),""))</f>
        <v>1.9607843137254902E-2</v>
      </c>
      <c r="H81" s="9" t="str" cm="1">
        <f t="array" ref="H81">IF(IFERROR(INDEX(D$80:D$97, SMALL(IF($L$33=$A$80:$A$97, ROW($A$80:$A$97)-ROW($A$80)+1), ROW(2:2))),"")=0, "", IFERROR(INDEX(D$80:D$97, SMALL(IF($L$33=$A$80:$A$97, ROW($A$80:$A$97)-ROW($A$80)+1), ROW(2:2))),""))</f>
        <v/>
      </c>
    </row>
    <row r="82" spans="1:8">
      <c r="A82" s="8" t="s">
        <v>41</v>
      </c>
      <c r="B82" s="8" t="s">
        <v>22</v>
      </c>
      <c r="C82" s="8">
        <f>B23*12/B3</f>
        <v>5.6470588235294121</v>
      </c>
      <c r="D82" s="8"/>
      <c r="F82" s="9" t="str" cm="1">
        <f t="array" ref="F82">IF(IFERROR(INDEX(B$80:B$97, SMALL(IF($L$33=$A$80:$A$97, ROW($A$80:$A$97)-ROW($A$80)+1), ROW(3:3))),"")=0, "", IFERROR(INDEX(B$80:B$97, SMALL(IF($L$33=$A$80:$A$97, ROW($A$80:$A$97)-ROW($A$80)+1), ROW(3:3))),""))</f>
        <v/>
      </c>
      <c r="G82" s="9" t="str" cm="1">
        <f t="array" ref="G82">IF(IFERROR(INDEX(C$80:C$97, SMALL(IF($L$33=$A$80:$A$97, ROW($A$80:$A$97)-ROW($A$80)+1), ROW(3:3))),"")=0, "", IFERROR(INDEX(C$80:C$97, SMALL(IF($L$33=$A$80:$A$97, ROW($A$80:$A$97)-ROW($A$80)+1), ROW(3:3))),""))</f>
        <v/>
      </c>
      <c r="H82" s="9" t="str" cm="1">
        <f t="array" ref="H82">IF(IFERROR(INDEX(D$80:D$97, SMALL(IF($L$33=$A$80:$A$97, ROW($A$80:$A$97)-ROW($A$80)+1), ROW(3:3))),"")=0, "", IFERROR(INDEX(D$80:D$97, SMALL(IF($L$33=$A$80:$A$97, ROW($A$80:$A$97)-ROW($A$80)+1), ROW(3:3))),""))</f>
        <v/>
      </c>
    </row>
    <row r="83" spans="1:8">
      <c r="A83" s="8" t="s">
        <v>42</v>
      </c>
      <c r="B83" s="8" t="s">
        <v>23</v>
      </c>
      <c r="C83" s="8">
        <f>B24/B3</f>
        <v>1.1568627450980393</v>
      </c>
      <c r="D83" s="8"/>
      <c r="F83" s="9" t="str" cm="1">
        <f t="array" ref="F83">IF(IFERROR(INDEX(B$80:B$97, SMALL(IF($L$33=$A$80:$A$97, ROW($A$80:$A$97)-ROW($A$80)+1), ROW(4:4))),"")=0, "", IFERROR(INDEX(B$80:B$97, SMALL(IF($L$33=$A$80:$A$97, ROW($A$80:$A$97)-ROW($A$80)+1), ROW(4:4))),""))</f>
        <v/>
      </c>
      <c r="G83" s="9" t="str" cm="1">
        <f t="array" ref="G83">IF(IFERROR(INDEX(C$80:C$97, SMALL(IF($L$33=$A$80:$A$97, ROW($A$80:$A$97)-ROW($A$80)+1), ROW(4:4))),"")=0, "", IFERROR(INDEX(C$80:C$97, SMALL(IF($L$33=$A$80:$A$97, ROW($A$80:$A$97)-ROW($A$80)+1), ROW(4:4))),""))</f>
        <v/>
      </c>
      <c r="H83" s="9" t="str" cm="1">
        <f t="array" ref="H83">IF(IFERROR(INDEX(D$80:D$97, SMALL(IF($L$33=$A$80:$A$97, ROW($A$80:$A$97)-ROW($A$80)+1), ROW(4:4))),"")=0, "", IFERROR(INDEX(D$80:D$97, SMALL(IF($L$33=$A$80:$A$97, ROW($A$80:$A$97)-ROW($A$80)+1), ROW(4:4))),""))</f>
        <v/>
      </c>
    </row>
    <row r="84" spans="1:8">
      <c r="A84" s="8" t="s">
        <v>43</v>
      </c>
      <c r="B84" s="8" t="s">
        <v>25</v>
      </c>
      <c r="C84" s="8">
        <f>B23</f>
        <v>6</v>
      </c>
      <c r="D84" s="8" t="s">
        <v>8</v>
      </c>
    </row>
    <row r="85" spans="1:8">
      <c r="A85" s="8" t="s">
        <v>44</v>
      </c>
      <c r="B85" s="8" t="s">
        <v>58</v>
      </c>
      <c r="C85" s="8">
        <f>B21</f>
        <v>10000</v>
      </c>
      <c r="D85" s="8" t="s">
        <v>3</v>
      </c>
    </row>
    <row r="86" spans="1:8">
      <c r="A86" s="8" t="s">
        <v>44</v>
      </c>
      <c r="B86" s="8" t="s">
        <v>21</v>
      </c>
      <c r="C86" s="8">
        <f>B4/B3</f>
        <v>1.9607843137254902E-2</v>
      </c>
      <c r="D86" s="8"/>
    </row>
    <row r="87" spans="1:8">
      <c r="A87" s="8" t="s">
        <v>45</v>
      </c>
      <c r="B87" s="8" t="s">
        <v>25</v>
      </c>
      <c r="C87" s="8">
        <f>B23</f>
        <v>6</v>
      </c>
      <c r="D87" s="8" t="s">
        <v>8</v>
      </c>
    </row>
    <row r="88" spans="1:8">
      <c r="A88" s="8" t="s">
        <v>45</v>
      </c>
      <c r="B88" s="8" t="s">
        <v>26</v>
      </c>
      <c r="C88" s="8">
        <f>B3</f>
        <v>12.75</v>
      </c>
      <c r="D88" s="8" t="s">
        <v>1</v>
      </c>
    </row>
    <row r="89" spans="1:8">
      <c r="A89" s="8" t="s">
        <v>137</v>
      </c>
      <c r="B89" s="8" t="s">
        <v>128</v>
      </c>
      <c r="C89" s="8" t="str">
        <f>B25</f>
        <v>Flexible</v>
      </c>
      <c r="D89" s="8"/>
    </row>
    <row r="90" spans="1:8">
      <c r="A90" s="8" t="s">
        <v>137</v>
      </c>
      <c r="B90" s="8" t="s">
        <v>140</v>
      </c>
      <c r="C90" s="8" t="str">
        <f>B26</f>
        <v>Tandem Axle</v>
      </c>
      <c r="D90" s="8"/>
    </row>
    <row r="91" spans="1:8">
      <c r="A91" s="8" t="s">
        <v>137</v>
      </c>
      <c r="B91" s="8" t="s">
        <v>25</v>
      </c>
      <c r="C91" s="8">
        <f>B23</f>
        <v>6</v>
      </c>
      <c r="D91" s="8" t="s">
        <v>8</v>
      </c>
    </row>
    <row r="92" spans="1:8">
      <c r="A92" s="8" t="s">
        <v>137</v>
      </c>
      <c r="B92" s="8" t="s">
        <v>26</v>
      </c>
      <c r="C92" s="8">
        <f>B3</f>
        <v>12.75</v>
      </c>
      <c r="D92" s="8" t="s">
        <v>1</v>
      </c>
    </row>
    <row r="93" spans="1:8">
      <c r="A93" s="8" t="s">
        <v>46</v>
      </c>
      <c r="B93" s="8" t="s">
        <v>58</v>
      </c>
      <c r="C93" s="8">
        <f>B21</f>
        <v>10000</v>
      </c>
      <c r="D93" s="8" t="s">
        <v>3</v>
      </c>
    </row>
    <row r="94" spans="1:8">
      <c r="A94" s="8" t="s">
        <v>46</v>
      </c>
      <c r="B94" s="8" t="s">
        <v>21</v>
      </c>
      <c r="C94" s="8">
        <f>B4/B3</f>
        <v>1.9607843137254902E-2</v>
      </c>
      <c r="D94" s="8"/>
    </row>
    <row r="95" spans="1:8">
      <c r="A95" s="8" t="s">
        <v>47</v>
      </c>
      <c r="B95" s="8" t="s">
        <v>25</v>
      </c>
      <c r="C95" s="8">
        <f>B23</f>
        <v>6</v>
      </c>
      <c r="D95" s="8" t="s">
        <v>8</v>
      </c>
    </row>
    <row r="96" spans="1:8">
      <c r="A96" s="8" t="s">
        <v>47</v>
      </c>
      <c r="B96" s="8" t="s">
        <v>26</v>
      </c>
      <c r="C96" s="8">
        <f>B3</f>
        <v>12.75</v>
      </c>
      <c r="D96" s="8" t="s">
        <v>1</v>
      </c>
    </row>
    <row r="97" spans="1:4">
      <c r="A97" s="8" t="s">
        <v>48</v>
      </c>
      <c r="B97" s="8" t="s">
        <v>2</v>
      </c>
      <c r="C97" s="8">
        <f>B5</f>
        <v>65000</v>
      </c>
      <c r="D97" s="8" t="s">
        <v>3</v>
      </c>
    </row>
  </sheetData>
  <mergeCells count="4">
    <mergeCell ref="L33:N33"/>
    <mergeCell ref="A79:D79"/>
    <mergeCell ref="F79:H79"/>
    <mergeCell ref="B71:C71"/>
  </mergeCells>
  <conditionalFormatting sqref="D66:D69">
    <cfRule type="containsText" dxfId="3" priority="1" operator="containsText" text="Pass">
      <formula>NOT(ISERROR(SEARCH("Pass",D66)))</formula>
    </cfRule>
    <cfRule type="containsText" dxfId="2" priority="2" operator="containsText" text="Fail">
      <formula>NOT(ISERROR(SEARCH("Fail",D66)))</formula>
    </cfRule>
    <cfRule type="containsText" dxfId="1" priority="3" operator="containsText" text="Fail">
      <formula>NOT(ISERROR(SEARCH("Fail",D66)))</formula>
    </cfRule>
    <cfRule type="containsText" dxfId="0" priority="4" operator="containsText" text="Pass">
      <formula>NOT(ISERROR(SEARCH("Pass",D66)))</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disablePrompts="1" count="9">
        <x14:dataValidation type="list" allowBlank="1" showInputMessage="1" showErrorMessage="1" xr:uid="{A9B9F160-84D7-448F-BBE8-B7E87E9E64F0}">
          <x14:formula1>
            <xm:f>Tables!$A$2:$A$11</xm:f>
          </x14:formula1>
          <xm:sqref>L33:N33</xm:sqref>
        </x14:dataValidation>
        <x14:dataValidation type="list" allowBlank="1" showInputMessage="1" showErrorMessage="1" xr:uid="{F7708A38-11B9-4993-9866-4988D53F2D14}">
          <x14:formula1>
            <xm:f>'Highway Loading'!$B$264:$B$267</xm:f>
          </x14:formula1>
          <xm:sqref>B6</xm:sqref>
        </x14:dataValidation>
        <x14:dataValidation type="list" allowBlank="1" showInputMessage="1" showErrorMessage="1" xr:uid="{F2F2930F-D41E-45D9-A1D9-5424F255B0E4}">
          <x14:formula1>
            <xm:f>'Highway Loading'!$B$256:$B$261</xm:f>
          </x14:formula1>
          <xm:sqref>B19</xm:sqref>
        </x14:dataValidation>
        <x14:dataValidation type="list" allowBlank="1" showInputMessage="1" showErrorMessage="1" xr:uid="{B90E7870-A598-4465-B17A-C5FE001664B4}">
          <x14:formula1>
            <xm:f>'Highway Loading'!$B$271:$B$278</xm:f>
          </x14:formula1>
          <xm:sqref>B8</xm:sqref>
        </x14:dataValidation>
        <x14:dataValidation type="list" allowBlank="1" showInputMessage="1" showErrorMessage="1" xr:uid="{913D9E7B-F958-4EA8-A2CB-7A02ED501BB0}">
          <x14:formula1>
            <xm:f>'Highway Loading'!$B$340:$B$341</xm:f>
          </x14:formula1>
          <xm:sqref>B26</xm:sqref>
        </x14:dataValidation>
        <x14:dataValidation type="list" allowBlank="1" showInputMessage="1" showErrorMessage="1" xr:uid="{C3C7FAB9-C168-4D60-BDF5-6B81E8A9D8D4}">
          <x14:formula1>
            <xm:f>'Highway Loading'!$B$335:$B$337</xm:f>
          </x14:formula1>
          <xm:sqref>B25</xm:sqref>
        </x14:dataValidation>
        <x14:dataValidation type="list" errorStyle="warning" allowBlank="1" showInputMessage="1" showErrorMessage="1" error="This is an atypical nominal pipe diameter." xr:uid="{C56B09F2-3FEE-429D-B249-84E7A0D52C94}">
          <x14:formula1>
            <xm:f>'Highway Loading'!$B$296:$B$331</xm:f>
          </x14:formula1>
          <xm:sqref>B2</xm:sqref>
        </x14:dataValidation>
        <x14:dataValidation type="list" allowBlank="1" showInputMessage="1" showErrorMessage="1" xr:uid="{9D5D74AC-C35E-48E6-B189-EDEF71E1C4ED}">
          <x14:formula1>
            <xm:f>'Highway Loading'!$B$283:$B$292</xm:f>
          </x14:formula1>
          <xm:sqref>B10</xm:sqref>
        </x14:dataValidation>
        <x14:dataValidation type="list" errorStyle="warning" allowBlank="1" showInputMessage="1" showErrorMessage="1" error="Not a common SMYS value." xr:uid="{7067480C-79E1-46C5-89C7-FD0EECE1E10C}">
          <x14:formula1>
            <xm:f>'Highway Loading'!$B$345:$B$355</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67F2-CA64-4D0D-B6FD-91EB1FBBDAB7}">
  <sheetPr codeName="Sheet8"/>
  <dimension ref="A1:H275"/>
  <sheetViews>
    <sheetView tabSelected="1" zoomScale="41" zoomScaleNormal="27" workbookViewId="0">
      <selection activeCell="D7" sqref="D7"/>
    </sheetView>
  </sheetViews>
  <sheetFormatPr defaultRowHeight="14.4"/>
  <cols>
    <col min="1" max="1" width="51.77734375" bestFit="1" customWidth="1"/>
    <col min="2" max="2" width="21.109375" bestFit="1" customWidth="1"/>
    <col min="3" max="3" width="26.44140625" bestFit="1" customWidth="1"/>
    <col min="4" max="4" width="37.44140625" bestFit="1" customWidth="1"/>
    <col min="5" max="5" width="22.88671875" bestFit="1" customWidth="1"/>
    <col min="6" max="6" width="22.6640625" bestFit="1" customWidth="1"/>
    <col min="7" max="7" width="146.88671875" bestFit="1" customWidth="1"/>
  </cols>
  <sheetData>
    <row r="1" spans="1:8">
      <c r="A1" s="4" t="s">
        <v>49</v>
      </c>
    </row>
    <row r="2" spans="1:8">
      <c r="A2" t="s">
        <v>40</v>
      </c>
      <c r="B2" t="e" vm="2">
        <v>#VALUE!</v>
      </c>
    </row>
    <row r="3" spans="1:8">
      <c r="A3" t="s">
        <v>41</v>
      </c>
      <c r="B3" t="e" vm="3">
        <v>#VALUE!</v>
      </c>
    </row>
    <row r="4" spans="1:8">
      <c r="A4" t="s">
        <v>42</v>
      </c>
      <c r="B4" t="e" vm="4">
        <v>#VALUE!</v>
      </c>
    </row>
    <row r="5" spans="1:8">
      <c r="A5" t="s">
        <v>43</v>
      </c>
      <c r="B5" t="e" vm="5">
        <v>#VALUE!</v>
      </c>
    </row>
    <row r="6" spans="1:8">
      <c r="A6" t="s">
        <v>44</v>
      </c>
      <c r="B6" t="e" vm="6">
        <v>#VALUE!</v>
      </c>
    </row>
    <row r="7" spans="1:8">
      <c r="A7" t="s">
        <v>45</v>
      </c>
      <c r="B7" t="e" vm="7">
        <v>#VALUE!</v>
      </c>
    </row>
    <row r="8" spans="1:8">
      <c r="A8" t="s">
        <v>137</v>
      </c>
      <c r="B8" t="e" vm="8">
        <v>#VALUE!</v>
      </c>
    </row>
    <row r="9" spans="1:8">
      <c r="A9" t="s">
        <v>46</v>
      </c>
      <c r="B9" t="e" vm="9">
        <v>#VALUE!</v>
      </c>
    </row>
    <row r="10" spans="1:8">
      <c r="A10" t="s">
        <v>47</v>
      </c>
      <c r="B10" t="e" vm="10">
        <v>#VALUE!</v>
      </c>
    </row>
    <row r="11" spans="1:8">
      <c r="A11" t="s">
        <v>48</v>
      </c>
      <c r="B11" t="e" vm="11">
        <v>#VALUE!</v>
      </c>
    </row>
    <row r="13" spans="1:8" ht="15" thickBot="1"/>
    <row r="14" spans="1:8" ht="15" thickBot="1">
      <c r="A14" s="240" t="s">
        <v>304</v>
      </c>
      <c r="B14" s="244"/>
      <c r="C14" s="244"/>
      <c r="D14" s="244"/>
      <c r="E14" s="244"/>
      <c r="F14" s="244"/>
      <c r="G14" s="244"/>
      <c r="H14" s="243"/>
    </row>
    <row r="15" spans="1:8" ht="15" thickBot="1">
      <c r="A15" s="240" t="s">
        <v>301</v>
      </c>
      <c r="B15" s="243"/>
      <c r="C15" s="240" t="s">
        <v>302</v>
      </c>
      <c r="D15" s="243"/>
      <c r="E15" s="240" t="s">
        <v>303</v>
      </c>
      <c r="F15" s="243"/>
      <c r="G15" s="240" t="s">
        <v>300</v>
      </c>
      <c r="H15" s="243"/>
    </row>
    <row r="16" spans="1:8" ht="15" thickBot="1">
      <c r="A16" s="88" t="s">
        <v>490</v>
      </c>
      <c r="B16" s="90" t="s">
        <v>491</v>
      </c>
      <c r="C16" s="88" t="s">
        <v>490</v>
      </c>
      <c r="D16" s="90" t="s">
        <v>491</v>
      </c>
      <c r="E16" s="88" t="s">
        <v>490</v>
      </c>
      <c r="F16" s="90" t="s">
        <v>491</v>
      </c>
      <c r="G16" s="88" t="s">
        <v>490</v>
      </c>
      <c r="H16" s="90" t="s">
        <v>491</v>
      </c>
    </row>
    <row r="17" spans="1:8">
      <c r="A17" s="9">
        <v>0</v>
      </c>
      <c r="B17" s="9">
        <v>11632</v>
      </c>
      <c r="C17" s="9">
        <v>0</v>
      </c>
      <c r="D17" s="9">
        <v>7625</v>
      </c>
      <c r="E17" s="9">
        <v>0</v>
      </c>
      <c r="F17" s="9">
        <v>5772</v>
      </c>
      <c r="G17" s="9">
        <v>0</v>
      </c>
      <c r="H17" s="9">
        <v>4443</v>
      </c>
    </row>
    <row r="18" spans="1:8">
      <c r="A18" s="8">
        <v>7.26E-3</v>
      </c>
      <c r="B18" s="8">
        <v>11632</v>
      </c>
      <c r="C18" s="8">
        <v>7.26E-3</v>
      </c>
      <c r="D18" s="8">
        <v>7625</v>
      </c>
      <c r="E18" s="8">
        <v>7.3800000000000003E-3</v>
      </c>
      <c r="F18" s="8">
        <v>5772</v>
      </c>
      <c r="G18" s="8">
        <v>7.26E-3</v>
      </c>
      <c r="H18" s="8">
        <v>4443</v>
      </c>
    </row>
    <row r="19" spans="1:8">
      <c r="A19" s="8">
        <v>8.1099999999999992E-3</v>
      </c>
      <c r="B19" s="8">
        <v>11632</v>
      </c>
      <c r="C19" s="8">
        <v>7.92E-3</v>
      </c>
      <c r="D19" s="8">
        <v>7625</v>
      </c>
      <c r="E19" s="8">
        <v>7.7499999999999999E-3</v>
      </c>
      <c r="F19" s="8">
        <v>5449</v>
      </c>
      <c r="G19" s="8">
        <v>7.7499999999999999E-3</v>
      </c>
      <c r="H19" s="8">
        <v>4000</v>
      </c>
    </row>
    <row r="20" spans="1:8">
      <c r="A20" s="8">
        <v>8.2500000000000004E-3</v>
      </c>
      <c r="B20" s="8">
        <v>11338</v>
      </c>
      <c r="C20" s="8">
        <v>8.2500000000000004E-3</v>
      </c>
      <c r="D20" s="8">
        <v>7286</v>
      </c>
      <c r="E20" s="8">
        <v>8.2500000000000004E-3</v>
      </c>
      <c r="F20" s="8">
        <v>5175</v>
      </c>
      <c r="G20" s="8">
        <v>8.2500000000000004E-3</v>
      </c>
      <c r="H20" s="8">
        <v>3804</v>
      </c>
    </row>
    <row r="21" spans="1:8">
      <c r="A21" s="8">
        <v>0.01</v>
      </c>
      <c r="B21" s="8">
        <v>8552</v>
      </c>
      <c r="C21" s="8">
        <v>0.01</v>
      </c>
      <c r="D21" s="8">
        <v>6280</v>
      </c>
      <c r="E21" s="8">
        <v>0.01</v>
      </c>
      <c r="F21" s="8">
        <v>4499</v>
      </c>
      <c r="G21" s="8">
        <v>0.01</v>
      </c>
      <c r="H21" s="8">
        <v>3208</v>
      </c>
    </row>
    <row r="22" spans="1:8">
      <c r="A22" s="8">
        <v>1.2500000000000001E-2</v>
      </c>
      <c r="B22" s="8">
        <v>6564</v>
      </c>
      <c r="C22" s="8">
        <v>1.2500000000000001E-2</v>
      </c>
      <c r="D22" s="8">
        <v>5374</v>
      </c>
      <c r="E22" s="8">
        <v>1.2500000000000001E-2</v>
      </c>
      <c r="F22" s="8">
        <v>3882</v>
      </c>
      <c r="G22" s="8">
        <v>1.2500000000000001E-2</v>
      </c>
      <c r="H22" s="8">
        <v>2777</v>
      </c>
    </row>
    <row r="23" spans="1:8">
      <c r="A23" s="8">
        <v>1.4999999999999999E-2</v>
      </c>
      <c r="B23" s="8">
        <v>4873</v>
      </c>
      <c r="C23" s="8">
        <v>1.4999999999999999E-2</v>
      </c>
      <c r="D23" s="8">
        <v>4305</v>
      </c>
      <c r="E23" s="8">
        <v>1.4999999999999999E-2</v>
      </c>
      <c r="F23" s="8">
        <v>3261</v>
      </c>
      <c r="G23" s="8">
        <v>1.4999999999999999E-2</v>
      </c>
      <c r="H23" s="8">
        <v>2404</v>
      </c>
    </row>
    <row r="24" spans="1:8">
      <c r="A24" s="8">
        <v>1.7500000000000002E-2</v>
      </c>
      <c r="B24" s="8">
        <v>3900</v>
      </c>
      <c r="C24" s="8">
        <v>1.7500000000000002E-2</v>
      </c>
      <c r="D24" s="8">
        <v>3476</v>
      </c>
      <c r="E24" s="8">
        <v>1.7500000000000002E-2</v>
      </c>
      <c r="F24" s="8">
        <v>2791</v>
      </c>
      <c r="G24" s="8">
        <v>1.7500000000000002E-2</v>
      </c>
      <c r="H24" s="8">
        <v>2145</v>
      </c>
    </row>
    <row r="25" spans="1:8">
      <c r="A25" s="8">
        <v>0.02</v>
      </c>
      <c r="B25" s="8">
        <v>3000</v>
      </c>
      <c r="C25" s="8">
        <v>0.02</v>
      </c>
      <c r="D25" s="8">
        <v>2663</v>
      </c>
      <c r="E25" s="8">
        <v>0.02</v>
      </c>
      <c r="F25" s="8">
        <v>2292</v>
      </c>
      <c r="G25" s="8">
        <v>0.02</v>
      </c>
      <c r="H25" s="8">
        <v>1852</v>
      </c>
    </row>
    <row r="26" spans="1:8">
      <c r="A26" s="8">
        <v>2.5000000000000001E-2</v>
      </c>
      <c r="B26" s="8">
        <v>1781</v>
      </c>
      <c r="C26" s="8">
        <v>2.5000000000000001E-2</v>
      </c>
      <c r="D26" s="8">
        <v>1642</v>
      </c>
      <c r="E26" s="8">
        <v>2.5000000000000001E-2</v>
      </c>
      <c r="F26" s="8">
        <v>1545</v>
      </c>
      <c r="G26" s="8">
        <v>2.5000000000000001E-2</v>
      </c>
      <c r="H26" s="8">
        <v>1387</v>
      </c>
    </row>
    <row r="27" spans="1:8">
      <c r="A27" s="8">
        <v>0.03</v>
      </c>
      <c r="B27" s="8">
        <v>1153</v>
      </c>
      <c r="C27" s="8">
        <v>0.03</v>
      </c>
      <c r="D27" s="8">
        <v>1077</v>
      </c>
      <c r="E27" s="8">
        <v>0.03</v>
      </c>
      <c r="F27" s="8">
        <v>1066</v>
      </c>
      <c r="G27" s="8">
        <v>0.03</v>
      </c>
      <c r="H27" s="8">
        <v>1000</v>
      </c>
    </row>
    <row r="28" spans="1:8">
      <c r="A28" s="8">
        <v>3.5000000000000003E-2</v>
      </c>
      <c r="B28" s="8">
        <v>819</v>
      </c>
      <c r="C28" s="8">
        <v>3.5000000000000003E-2</v>
      </c>
      <c r="D28" s="8">
        <v>819</v>
      </c>
      <c r="E28" s="8">
        <v>3.5000000000000003E-2</v>
      </c>
      <c r="F28" s="8">
        <v>819</v>
      </c>
      <c r="G28" s="8">
        <v>3.5000000000000003E-2</v>
      </c>
      <c r="H28" s="8">
        <v>819</v>
      </c>
    </row>
    <row r="29" spans="1:8">
      <c r="A29" s="8">
        <v>0.04</v>
      </c>
      <c r="B29" s="8">
        <v>642</v>
      </c>
      <c r="C29" s="8">
        <v>0.04</v>
      </c>
      <c r="D29" s="8">
        <v>642</v>
      </c>
      <c r="E29" s="8">
        <v>0.04</v>
      </c>
      <c r="F29" s="8">
        <v>642</v>
      </c>
      <c r="G29" s="8">
        <v>0.04</v>
      </c>
      <c r="H29" s="8">
        <v>642</v>
      </c>
    </row>
    <row r="30" spans="1:8">
      <c r="A30" s="8">
        <v>4.4999999999999998E-2</v>
      </c>
      <c r="B30" s="8">
        <v>525</v>
      </c>
      <c r="C30" s="8">
        <v>4.4999999999999998E-2</v>
      </c>
      <c r="D30" s="8">
        <v>525</v>
      </c>
      <c r="E30" s="8">
        <v>4.4999999999999998E-2</v>
      </c>
      <c r="F30" s="8">
        <v>525</v>
      </c>
      <c r="G30" s="8">
        <v>4.4999999999999998E-2</v>
      </c>
      <c r="H30" s="8">
        <v>525</v>
      </c>
    </row>
    <row r="31" spans="1:8">
      <c r="A31" s="8">
        <v>0.05</v>
      </c>
      <c r="B31" s="8">
        <v>460</v>
      </c>
      <c r="C31" s="8">
        <v>0.05</v>
      </c>
      <c r="D31" s="8">
        <v>460</v>
      </c>
      <c r="E31" s="8">
        <v>0.05</v>
      </c>
      <c r="F31" s="8">
        <v>460</v>
      </c>
      <c r="G31" s="8">
        <v>0.05</v>
      </c>
      <c r="H31" s="8">
        <v>460</v>
      </c>
    </row>
    <row r="32" spans="1:8">
      <c r="A32" s="8">
        <v>5.5E-2</v>
      </c>
      <c r="B32" s="8">
        <v>393</v>
      </c>
      <c r="C32" s="8">
        <v>5.5E-2</v>
      </c>
      <c r="D32" s="8">
        <v>393</v>
      </c>
      <c r="E32" s="8">
        <v>5.5E-2</v>
      </c>
      <c r="F32" s="8">
        <v>393</v>
      </c>
      <c r="G32" s="8">
        <v>5.5E-2</v>
      </c>
      <c r="H32" s="8">
        <v>393</v>
      </c>
    </row>
    <row r="33" spans="1:8">
      <c r="A33" s="8">
        <v>0.06</v>
      </c>
      <c r="B33" s="8">
        <v>335</v>
      </c>
      <c r="C33" s="8">
        <v>0.06</v>
      </c>
      <c r="D33" s="8">
        <v>335</v>
      </c>
      <c r="E33" s="8">
        <v>0.06</v>
      </c>
      <c r="F33" s="8">
        <v>335</v>
      </c>
      <c r="G33" s="8">
        <v>0.06</v>
      </c>
      <c r="H33" s="8">
        <v>335</v>
      </c>
    </row>
    <row r="34" spans="1:8">
      <c r="A34" s="8">
        <v>6.5000000000000002E-2</v>
      </c>
      <c r="B34" s="8">
        <v>273</v>
      </c>
      <c r="C34" s="8">
        <v>6.5000000000000002E-2</v>
      </c>
      <c r="D34" s="8">
        <v>273</v>
      </c>
      <c r="E34" s="8">
        <v>6.5000000000000002E-2</v>
      </c>
      <c r="F34" s="8">
        <v>273</v>
      </c>
      <c r="G34" s="8">
        <v>6.5000000000000002E-2</v>
      </c>
      <c r="H34" s="8">
        <v>273</v>
      </c>
    </row>
    <row r="35" spans="1:8">
      <c r="A35" s="8">
        <v>7.0000000000000007E-2</v>
      </c>
      <c r="B35" s="8">
        <v>207</v>
      </c>
      <c r="C35" s="8">
        <v>7.0000000000000007E-2</v>
      </c>
      <c r="D35" s="8">
        <v>207</v>
      </c>
      <c r="E35" s="8">
        <v>7.0000000000000007E-2</v>
      </c>
      <c r="F35" s="8">
        <v>207</v>
      </c>
      <c r="G35" s="8">
        <v>7.0000000000000007E-2</v>
      </c>
      <c r="H35" s="8">
        <v>207</v>
      </c>
    </row>
    <row r="36" spans="1:8">
      <c r="A36" s="8">
        <v>7.4999999999999997E-2</v>
      </c>
      <c r="B36" s="8">
        <v>143</v>
      </c>
      <c r="C36" s="8">
        <v>7.4999999999999997E-2</v>
      </c>
      <c r="D36" s="8">
        <v>143</v>
      </c>
      <c r="E36" s="8">
        <v>7.4999999999999997E-2</v>
      </c>
      <c r="F36" s="8">
        <v>143</v>
      </c>
      <c r="G36" s="8">
        <v>7.4999999999999997E-2</v>
      </c>
      <c r="H36" s="8">
        <v>143</v>
      </c>
    </row>
    <row r="37" spans="1:8">
      <c r="A37" s="8">
        <v>0.08</v>
      </c>
      <c r="B37" s="8">
        <v>88</v>
      </c>
      <c r="C37" s="8">
        <v>0.08</v>
      </c>
      <c r="D37" s="8">
        <v>88</v>
      </c>
      <c r="E37" s="8">
        <v>0.08</v>
      </c>
      <c r="F37" s="8">
        <v>88</v>
      </c>
      <c r="G37" s="8">
        <v>0.08</v>
      </c>
      <c r="H37" s="8">
        <v>88</v>
      </c>
    </row>
    <row r="38" spans="1:8">
      <c r="A38" s="8">
        <v>5</v>
      </c>
      <c r="B38" s="8">
        <v>88</v>
      </c>
      <c r="C38" s="8">
        <v>5</v>
      </c>
      <c r="D38" s="8">
        <v>88</v>
      </c>
      <c r="E38" s="8">
        <v>5</v>
      </c>
      <c r="F38" s="8">
        <v>88</v>
      </c>
      <c r="G38" s="8">
        <v>5</v>
      </c>
      <c r="H38" s="8">
        <v>88</v>
      </c>
    </row>
    <row r="39" spans="1:8" ht="15" thickBot="1"/>
    <row r="40" spans="1:8" ht="15" thickBot="1">
      <c r="A40" s="240" t="s">
        <v>269</v>
      </c>
      <c r="B40" s="244"/>
      <c r="C40" s="244"/>
      <c r="D40" s="243"/>
    </row>
    <row r="41" spans="1:8" ht="15" thickBot="1">
      <c r="A41" s="240" t="s">
        <v>270</v>
      </c>
      <c r="B41" s="241"/>
      <c r="C41" s="242" t="s">
        <v>271</v>
      </c>
      <c r="D41" s="243"/>
    </row>
    <row r="42" spans="1:8">
      <c r="A42" s="9" t="s">
        <v>492</v>
      </c>
      <c r="B42" s="9" t="s">
        <v>493</v>
      </c>
      <c r="C42" s="9" t="s">
        <v>492</v>
      </c>
      <c r="D42" s="9" t="s">
        <v>493</v>
      </c>
    </row>
    <row r="43" spans="1:8">
      <c r="A43" s="8">
        <v>0</v>
      </c>
      <c r="B43" s="8">
        <v>0</v>
      </c>
      <c r="C43" s="8">
        <v>0</v>
      </c>
      <c r="D43" s="8">
        <v>0</v>
      </c>
    </row>
    <row r="44" spans="1:8">
      <c r="A44" s="8">
        <v>1</v>
      </c>
      <c r="B44" s="8">
        <v>0.32100000000000001</v>
      </c>
      <c r="C44" s="8">
        <v>1</v>
      </c>
      <c r="D44" s="8">
        <v>0.32100000000000001</v>
      </c>
    </row>
    <row r="45" spans="1:8">
      <c r="A45" s="8">
        <v>2</v>
      </c>
      <c r="B45" s="8">
        <v>0.64400000000000002</v>
      </c>
      <c r="C45" s="8">
        <v>2</v>
      </c>
      <c r="D45" s="8">
        <v>0.63100000000000001</v>
      </c>
    </row>
    <row r="46" spans="1:8">
      <c r="A46" s="8">
        <v>3</v>
      </c>
      <c r="B46" s="8">
        <v>0.84399999999999997</v>
      </c>
      <c r="C46" s="8">
        <v>3</v>
      </c>
      <c r="D46" s="8">
        <v>0.77600000000000002</v>
      </c>
    </row>
    <row r="47" spans="1:8">
      <c r="A47" s="8">
        <v>4</v>
      </c>
      <c r="B47" s="8">
        <v>0.98299999999999998</v>
      </c>
      <c r="C47" s="8">
        <v>4</v>
      </c>
      <c r="D47" s="8">
        <v>0.89300000000000002</v>
      </c>
    </row>
    <row r="48" spans="1:8">
      <c r="A48" s="8">
        <v>5</v>
      </c>
      <c r="B48" s="8">
        <v>1.077</v>
      </c>
      <c r="C48" s="8">
        <v>5</v>
      </c>
      <c r="D48" s="8">
        <v>0.96399999999999997</v>
      </c>
    </row>
    <row r="49" spans="1:4">
      <c r="A49" s="8">
        <v>6</v>
      </c>
      <c r="B49" s="8">
        <v>1.1619999999999999</v>
      </c>
      <c r="C49" s="8">
        <v>6</v>
      </c>
      <c r="D49" s="8">
        <v>1.032</v>
      </c>
    </row>
    <row r="50" spans="1:4">
      <c r="A50" s="8">
        <v>7</v>
      </c>
      <c r="B50" s="8">
        <v>1.2150000000000001</v>
      </c>
      <c r="C50" s="8">
        <v>7</v>
      </c>
      <c r="D50" s="8">
        <v>1.071</v>
      </c>
    </row>
    <row r="51" spans="1:4">
      <c r="A51" s="8">
        <v>8</v>
      </c>
      <c r="B51" s="8">
        <v>1.26</v>
      </c>
      <c r="C51" s="8">
        <v>8</v>
      </c>
      <c r="D51" s="8">
        <v>1.1080000000000001</v>
      </c>
    </row>
    <row r="52" spans="1:4">
      <c r="A52" s="8">
        <v>9</v>
      </c>
      <c r="B52" s="8">
        <v>1.2949999999999999</v>
      </c>
      <c r="C52" s="8">
        <v>9</v>
      </c>
      <c r="D52" s="8">
        <v>1.133</v>
      </c>
    </row>
    <row r="53" spans="1:4">
      <c r="A53" s="8">
        <v>10</v>
      </c>
      <c r="B53" s="8">
        <v>1.325</v>
      </c>
      <c r="C53" s="8">
        <v>10</v>
      </c>
      <c r="D53" s="8">
        <v>1.1519999999999999</v>
      </c>
    </row>
    <row r="54" spans="1:4">
      <c r="A54" s="8">
        <v>11</v>
      </c>
      <c r="B54" s="8">
        <v>1.3420000000000001</v>
      </c>
      <c r="C54" s="8">
        <v>11</v>
      </c>
      <c r="D54" s="8">
        <v>1.1639999999999999</v>
      </c>
    </row>
    <row r="55" spans="1:4">
      <c r="A55" s="8">
        <v>12</v>
      </c>
      <c r="B55" s="8">
        <v>1.3560000000000001</v>
      </c>
      <c r="C55" s="8">
        <v>12</v>
      </c>
      <c r="D55" s="8">
        <v>1.1719999999999999</v>
      </c>
    </row>
    <row r="56" spans="1:4">
      <c r="A56" s="8">
        <v>13</v>
      </c>
      <c r="B56" s="8">
        <v>1.363</v>
      </c>
      <c r="C56" s="8">
        <v>13</v>
      </c>
      <c r="D56" s="8">
        <v>1.173</v>
      </c>
    </row>
    <row r="57" spans="1:4">
      <c r="A57" s="8">
        <v>14</v>
      </c>
      <c r="B57" s="8">
        <v>1.3640000000000001</v>
      </c>
      <c r="C57" s="8">
        <v>14</v>
      </c>
      <c r="D57" s="8">
        <v>1.173</v>
      </c>
    </row>
    <row r="58" spans="1:4">
      <c r="A58" s="8">
        <v>15</v>
      </c>
      <c r="B58" s="8">
        <v>1.3640000000000001</v>
      </c>
      <c r="C58" s="8">
        <v>15</v>
      </c>
      <c r="D58" s="8">
        <v>1.173</v>
      </c>
    </row>
    <row r="59" spans="1:4">
      <c r="A59" s="8">
        <v>16</v>
      </c>
      <c r="B59" s="8">
        <v>1.3640000000000001</v>
      </c>
      <c r="C59" s="8">
        <v>16</v>
      </c>
      <c r="D59" s="8">
        <v>1.173</v>
      </c>
    </row>
    <row r="60" spans="1:4">
      <c r="A60" s="8">
        <v>17</v>
      </c>
      <c r="B60" s="8">
        <v>1.3640000000000001</v>
      </c>
      <c r="C60" s="8">
        <v>17</v>
      </c>
      <c r="D60" s="8">
        <v>1.173</v>
      </c>
    </row>
    <row r="61" spans="1:4">
      <c r="A61" s="8">
        <v>18</v>
      </c>
      <c r="B61" s="8">
        <v>1.3640000000000001</v>
      </c>
      <c r="C61" s="8">
        <v>18</v>
      </c>
      <c r="D61" s="8">
        <v>1.173</v>
      </c>
    </row>
    <row r="62" spans="1:4">
      <c r="A62" s="8">
        <v>19</v>
      </c>
      <c r="B62" s="8">
        <v>1.3640000000000001</v>
      </c>
      <c r="C62" s="8">
        <v>19</v>
      </c>
      <c r="D62" s="8">
        <v>1.173</v>
      </c>
    </row>
    <row r="63" spans="1:4">
      <c r="A63" s="8">
        <v>20</v>
      </c>
      <c r="B63" s="8">
        <v>1.3640000000000001</v>
      </c>
      <c r="C63" s="8">
        <v>20</v>
      </c>
      <c r="D63" s="8">
        <v>1.173</v>
      </c>
    </row>
    <row r="64" spans="1:4">
      <c r="A64" s="8">
        <v>21</v>
      </c>
      <c r="B64" s="8">
        <v>1.3640000000000001</v>
      </c>
      <c r="C64" s="8">
        <v>21</v>
      </c>
      <c r="D64" s="8">
        <v>1.173</v>
      </c>
    </row>
    <row r="65" spans="1:4">
      <c r="A65" s="8">
        <v>22</v>
      </c>
      <c r="B65" s="8">
        <v>1.3640000000000001</v>
      </c>
      <c r="C65" s="8">
        <v>22</v>
      </c>
      <c r="D65" s="8">
        <v>1.173</v>
      </c>
    </row>
    <row r="66" spans="1:4">
      <c r="A66" s="8">
        <v>23</v>
      </c>
      <c r="B66" s="8">
        <v>1.3640000000000001</v>
      </c>
      <c r="C66" s="8">
        <v>23</v>
      </c>
      <c r="D66" s="8">
        <v>1.173</v>
      </c>
    </row>
    <row r="67" spans="1:4">
      <c r="A67" s="8">
        <v>24</v>
      </c>
      <c r="B67" s="8">
        <v>1.3640000000000001</v>
      </c>
      <c r="C67" s="8">
        <v>24</v>
      </c>
      <c r="D67" s="8">
        <v>1.173</v>
      </c>
    </row>
    <row r="68" spans="1:4">
      <c r="A68" s="8">
        <v>25</v>
      </c>
      <c r="B68" s="8">
        <v>1.3640000000000001</v>
      </c>
      <c r="C68" s="8">
        <v>25</v>
      </c>
      <c r="D68" s="8">
        <v>1.173</v>
      </c>
    </row>
    <row r="69" spans="1:4">
      <c r="A69" s="8">
        <v>26</v>
      </c>
      <c r="B69" s="8">
        <v>1.3640000000000001</v>
      </c>
      <c r="C69" s="8">
        <v>26</v>
      </c>
      <c r="D69" s="8">
        <v>1.173</v>
      </c>
    </row>
    <row r="70" spans="1:4">
      <c r="A70" s="8">
        <v>27</v>
      </c>
      <c r="B70" s="8">
        <v>1.3640000000000001</v>
      </c>
      <c r="C70" s="8">
        <v>27</v>
      </c>
      <c r="D70" s="8">
        <v>1.173</v>
      </c>
    </row>
    <row r="71" spans="1:4">
      <c r="A71" s="8">
        <v>28</v>
      </c>
      <c r="B71" s="8">
        <v>1.3640000000000001</v>
      </c>
      <c r="C71" s="8">
        <v>28</v>
      </c>
      <c r="D71" s="8">
        <v>1.173</v>
      </c>
    </row>
    <row r="72" spans="1:4">
      <c r="A72" s="8">
        <v>29</v>
      </c>
      <c r="B72" s="8">
        <v>1.3640000000000001</v>
      </c>
      <c r="C72" s="8">
        <v>29</v>
      </c>
      <c r="D72" s="8">
        <v>1.173</v>
      </c>
    </row>
    <row r="73" spans="1:4">
      <c r="A73" s="8">
        <v>30</v>
      </c>
      <c r="B73" s="8">
        <v>1.3640000000000001</v>
      </c>
      <c r="C73" s="8">
        <v>30</v>
      </c>
      <c r="D73" s="8">
        <v>1.173</v>
      </c>
    </row>
    <row r="74" spans="1:4">
      <c r="A74" s="8">
        <v>31</v>
      </c>
      <c r="B74" s="8">
        <v>1.3640000000000001</v>
      </c>
      <c r="C74" s="8">
        <v>31</v>
      </c>
      <c r="D74" s="8">
        <v>1.173</v>
      </c>
    </row>
    <row r="75" spans="1:4">
      <c r="A75" s="8">
        <v>32</v>
      </c>
      <c r="B75" s="8">
        <v>1.3640000000000001</v>
      </c>
      <c r="C75" s="8">
        <v>32</v>
      </c>
      <c r="D75" s="8">
        <v>1.173</v>
      </c>
    </row>
    <row r="76" spans="1:4">
      <c r="A76" s="8">
        <v>60</v>
      </c>
      <c r="B76" s="8">
        <v>1.3640000000000001</v>
      </c>
      <c r="C76" s="8">
        <v>60</v>
      </c>
      <c r="D76" s="8">
        <v>1.173</v>
      </c>
    </row>
    <row r="77" spans="1:4" ht="15" thickBot="1"/>
    <row r="78" spans="1:4" ht="15" thickBot="1">
      <c r="A78" s="240" t="s">
        <v>280</v>
      </c>
      <c r="B78" s="243"/>
    </row>
    <row r="79" spans="1:4" ht="15" thickBot="1">
      <c r="A79" s="88" t="s">
        <v>494</v>
      </c>
      <c r="B79" s="89" t="s">
        <v>495</v>
      </c>
    </row>
    <row r="80" spans="1:4">
      <c r="A80" s="9">
        <v>1</v>
      </c>
      <c r="B80" s="9">
        <v>0.83069999999999999</v>
      </c>
    </row>
    <row r="81" spans="1:6">
      <c r="A81" s="8">
        <v>1.05</v>
      </c>
      <c r="B81" s="8">
        <v>0.90900000000000003</v>
      </c>
    </row>
    <row r="82" spans="1:6">
      <c r="A82" s="8">
        <v>1.1000000000000001</v>
      </c>
      <c r="B82" s="8">
        <v>0.99660000000000004</v>
      </c>
    </row>
    <row r="83" spans="1:6">
      <c r="A83" s="8">
        <v>1.1499999999999999</v>
      </c>
      <c r="B83" s="8">
        <v>1.0903</v>
      </c>
    </row>
    <row r="84" spans="1:6">
      <c r="A84" s="8">
        <v>1.2</v>
      </c>
      <c r="B84" s="8">
        <v>1.1909000000000001</v>
      </c>
    </row>
    <row r="85" spans="1:6">
      <c r="A85" s="8">
        <v>1.25</v>
      </c>
      <c r="B85" s="8">
        <v>1.2941</v>
      </c>
    </row>
    <row r="86" spans="1:6">
      <c r="A86" s="8">
        <v>1.3</v>
      </c>
      <c r="B86" s="8">
        <v>1.4</v>
      </c>
    </row>
    <row r="87" spans="1:6">
      <c r="A87" s="8">
        <v>5</v>
      </c>
      <c r="B87" s="8">
        <f>(B86-B85)/(A86-A85)*(A87-A86)+B86</f>
        <v>9.236599999999985</v>
      </c>
    </row>
    <row r="88" spans="1:6" ht="15" thickBot="1"/>
    <row r="89" spans="1:6" ht="15" thickBot="1">
      <c r="A89" s="240" t="s">
        <v>43</v>
      </c>
      <c r="B89" s="243"/>
    </row>
    <row r="90" spans="1:6" ht="15" thickBot="1">
      <c r="A90" s="88" t="s">
        <v>496</v>
      </c>
      <c r="B90" s="89" t="s">
        <v>497</v>
      </c>
    </row>
    <row r="91" spans="1:6">
      <c r="A91" s="9">
        <v>0</v>
      </c>
      <c r="B91" s="9">
        <v>1.5</v>
      </c>
    </row>
    <row r="92" spans="1:6">
      <c r="A92" s="8">
        <v>5.22</v>
      </c>
      <c r="B92" s="8">
        <v>1.5</v>
      </c>
    </row>
    <row r="93" spans="1:6">
      <c r="A93" s="8">
        <v>21.62</v>
      </c>
      <c r="B93" s="8">
        <v>1</v>
      </c>
    </row>
    <row r="94" spans="1:6">
      <c r="A94" s="8">
        <v>100</v>
      </c>
      <c r="B94" s="8">
        <v>1</v>
      </c>
    </row>
    <row r="95" spans="1:6" ht="15" thickBot="1"/>
    <row r="96" spans="1:6" ht="15" thickBot="1">
      <c r="A96" s="240" t="s">
        <v>309</v>
      </c>
      <c r="B96" s="244"/>
      <c r="C96" s="244"/>
      <c r="D96" s="244"/>
      <c r="E96" s="244"/>
      <c r="F96" s="243"/>
    </row>
    <row r="97" spans="1:6" ht="15" thickBot="1">
      <c r="A97" s="240" t="s">
        <v>310</v>
      </c>
      <c r="B97" s="243"/>
      <c r="C97" s="240" t="s">
        <v>311</v>
      </c>
      <c r="D97" s="243"/>
      <c r="E97" s="240" t="s">
        <v>312</v>
      </c>
      <c r="F97" s="243"/>
    </row>
    <row r="98" spans="1:6" ht="15" thickBot="1">
      <c r="A98" s="88" t="s">
        <v>490</v>
      </c>
      <c r="B98" s="90" t="s">
        <v>498</v>
      </c>
      <c r="C98" s="88" t="s">
        <v>490</v>
      </c>
      <c r="D98" s="90" t="s">
        <v>498</v>
      </c>
      <c r="E98" s="88" t="s">
        <v>490</v>
      </c>
      <c r="F98" s="90" t="s">
        <v>498</v>
      </c>
    </row>
    <row r="99" spans="1:6">
      <c r="A99" s="9">
        <v>1.018E-2</v>
      </c>
      <c r="B99" s="9">
        <v>19.818999999999999</v>
      </c>
      <c r="C99" s="9">
        <v>1.018E-2</v>
      </c>
      <c r="D99" s="9">
        <v>12.714</v>
      </c>
      <c r="E99" s="9">
        <v>1.018E-2</v>
      </c>
      <c r="F99" s="9">
        <v>6.8559999999999999</v>
      </c>
    </row>
    <row r="100" spans="1:6">
      <c r="A100" s="8">
        <v>1.061E-2</v>
      </c>
      <c r="B100" s="8">
        <v>19.818999999999999</v>
      </c>
      <c r="C100" s="8">
        <v>1.061E-2</v>
      </c>
      <c r="D100" s="8">
        <v>13.066000000000001</v>
      </c>
      <c r="E100" s="8">
        <v>1.061E-2</v>
      </c>
      <c r="F100" s="8">
        <v>7.2169999999999996</v>
      </c>
    </row>
    <row r="101" spans="1:6">
      <c r="A101" s="8">
        <v>1.2109999999999999E-2</v>
      </c>
      <c r="B101" s="8">
        <v>20.376000000000001</v>
      </c>
      <c r="C101" s="8">
        <v>1.2109999999999999E-2</v>
      </c>
      <c r="D101" s="8">
        <v>14.063000000000001</v>
      </c>
      <c r="E101" s="8">
        <v>1.2109999999999999E-2</v>
      </c>
      <c r="F101" s="8">
        <v>8.1029999999999998</v>
      </c>
    </row>
    <row r="102" spans="1:6">
      <c r="A102" s="8">
        <v>1.3939999999999999E-2</v>
      </c>
      <c r="B102" s="8">
        <v>20.675999999999998</v>
      </c>
      <c r="C102" s="8">
        <v>1.3939999999999999E-2</v>
      </c>
      <c r="D102" s="8">
        <v>14.603</v>
      </c>
      <c r="E102" s="8">
        <v>1.3939999999999999E-2</v>
      </c>
      <c r="F102" s="8">
        <v>8.7859999999999996</v>
      </c>
    </row>
    <row r="103" spans="1:6">
      <c r="A103" s="8">
        <v>1.541E-2</v>
      </c>
      <c r="B103" s="8">
        <v>20.632000000000001</v>
      </c>
      <c r="C103" s="8">
        <v>1.541E-2</v>
      </c>
      <c r="D103" s="8">
        <v>14.746</v>
      </c>
      <c r="E103" s="8">
        <v>1.541E-2</v>
      </c>
      <c r="F103" s="8">
        <v>9.1210000000000004</v>
      </c>
    </row>
    <row r="104" spans="1:6">
      <c r="A104" s="8">
        <v>1.729E-2</v>
      </c>
      <c r="B104" s="8">
        <v>20.338999999999999</v>
      </c>
      <c r="C104" s="8">
        <v>1.729E-2</v>
      </c>
      <c r="D104" s="8">
        <v>14.641</v>
      </c>
      <c r="E104" s="8">
        <v>1.729E-2</v>
      </c>
      <c r="F104" s="8">
        <v>9.3870000000000005</v>
      </c>
    </row>
    <row r="105" spans="1:6">
      <c r="A105" s="8">
        <v>2.018E-2</v>
      </c>
      <c r="B105" s="8">
        <v>19.387</v>
      </c>
      <c r="C105" s="8">
        <v>2.018E-2</v>
      </c>
      <c r="D105" s="8">
        <v>14.101000000000001</v>
      </c>
      <c r="E105" s="8">
        <v>2.018E-2</v>
      </c>
      <c r="F105" s="8">
        <v>9.51</v>
      </c>
    </row>
    <row r="106" spans="1:6">
      <c r="A106" s="8">
        <v>2.4250000000000001E-2</v>
      </c>
      <c r="B106" s="8">
        <v>17.248999999999999</v>
      </c>
      <c r="C106" s="8">
        <v>2.4250000000000001E-2</v>
      </c>
      <c r="D106" s="8">
        <v>12.5</v>
      </c>
      <c r="E106" s="8">
        <v>2.4250000000000001E-2</v>
      </c>
      <c r="F106" s="8">
        <v>9.3230000000000004</v>
      </c>
    </row>
    <row r="107" spans="1:6">
      <c r="A107" s="8">
        <v>2.9909999999999999E-2</v>
      </c>
      <c r="B107" s="8">
        <v>13.464</v>
      </c>
      <c r="C107" s="8">
        <v>2.9909999999999999E-2</v>
      </c>
      <c r="D107" s="8">
        <v>10.52</v>
      </c>
      <c r="E107" s="8">
        <v>2.9909999999999999E-2</v>
      </c>
      <c r="F107" s="8">
        <v>8.4469999999999992</v>
      </c>
    </row>
    <row r="108" spans="1:6">
      <c r="A108" s="8">
        <v>3.5819999999999998E-2</v>
      </c>
      <c r="B108" s="8">
        <v>10.35</v>
      </c>
      <c r="C108" s="8">
        <v>3.5819999999999998E-2</v>
      </c>
      <c r="D108" s="8">
        <v>8.7650000000000006</v>
      </c>
      <c r="E108" s="8">
        <v>3.5819999999999998E-2</v>
      </c>
      <c r="F108" s="8">
        <v>7.2</v>
      </c>
    </row>
    <row r="109" spans="1:6">
      <c r="A109" s="8">
        <v>4.0070000000000001E-2</v>
      </c>
      <c r="B109" s="8">
        <v>8.6809999999999992</v>
      </c>
      <c r="C109" s="8">
        <v>4.0070000000000001E-2</v>
      </c>
      <c r="D109" s="8">
        <v>7.6130000000000004</v>
      </c>
      <c r="E109" s="8">
        <v>4.0070000000000001E-2</v>
      </c>
      <c r="F109" s="8">
        <v>6.367</v>
      </c>
    </row>
    <row r="110" spans="1:6">
      <c r="A110" s="8">
        <v>4.4839999999999998E-2</v>
      </c>
      <c r="B110" s="8">
        <v>7.077</v>
      </c>
      <c r="C110" s="8">
        <v>4.4839999999999998E-2</v>
      </c>
      <c r="D110" s="8">
        <v>6.5519999999999996</v>
      </c>
      <c r="E110" s="8">
        <v>4.4839999999999998E-2</v>
      </c>
      <c r="F110" s="8">
        <v>5.55</v>
      </c>
    </row>
    <row r="111" spans="1:6">
      <c r="A111" s="8">
        <v>5.0119999999999998E-2</v>
      </c>
      <c r="B111" s="8">
        <v>5.9139999999999997</v>
      </c>
      <c r="C111" s="8">
        <v>5.0119999999999998E-2</v>
      </c>
      <c r="D111" s="8">
        <v>5.4649999999999999</v>
      </c>
      <c r="E111" s="8">
        <v>5.0119999999999998E-2</v>
      </c>
      <c r="F111" s="8">
        <v>4.734</v>
      </c>
    </row>
    <row r="112" spans="1:6">
      <c r="A112" s="8">
        <v>5.4960000000000002E-2</v>
      </c>
      <c r="B112" s="8">
        <v>5.15</v>
      </c>
      <c r="C112" s="8">
        <v>5.4960000000000002E-2</v>
      </c>
      <c r="D112" s="8">
        <v>4.5999999999999996</v>
      </c>
      <c r="E112" s="8">
        <v>5.4960000000000002E-2</v>
      </c>
      <c r="F112" s="8">
        <v>4.0359999999999996</v>
      </c>
    </row>
    <row r="113" spans="1:8">
      <c r="A113" s="8">
        <v>5.9990000000000002E-2</v>
      </c>
      <c r="B113" s="8">
        <v>4.1529999999999996</v>
      </c>
      <c r="C113" s="8">
        <v>5.9990000000000002E-2</v>
      </c>
      <c r="D113" s="8">
        <v>3.7850000000000001</v>
      </c>
      <c r="E113" s="8">
        <v>5.9990000000000002E-2</v>
      </c>
      <c r="F113" s="8">
        <v>3.3260000000000001</v>
      </c>
    </row>
    <row r="114" spans="1:8">
      <c r="A114" s="8">
        <v>6.4879999999999993E-2</v>
      </c>
      <c r="B114" s="8">
        <v>3.4649999999999999</v>
      </c>
      <c r="C114" s="8">
        <v>6.4879999999999993E-2</v>
      </c>
      <c r="D114" s="8">
        <v>3.1240000000000001</v>
      </c>
      <c r="E114" s="8">
        <v>6.4879999999999993E-2</v>
      </c>
      <c r="F114" s="8">
        <v>2.7530000000000001</v>
      </c>
    </row>
    <row r="115" spans="1:8">
      <c r="A115" s="8">
        <v>7.0050000000000001E-2</v>
      </c>
      <c r="B115" s="8">
        <v>2.823</v>
      </c>
      <c r="C115" s="8">
        <v>7.0050000000000001E-2</v>
      </c>
      <c r="D115" s="8">
        <v>2.4940000000000002</v>
      </c>
      <c r="E115" s="8">
        <v>7.0050000000000001E-2</v>
      </c>
      <c r="F115" s="8">
        <v>2.1859999999999999</v>
      </c>
    </row>
    <row r="116" spans="1:8">
      <c r="A116" s="8">
        <v>7.4929999999999997E-2</v>
      </c>
      <c r="B116" s="8">
        <v>2.323</v>
      </c>
      <c r="C116" s="8">
        <v>7.4929999999999997E-2</v>
      </c>
      <c r="D116" s="8">
        <v>2.0350000000000001</v>
      </c>
      <c r="E116" s="8">
        <v>7.4929999999999997E-2</v>
      </c>
      <c r="F116" s="8">
        <v>1.7270000000000001</v>
      </c>
    </row>
    <row r="117" spans="1:8" ht="16.2" customHeight="1">
      <c r="A117" s="8">
        <v>0.08</v>
      </c>
      <c r="B117" s="8">
        <v>1.9059999999999999</v>
      </c>
      <c r="C117" s="8">
        <v>0.08</v>
      </c>
      <c r="D117" s="8">
        <v>1.605</v>
      </c>
      <c r="E117" s="8">
        <v>0.08</v>
      </c>
      <c r="F117" s="8">
        <v>1.3009999999999999</v>
      </c>
    </row>
    <row r="118" spans="1:8">
      <c r="A118" s="8">
        <v>5</v>
      </c>
      <c r="B118" s="8">
        <v>1.9059999999999999</v>
      </c>
      <c r="C118" s="8">
        <v>5</v>
      </c>
      <c r="D118" s="8">
        <v>1.605</v>
      </c>
      <c r="E118" s="8">
        <v>5</v>
      </c>
      <c r="F118" s="8">
        <v>1.3009999999999999</v>
      </c>
    </row>
    <row r="119" spans="1:8" ht="15" thickBot="1"/>
    <row r="120" spans="1:8" ht="15" thickBot="1">
      <c r="A120" s="240" t="s">
        <v>316</v>
      </c>
      <c r="B120" s="244"/>
      <c r="C120" s="244"/>
      <c r="D120" s="244"/>
      <c r="E120" s="244"/>
      <c r="F120" s="244"/>
      <c r="G120" s="244"/>
      <c r="H120" s="243"/>
    </row>
    <row r="121" spans="1:8" ht="15" thickBot="1">
      <c r="A121" s="240" t="s">
        <v>317</v>
      </c>
      <c r="B121" s="243"/>
      <c r="C121" s="240" t="s">
        <v>318</v>
      </c>
      <c r="D121" s="243"/>
      <c r="E121" s="240" t="s">
        <v>319</v>
      </c>
      <c r="F121" s="243"/>
      <c r="G121" s="240" t="s">
        <v>320</v>
      </c>
      <c r="H121" s="243"/>
    </row>
    <row r="122" spans="1:8" ht="15" thickBot="1">
      <c r="A122" s="88" t="s">
        <v>499</v>
      </c>
      <c r="B122" s="90" t="s">
        <v>500</v>
      </c>
      <c r="C122" s="88" t="s">
        <v>499</v>
      </c>
      <c r="D122" s="90" t="s">
        <v>500</v>
      </c>
      <c r="E122" s="88" t="s">
        <v>499</v>
      </c>
      <c r="F122" s="90" t="s">
        <v>500</v>
      </c>
      <c r="G122" s="88" t="s">
        <v>499</v>
      </c>
      <c r="H122" s="90" t="s">
        <v>500</v>
      </c>
    </row>
    <row r="123" spans="1:8">
      <c r="A123" s="9">
        <v>0</v>
      </c>
      <c r="B123" s="9">
        <v>1.444</v>
      </c>
      <c r="C123" s="9">
        <v>0</v>
      </c>
      <c r="D123" s="9">
        <v>1.093</v>
      </c>
      <c r="E123" s="9">
        <v>0</v>
      </c>
      <c r="F123" s="9">
        <v>0.85299999999999998</v>
      </c>
      <c r="G123" s="9">
        <v>0</v>
      </c>
      <c r="H123" s="9">
        <v>0.67900000000000005</v>
      </c>
    </row>
    <row r="124" spans="1:8">
      <c r="A124" s="8">
        <v>2.1240000000000001</v>
      </c>
      <c r="B124" s="8">
        <v>1.444</v>
      </c>
      <c r="C124" s="8">
        <v>2.1240000000000001</v>
      </c>
      <c r="D124" s="8">
        <v>1.093</v>
      </c>
      <c r="E124" s="8">
        <v>2.1240000000000001</v>
      </c>
      <c r="F124" s="8">
        <v>0.85299999999999998</v>
      </c>
      <c r="G124" s="8">
        <v>2.1240000000000001</v>
      </c>
      <c r="H124" s="8">
        <v>0.67900000000000005</v>
      </c>
    </row>
    <row r="125" spans="1:8">
      <c r="A125" s="8">
        <v>2.35</v>
      </c>
      <c r="B125" s="8">
        <v>1.444</v>
      </c>
      <c r="C125" s="8">
        <v>2.35</v>
      </c>
      <c r="D125" s="8">
        <v>1.105</v>
      </c>
      <c r="E125" s="8">
        <v>2.35</v>
      </c>
      <c r="F125" s="8">
        <v>0.86399999999999999</v>
      </c>
      <c r="G125" s="8">
        <v>2.35</v>
      </c>
      <c r="H125" s="8">
        <v>0.68899999999999995</v>
      </c>
    </row>
    <row r="126" spans="1:8">
      <c r="A126" s="8">
        <v>3.1720000000000002</v>
      </c>
      <c r="B126" s="8">
        <v>1.48</v>
      </c>
      <c r="C126" s="8">
        <v>3.1720000000000002</v>
      </c>
      <c r="D126" s="8">
        <v>1.141</v>
      </c>
      <c r="E126" s="8">
        <v>3.1720000000000002</v>
      </c>
      <c r="F126" s="8">
        <v>0.88500000000000001</v>
      </c>
      <c r="G126" s="8">
        <v>3.1720000000000002</v>
      </c>
      <c r="H126" s="8">
        <v>0.71099999999999997</v>
      </c>
    </row>
    <row r="127" spans="1:8">
      <c r="A127" s="8">
        <v>3.952</v>
      </c>
      <c r="B127" s="8">
        <v>1.4910000000000001</v>
      </c>
      <c r="C127" s="8">
        <v>3.952</v>
      </c>
      <c r="D127" s="8">
        <v>1.1579999999999999</v>
      </c>
      <c r="E127" s="8">
        <v>3.952</v>
      </c>
      <c r="F127" s="8">
        <v>0.89600000000000002</v>
      </c>
      <c r="G127" s="8">
        <v>3.952</v>
      </c>
      <c r="H127" s="8">
        <v>0.72499999999999998</v>
      </c>
    </row>
    <row r="128" spans="1:8">
      <c r="A128" s="8">
        <v>4.9349999999999996</v>
      </c>
      <c r="B128" s="8">
        <v>1.4830000000000001</v>
      </c>
      <c r="C128" s="8">
        <v>4.9349999999999996</v>
      </c>
      <c r="D128" s="8">
        <v>1.1639999999999999</v>
      </c>
      <c r="E128" s="8">
        <v>4.9349999999999996</v>
      </c>
      <c r="F128" s="8">
        <v>0.90200000000000002</v>
      </c>
      <c r="G128" s="8">
        <v>4.9349999999999996</v>
      </c>
      <c r="H128" s="8">
        <v>0.73199999999999998</v>
      </c>
    </row>
    <row r="129" spans="1:8">
      <c r="A129" s="8">
        <v>6</v>
      </c>
      <c r="B129" s="8">
        <v>1.4670000000000001</v>
      </c>
      <c r="C129" s="8">
        <v>6</v>
      </c>
      <c r="D129" s="8">
        <v>1.157</v>
      </c>
      <c r="E129" s="8">
        <v>6</v>
      </c>
      <c r="F129" s="8">
        <v>0.9</v>
      </c>
      <c r="G129" s="8">
        <v>6</v>
      </c>
      <c r="H129" s="8">
        <v>0.72699999999999998</v>
      </c>
    </row>
    <row r="130" spans="1:8">
      <c r="A130" s="8">
        <v>8</v>
      </c>
      <c r="B130" s="8">
        <v>1.413</v>
      </c>
      <c r="C130" s="8">
        <v>8</v>
      </c>
      <c r="D130" s="8">
        <v>1.117</v>
      </c>
      <c r="E130" s="8">
        <v>8</v>
      </c>
      <c r="F130" s="8">
        <v>0.89</v>
      </c>
      <c r="G130" s="8">
        <v>8</v>
      </c>
      <c r="H130" s="8">
        <v>0.71299999999999997</v>
      </c>
    </row>
    <row r="131" spans="1:8">
      <c r="A131" s="8">
        <v>10</v>
      </c>
      <c r="B131" s="8">
        <v>1.339</v>
      </c>
      <c r="C131" s="8">
        <v>10</v>
      </c>
      <c r="D131" s="8">
        <v>1.0720000000000001</v>
      </c>
      <c r="E131" s="8">
        <v>10</v>
      </c>
      <c r="F131" s="8">
        <v>0.87</v>
      </c>
      <c r="G131" s="8">
        <v>10</v>
      </c>
      <c r="H131" s="8">
        <v>0.69599999999999995</v>
      </c>
    </row>
    <row r="132" spans="1:8">
      <c r="A132" s="8">
        <v>12</v>
      </c>
      <c r="B132" s="8">
        <v>1.272</v>
      </c>
      <c r="C132" s="8">
        <v>12</v>
      </c>
      <c r="D132" s="8">
        <v>1.0309999999999999</v>
      </c>
      <c r="E132" s="8">
        <v>12</v>
      </c>
      <c r="F132" s="8">
        <v>0.84399999999999997</v>
      </c>
      <c r="G132" s="8">
        <v>12</v>
      </c>
      <c r="H132" s="8">
        <v>0.67400000000000004</v>
      </c>
    </row>
    <row r="133" spans="1:8">
      <c r="A133" s="8">
        <v>14</v>
      </c>
      <c r="B133" s="8">
        <v>1.2230000000000001</v>
      </c>
      <c r="C133" s="8">
        <v>14</v>
      </c>
      <c r="D133" s="8">
        <v>0.99299999999999999</v>
      </c>
      <c r="E133" s="8">
        <v>14</v>
      </c>
      <c r="F133" s="8">
        <v>0.81200000000000006</v>
      </c>
      <c r="G133" s="8">
        <v>14</v>
      </c>
      <c r="H133" s="8">
        <v>0.65300000000000002</v>
      </c>
    </row>
    <row r="134" spans="1:8">
      <c r="A134" s="8">
        <v>18</v>
      </c>
      <c r="B134" s="8">
        <v>1.1679999999999999</v>
      </c>
      <c r="C134" s="8">
        <v>18</v>
      </c>
      <c r="D134" s="8">
        <v>0.93200000000000005</v>
      </c>
      <c r="E134" s="8">
        <v>18</v>
      </c>
      <c r="F134" s="8">
        <v>0.77200000000000002</v>
      </c>
      <c r="G134" s="8">
        <v>18</v>
      </c>
      <c r="H134" s="8">
        <v>0.61899999999999999</v>
      </c>
    </row>
    <row r="135" spans="1:8">
      <c r="A135" s="8">
        <v>30</v>
      </c>
      <c r="B135" s="8">
        <v>1.0469999999999999</v>
      </c>
      <c r="C135" s="8">
        <v>30</v>
      </c>
      <c r="D135" s="8">
        <v>0.79900000000000004</v>
      </c>
      <c r="E135" s="8">
        <v>30</v>
      </c>
      <c r="F135" s="8">
        <v>0.67300000000000004</v>
      </c>
      <c r="G135" s="8">
        <v>30</v>
      </c>
      <c r="H135" s="8">
        <v>0.53600000000000003</v>
      </c>
    </row>
    <row r="136" spans="1:8">
      <c r="A136" s="8">
        <v>40</v>
      </c>
      <c r="B136" s="8">
        <v>0.96299999999999997</v>
      </c>
      <c r="C136" s="8">
        <v>40</v>
      </c>
      <c r="D136" s="8">
        <v>0.72599999999999998</v>
      </c>
      <c r="E136" s="8">
        <v>40</v>
      </c>
      <c r="F136" s="8">
        <v>0.59599999999999997</v>
      </c>
      <c r="G136" s="8">
        <v>40</v>
      </c>
      <c r="H136" s="8">
        <v>0.47699999999999998</v>
      </c>
    </row>
    <row r="137" spans="1:8">
      <c r="A137" s="8">
        <v>42</v>
      </c>
      <c r="B137" s="8">
        <v>0.94599999999999995</v>
      </c>
      <c r="C137" s="8">
        <v>42</v>
      </c>
      <c r="D137" s="8">
        <v>0.71399999999999997</v>
      </c>
      <c r="E137" s="8">
        <v>42</v>
      </c>
      <c r="F137" s="8">
        <v>0.57899999999999996</v>
      </c>
      <c r="G137" s="8">
        <v>42</v>
      </c>
      <c r="H137" s="8">
        <v>0.46899999999999997</v>
      </c>
    </row>
    <row r="138" spans="1:8">
      <c r="A138" s="8">
        <v>60</v>
      </c>
      <c r="B138" s="8">
        <v>0.94599999999999995</v>
      </c>
      <c r="C138" s="8">
        <v>60</v>
      </c>
      <c r="D138" s="8">
        <v>0.71399999999999997</v>
      </c>
      <c r="E138" s="8">
        <v>60</v>
      </c>
      <c r="F138" s="8">
        <v>0.57899999999999996</v>
      </c>
      <c r="G138" s="8">
        <v>60</v>
      </c>
      <c r="H138" s="8">
        <v>0.46899999999999997</v>
      </c>
    </row>
    <row r="139" spans="1:8" ht="15" thickBot="1"/>
    <row r="140" spans="1:8" ht="15" thickBot="1">
      <c r="A140" s="240" t="s">
        <v>283</v>
      </c>
      <c r="B140" s="244"/>
      <c r="C140" s="244"/>
      <c r="D140" s="244"/>
      <c r="E140" s="244"/>
      <c r="F140" s="243"/>
    </row>
    <row r="141" spans="1:8" ht="15" thickBot="1">
      <c r="A141" s="240" t="s">
        <v>284</v>
      </c>
      <c r="B141" s="244"/>
      <c r="C141" s="241"/>
      <c r="D141" s="242" t="s">
        <v>285</v>
      </c>
      <c r="E141" s="244"/>
      <c r="F141" s="243"/>
    </row>
    <row r="142" spans="1:8">
      <c r="A142" s="9"/>
      <c r="B142" s="9" t="s">
        <v>281</v>
      </c>
      <c r="C142" s="9" t="s">
        <v>282</v>
      </c>
      <c r="D142" s="9"/>
      <c r="E142" s="9" t="s">
        <v>281</v>
      </c>
      <c r="F142" s="9" t="s">
        <v>282</v>
      </c>
    </row>
    <row r="143" spans="1:8">
      <c r="A143" s="8" t="s">
        <v>286</v>
      </c>
      <c r="B143" s="8">
        <v>1</v>
      </c>
      <c r="C143" s="8">
        <v>1</v>
      </c>
      <c r="D143" s="8" t="s">
        <v>286</v>
      </c>
      <c r="E143" s="8">
        <v>1</v>
      </c>
      <c r="F143" s="8">
        <v>1</v>
      </c>
    </row>
    <row r="144" spans="1:8">
      <c r="A144" s="8" t="s">
        <v>287</v>
      </c>
      <c r="B144" s="8">
        <v>1</v>
      </c>
      <c r="C144" s="8">
        <v>0.75</v>
      </c>
      <c r="D144" s="8" t="s">
        <v>287</v>
      </c>
      <c r="E144" s="8">
        <v>1</v>
      </c>
      <c r="F144" s="8">
        <v>0.65</v>
      </c>
    </row>
    <row r="145" spans="1:6">
      <c r="A145" s="8" t="s">
        <v>288</v>
      </c>
      <c r="B145" s="8">
        <v>1.1000000000000001</v>
      </c>
      <c r="C145" s="8">
        <v>1</v>
      </c>
      <c r="D145" s="8" t="s">
        <v>288</v>
      </c>
      <c r="E145" s="8">
        <v>1.1000000000000001</v>
      </c>
      <c r="F145" s="8">
        <v>1</v>
      </c>
    </row>
    <row r="146" spans="1:6">
      <c r="A146" s="8" t="s">
        <v>291</v>
      </c>
      <c r="B146" s="8">
        <v>1.2</v>
      </c>
      <c r="C146" s="8">
        <v>0.8</v>
      </c>
      <c r="D146" s="8" t="s">
        <v>291</v>
      </c>
      <c r="E146" s="8">
        <v>1.1000000000000001</v>
      </c>
      <c r="F146" s="8">
        <v>0.65</v>
      </c>
    </row>
    <row r="147" spans="1:6">
      <c r="A147" s="8" t="s">
        <v>290</v>
      </c>
      <c r="B147" s="8">
        <v>0.9</v>
      </c>
      <c r="C147" s="8">
        <v>1</v>
      </c>
      <c r="D147" s="8" t="s">
        <v>290</v>
      </c>
      <c r="E147" s="8">
        <v>0.9</v>
      </c>
      <c r="F147" s="8">
        <v>1</v>
      </c>
    </row>
    <row r="148" spans="1:6">
      <c r="A148" s="8" t="s">
        <v>289</v>
      </c>
      <c r="B148" s="8">
        <v>0.9</v>
      </c>
      <c r="C148" s="8">
        <v>0.65</v>
      </c>
      <c r="D148" s="8" t="s">
        <v>289</v>
      </c>
      <c r="E148" s="8">
        <v>0.9</v>
      </c>
      <c r="F148" s="8">
        <v>0.65</v>
      </c>
    </row>
    <row r="151" spans="1:6">
      <c r="A151" s="8" t="s">
        <v>298</v>
      </c>
      <c r="B151" s="8" t="s">
        <v>295</v>
      </c>
      <c r="C151" s="8" t="s">
        <v>296</v>
      </c>
      <c r="D151" s="8" t="s">
        <v>294</v>
      </c>
      <c r="E151" s="8" t="s">
        <v>297</v>
      </c>
    </row>
    <row r="152" spans="1:6">
      <c r="A152" s="8" t="str">
        <f t="shared" ref="A152:A183" si="0">_xlfn.CONCAT(B152, " ", C152)</f>
        <v>24000 Seamless</v>
      </c>
      <c r="B152" s="8">
        <v>24000</v>
      </c>
      <c r="C152" s="8" t="s">
        <v>67</v>
      </c>
      <c r="D152" s="8">
        <v>12000</v>
      </c>
      <c r="E152" s="8">
        <v>21000</v>
      </c>
    </row>
    <row r="153" spans="1:6">
      <c r="A153" s="8" t="str">
        <f t="shared" si="0"/>
        <v>30000 Seamless</v>
      </c>
      <c r="B153" s="8">
        <v>30000</v>
      </c>
      <c r="C153" s="8" t="s">
        <v>67</v>
      </c>
      <c r="D153" s="8">
        <v>12000</v>
      </c>
      <c r="E153" s="8">
        <v>21000</v>
      </c>
    </row>
    <row r="154" spans="1:6">
      <c r="A154" s="8" t="str">
        <f t="shared" si="0"/>
        <v>35000 Seamless</v>
      </c>
      <c r="B154" s="8">
        <v>35000</v>
      </c>
      <c r="C154" s="8" t="s">
        <v>67</v>
      </c>
      <c r="D154" s="8">
        <v>12000</v>
      </c>
      <c r="E154" s="8">
        <v>21000</v>
      </c>
    </row>
    <row r="155" spans="1:6">
      <c r="A155" s="8" t="str">
        <f t="shared" si="0"/>
        <v>42000 Seamless</v>
      </c>
      <c r="B155" s="8">
        <v>42000</v>
      </c>
      <c r="C155" s="8" t="s">
        <v>67</v>
      </c>
      <c r="D155" s="8">
        <v>12000</v>
      </c>
      <c r="E155" s="8">
        <v>21000</v>
      </c>
    </row>
    <row r="156" spans="1:6">
      <c r="A156" s="8" t="str">
        <f t="shared" si="0"/>
        <v>46000 Seamless</v>
      </c>
      <c r="B156" s="8">
        <v>46000</v>
      </c>
      <c r="C156" s="8" t="s">
        <v>67</v>
      </c>
      <c r="D156" s="8">
        <v>12000</v>
      </c>
      <c r="E156" s="8">
        <v>21000</v>
      </c>
    </row>
    <row r="157" spans="1:6">
      <c r="A157" s="8" t="str">
        <f t="shared" si="0"/>
        <v>52000 Seamless</v>
      </c>
      <c r="B157" s="8">
        <v>52000</v>
      </c>
      <c r="C157" s="8" t="s">
        <v>67</v>
      </c>
      <c r="D157" s="8">
        <v>12000</v>
      </c>
      <c r="E157" s="8">
        <v>21000</v>
      </c>
    </row>
    <row r="158" spans="1:6">
      <c r="A158" s="8" t="str">
        <f t="shared" si="0"/>
        <v>56000 Seamless</v>
      </c>
      <c r="B158" s="8">
        <v>56000</v>
      </c>
      <c r="C158" s="8" t="s">
        <v>67</v>
      </c>
      <c r="D158" s="8">
        <v>12000</v>
      </c>
      <c r="E158" s="8">
        <v>23000</v>
      </c>
    </row>
    <row r="159" spans="1:6">
      <c r="A159" s="8" t="str">
        <f t="shared" si="0"/>
        <v>60000 Seamless</v>
      </c>
      <c r="B159" s="8">
        <v>60000</v>
      </c>
      <c r="C159" s="8" t="s">
        <v>67</v>
      </c>
      <c r="D159" s="8">
        <v>12000</v>
      </c>
      <c r="E159" s="8">
        <v>23000</v>
      </c>
    </row>
    <row r="160" spans="1:6">
      <c r="A160" s="8" t="str">
        <f t="shared" si="0"/>
        <v>65000 Seamless</v>
      </c>
      <c r="B160" s="8">
        <v>65000</v>
      </c>
      <c r="C160" s="8" t="s">
        <v>67</v>
      </c>
      <c r="D160" s="8">
        <v>12000</v>
      </c>
      <c r="E160" s="8">
        <v>23000</v>
      </c>
    </row>
    <row r="161" spans="1:5">
      <c r="A161" s="8" t="str">
        <f t="shared" si="0"/>
        <v>70000 Seamless</v>
      </c>
      <c r="B161" s="8">
        <v>70000</v>
      </c>
      <c r="C161" s="8" t="s">
        <v>67</v>
      </c>
      <c r="D161" s="8">
        <v>12000</v>
      </c>
      <c r="E161" s="8">
        <v>25000</v>
      </c>
    </row>
    <row r="162" spans="1:5">
      <c r="A162" s="8" t="str">
        <f t="shared" si="0"/>
        <v>80000 Seamless</v>
      </c>
      <c r="B162" s="8">
        <v>80000</v>
      </c>
      <c r="C162" s="8" t="s">
        <v>67</v>
      </c>
      <c r="D162" s="8">
        <v>12000</v>
      </c>
      <c r="E162" s="8">
        <v>27000</v>
      </c>
    </row>
    <row r="163" spans="1:5">
      <c r="A163" s="8" t="str">
        <f t="shared" si="0"/>
        <v>24000 Electric Resistance Welded</v>
      </c>
      <c r="B163" s="8">
        <v>24000</v>
      </c>
      <c r="C163" s="8" t="s">
        <v>299</v>
      </c>
      <c r="D163" s="8">
        <v>12000</v>
      </c>
      <c r="E163" s="8">
        <v>21000</v>
      </c>
    </row>
    <row r="164" spans="1:5">
      <c r="A164" s="8" t="str">
        <f t="shared" si="0"/>
        <v>30000 Electric Resistance Welded</v>
      </c>
      <c r="B164" s="8">
        <v>30000</v>
      </c>
      <c r="C164" s="8" t="s">
        <v>299</v>
      </c>
      <c r="D164" s="8">
        <v>12000</v>
      </c>
      <c r="E164" s="8">
        <v>21000</v>
      </c>
    </row>
    <row r="165" spans="1:5">
      <c r="A165" s="8" t="str">
        <f t="shared" si="0"/>
        <v>35000 Electric Resistance Welded</v>
      </c>
      <c r="B165" s="8">
        <v>35000</v>
      </c>
      <c r="C165" s="8" t="s">
        <v>299</v>
      </c>
      <c r="D165" s="8">
        <v>12000</v>
      </c>
      <c r="E165" s="8">
        <v>21000</v>
      </c>
    </row>
    <row r="166" spans="1:5">
      <c r="A166" s="8" t="str">
        <f t="shared" si="0"/>
        <v>42000 Electric Resistance Welded</v>
      </c>
      <c r="B166" s="8">
        <v>42000</v>
      </c>
      <c r="C166" s="8" t="s">
        <v>299</v>
      </c>
      <c r="D166" s="8">
        <v>12000</v>
      </c>
      <c r="E166" s="8">
        <v>21000</v>
      </c>
    </row>
    <row r="167" spans="1:5">
      <c r="A167" s="8" t="str">
        <f t="shared" si="0"/>
        <v>46000 Electric Resistance Welded</v>
      </c>
      <c r="B167" s="8">
        <v>46000</v>
      </c>
      <c r="C167" s="8" t="s">
        <v>299</v>
      </c>
      <c r="D167" s="8">
        <v>12000</v>
      </c>
      <c r="E167" s="8">
        <v>21000</v>
      </c>
    </row>
    <row r="168" spans="1:5">
      <c r="A168" s="8" t="str">
        <f t="shared" si="0"/>
        <v>52000 Electric Resistance Welded</v>
      </c>
      <c r="B168" s="8">
        <v>52000</v>
      </c>
      <c r="C168" s="8" t="s">
        <v>299</v>
      </c>
      <c r="D168" s="8">
        <v>12000</v>
      </c>
      <c r="E168" s="8">
        <v>21000</v>
      </c>
    </row>
    <row r="169" spans="1:5">
      <c r="A169" s="8" t="str">
        <f t="shared" si="0"/>
        <v>56000 Electric Resistance Welded</v>
      </c>
      <c r="B169" s="8">
        <v>56000</v>
      </c>
      <c r="C169" s="8" t="s">
        <v>299</v>
      </c>
      <c r="D169" s="8">
        <v>12000</v>
      </c>
      <c r="E169" s="8">
        <v>23000</v>
      </c>
    </row>
    <row r="170" spans="1:5">
      <c r="A170" s="8" t="str">
        <f t="shared" si="0"/>
        <v>60000 Electric Resistance Welded</v>
      </c>
      <c r="B170" s="8">
        <v>60000</v>
      </c>
      <c r="C170" s="8" t="s">
        <v>299</v>
      </c>
      <c r="D170" s="8">
        <v>12000</v>
      </c>
      <c r="E170" s="8">
        <v>23000</v>
      </c>
    </row>
    <row r="171" spans="1:5">
      <c r="A171" s="8" t="str">
        <f t="shared" si="0"/>
        <v>65000 Electric Resistance Welded</v>
      </c>
      <c r="B171" s="8">
        <v>65000</v>
      </c>
      <c r="C171" s="8" t="s">
        <v>299</v>
      </c>
      <c r="D171" s="8">
        <v>12000</v>
      </c>
      <c r="E171" s="8">
        <v>23000</v>
      </c>
    </row>
    <row r="172" spans="1:5">
      <c r="A172" s="8" t="str">
        <f t="shared" si="0"/>
        <v>70000 Electric Resistance Welded</v>
      </c>
      <c r="B172" s="8">
        <v>70000</v>
      </c>
      <c r="C172" s="8" t="s">
        <v>299</v>
      </c>
      <c r="D172" s="8">
        <v>12000</v>
      </c>
      <c r="E172" s="8">
        <v>25000</v>
      </c>
    </row>
    <row r="173" spans="1:5">
      <c r="A173" s="8" t="str">
        <f t="shared" si="0"/>
        <v>80000 Electric Resistance Welded</v>
      </c>
      <c r="B173" s="8">
        <v>80000</v>
      </c>
      <c r="C173" s="8" t="s">
        <v>299</v>
      </c>
      <c r="D173" s="8">
        <v>12000</v>
      </c>
      <c r="E173" s="8">
        <v>27000</v>
      </c>
    </row>
    <row r="174" spans="1:5">
      <c r="A174" s="8" t="str">
        <f t="shared" si="0"/>
        <v>24000 Furnace Butt Welded</v>
      </c>
      <c r="B174" s="8">
        <v>24000</v>
      </c>
      <c r="C174" s="8" t="s">
        <v>68</v>
      </c>
      <c r="D174" s="8">
        <v>12000</v>
      </c>
      <c r="E174" s="8">
        <v>21000</v>
      </c>
    </row>
    <row r="175" spans="1:5">
      <c r="A175" s="8" t="str">
        <f t="shared" si="0"/>
        <v>30000 Furnace Butt Welded</v>
      </c>
      <c r="B175" s="8">
        <v>30000</v>
      </c>
      <c r="C175" s="8" t="s">
        <v>68</v>
      </c>
      <c r="D175" s="8">
        <v>12000</v>
      </c>
      <c r="E175" s="8">
        <v>21000</v>
      </c>
    </row>
    <row r="176" spans="1:5">
      <c r="A176" s="8" t="str">
        <f t="shared" si="0"/>
        <v>35000 Furnace Butt Welded</v>
      </c>
      <c r="B176" s="8">
        <v>35000</v>
      </c>
      <c r="C176" s="8" t="s">
        <v>68</v>
      </c>
      <c r="D176" s="8">
        <v>12000</v>
      </c>
      <c r="E176" s="8">
        <v>21000</v>
      </c>
    </row>
    <row r="177" spans="1:5">
      <c r="A177" s="8" t="str">
        <f t="shared" si="0"/>
        <v>42000 Furnace Butt Welded</v>
      </c>
      <c r="B177" s="8">
        <v>42000</v>
      </c>
      <c r="C177" s="8" t="s">
        <v>68</v>
      </c>
      <c r="D177" s="8">
        <v>12000</v>
      </c>
      <c r="E177" s="8">
        <v>21000</v>
      </c>
    </row>
    <row r="178" spans="1:5">
      <c r="A178" s="8" t="str">
        <f t="shared" si="0"/>
        <v>46000 Furnace Butt Welded</v>
      </c>
      <c r="B178" s="8">
        <v>46000</v>
      </c>
      <c r="C178" s="8" t="s">
        <v>68</v>
      </c>
      <c r="D178" s="8">
        <v>12000</v>
      </c>
      <c r="E178" s="8">
        <v>21000</v>
      </c>
    </row>
    <row r="179" spans="1:5">
      <c r="A179" s="8" t="str">
        <f t="shared" si="0"/>
        <v>52000 Furnace Butt Welded</v>
      </c>
      <c r="B179" s="8">
        <v>52000</v>
      </c>
      <c r="C179" s="8" t="s">
        <v>68</v>
      </c>
      <c r="D179" s="8">
        <v>12000</v>
      </c>
      <c r="E179" s="8">
        <v>21000</v>
      </c>
    </row>
    <row r="180" spans="1:5">
      <c r="A180" s="8" t="str">
        <f t="shared" si="0"/>
        <v>56000 Furnace Butt Welded</v>
      </c>
      <c r="B180" s="8">
        <v>56000</v>
      </c>
      <c r="C180" s="8" t="s">
        <v>68</v>
      </c>
      <c r="D180" s="8">
        <v>12000</v>
      </c>
      <c r="E180" s="8">
        <v>23000</v>
      </c>
    </row>
    <row r="181" spans="1:5">
      <c r="A181" s="8" t="str">
        <f t="shared" si="0"/>
        <v>60000 Furnace Butt Welded</v>
      </c>
      <c r="B181" s="8">
        <v>60000</v>
      </c>
      <c r="C181" s="8" t="s">
        <v>68</v>
      </c>
      <c r="D181" s="8">
        <v>12000</v>
      </c>
      <c r="E181" s="8">
        <v>23000</v>
      </c>
    </row>
    <row r="182" spans="1:5">
      <c r="A182" s="8" t="str">
        <f t="shared" si="0"/>
        <v>65000 Furnace Butt Welded</v>
      </c>
      <c r="B182" s="8">
        <v>65000</v>
      </c>
      <c r="C182" s="8" t="s">
        <v>68</v>
      </c>
      <c r="D182" s="8">
        <v>12000</v>
      </c>
      <c r="E182" s="8">
        <v>23000</v>
      </c>
    </row>
    <row r="183" spans="1:5">
      <c r="A183" s="8" t="str">
        <f t="shared" si="0"/>
        <v>70000 Furnace Butt Welded</v>
      </c>
      <c r="B183" s="8">
        <v>70000</v>
      </c>
      <c r="C183" s="8" t="s">
        <v>68</v>
      </c>
      <c r="D183" s="8">
        <v>12000</v>
      </c>
      <c r="E183" s="8">
        <v>25000</v>
      </c>
    </row>
    <row r="184" spans="1:5">
      <c r="A184" s="8" t="str">
        <f t="shared" ref="A184:A215" si="1">_xlfn.CONCAT(B184, " ", C184)</f>
        <v>80000 Furnace Butt Welded</v>
      </c>
      <c r="B184" s="8">
        <v>80000</v>
      </c>
      <c r="C184" s="8" t="s">
        <v>68</v>
      </c>
      <c r="D184" s="8">
        <v>12000</v>
      </c>
      <c r="E184" s="8">
        <v>27000</v>
      </c>
    </row>
    <row r="185" spans="1:5">
      <c r="A185" s="8" t="str">
        <f t="shared" si="1"/>
        <v>24000 Double Submerged Arc Welded</v>
      </c>
      <c r="B185" s="8">
        <v>24000</v>
      </c>
      <c r="C185" s="8" t="s">
        <v>69</v>
      </c>
      <c r="D185" s="8">
        <v>12000</v>
      </c>
      <c r="E185" s="8">
        <v>12000</v>
      </c>
    </row>
    <row r="186" spans="1:5">
      <c r="A186" s="8" t="str">
        <f t="shared" si="1"/>
        <v>30000 Double Submerged Arc Welded</v>
      </c>
      <c r="B186" s="8">
        <v>30000</v>
      </c>
      <c r="C186" s="8" t="s">
        <v>69</v>
      </c>
      <c r="D186" s="8">
        <v>12000</v>
      </c>
      <c r="E186" s="8">
        <v>12000</v>
      </c>
    </row>
    <row r="187" spans="1:5">
      <c r="A187" s="8" t="str">
        <f t="shared" si="1"/>
        <v>35000 Double Submerged Arc Welded</v>
      </c>
      <c r="B187" s="8">
        <v>35000</v>
      </c>
      <c r="C187" s="8" t="s">
        <v>69</v>
      </c>
      <c r="D187" s="8">
        <v>12000</v>
      </c>
      <c r="E187" s="8">
        <v>12000</v>
      </c>
    </row>
    <row r="188" spans="1:5">
      <c r="A188" s="8" t="str">
        <f t="shared" si="1"/>
        <v>42000 Double Submerged Arc Welded</v>
      </c>
      <c r="B188" s="8">
        <v>42000</v>
      </c>
      <c r="C188" s="8" t="s">
        <v>69</v>
      </c>
      <c r="D188" s="8">
        <v>12000</v>
      </c>
      <c r="E188" s="8">
        <v>12000</v>
      </c>
    </row>
    <row r="189" spans="1:5">
      <c r="A189" s="8" t="str">
        <f t="shared" si="1"/>
        <v>46000 Double Submerged Arc Welded</v>
      </c>
      <c r="B189" s="8">
        <v>46000</v>
      </c>
      <c r="C189" s="8" t="s">
        <v>69</v>
      </c>
      <c r="D189" s="8">
        <v>12000</v>
      </c>
      <c r="E189" s="8">
        <v>12000</v>
      </c>
    </row>
    <row r="190" spans="1:5">
      <c r="A190" s="8" t="str">
        <f t="shared" si="1"/>
        <v>52000 Double Submerged Arc Welded</v>
      </c>
      <c r="B190" s="8">
        <v>52000</v>
      </c>
      <c r="C190" s="8" t="s">
        <v>69</v>
      </c>
      <c r="D190" s="8">
        <v>12000</v>
      </c>
      <c r="E190" s="8">
        <v>12000</v>
      </c>
    </row>
    <row r="191" spans="1:5">
      <c r="A191" s="8" t="str">
        <f t="shared" si="1"/>
        <v>56000 Double Submerged Arc Welded</v>
      </c>
      <c r="B191" s="8">
        <v>56000</v>
      </c>
      <c r="C191" s="8" t="s">
        <v>69</v>
      </c>
      <c r="D191" s="8">
        <v>12000</v>
      </c>
      <c r="E191" s="8">
        <v>12000</v>
      </c>
    </row>
    <row r="192" spans="1:5">
      <c r="A192" s="8" t="str">
        <f t="shared" si="1"/>
        <v>60000 Double Submerged Arc Welded</v>
      </c>
      <c r="B192" s="8">
        <v>60000</v>
      </c>
      <c r="C192" s="8" t="s">
        <v>69</v>
      </c>
      <c r="D192" s="8">
        <v>12000</v>
      </c>
      <c r="E192" s="8">
        <v>12000</v>
      </c>
    </row>
    <row r="193" spans="1:5">
      <c r="A193" s="8" t="str">
        <f t="shared" si="1"/>
        <v>65000 Double Submerged Arc Welded</v>
      </c>
      <c r="B193" s="8">
        <v>65000</v>
      </c>
      <c r="C193" s="8" t="s">
        <v>69</v>
      </c>
      <c r="D193" s="8">
        <v>12000</v>
      </c>
      <c r="E193" s="8">
        <v>12000</v>
      </c>
    </row>
    <row r="194" spans="1:5">
      <c r="A194" s="8" t="str">
        <f t="shared" si="1"/>
        <v>70000 Double Submerged Arc Welded</v>
      </c>
      <c r="B194" s="8">
        <v>70000</v>
      </c>
      <c r="C194" s="8" t="s">
        <v>69</v>
      </c>
      <c r="D194" s="8">
        <v>12000</v>
      </c>
      <c r="E194" s="8">
        <v>13000</v>
      </c>
    </row>
    <row r="195" spans="1:5">
      <c r="A195" s="8" t="str">
        <f t="shared" si="1"/>
        <v>80000 Double Submerged Arc Welded</v>
      </c>
      <c r="B195" s="8">
        <v>80000</v>
      </c>
      <c r="C195" s="8" t="s">
        <v>69</v>
      </c>
      <c r="D195" s="8">
        <v>12000</v>
      </c>
      <c r="E195" s="8">
        <v>14000</v>
      </c>
    </row>
    <row r="196" spans="1:5">
      <c r="A196" s="8" t="str">
        <f t="shared" si="1"/>
        <v>24000 Electric-Fusion Welded</v>
      </c>
      <c r="B196" s="8">
        <v>24000</v>
      </c>
      <c r="C196" s="8" t="s">
        <v>70</v>
      </c>
      <c r="D196" s="8">
        <v>12000</v>
      </c>
      <c r="E196" s="8">
        <v>21000</v>
      </c>
    </row>
    <row r="197" spans="1:5">
      <c r="A197" s="8" t="str">
        <f t="shared" si="1"/>
        <v>30000 Electric-Fusion Welded</v>
      </c>
      <c r="B197" s="8">
        <v>30000</v>
      </c>
      <c r="C197" s="8" t="s">
        <v>70</v>
      </c>
      <c r="D197" s="8">
        <v>12000</v>
      </c>
      <c r="E197" s="8">
        <v>21000</v>
      </c>
    </row>
    <row r="198" spans="1:5">
      <c r="A198" s="8" t="str">
        <f t="shared" si="1"/>
        <v>35000 Electric-Fusion Welded</v>
      </c>
      <c r="B198" s="8">
        <v>35000</v>
      </c>
      <c r="C198" s="8" t="s">
        <v>70</v>
      </c>
      <c r="D198" s="8">
        <v>12000</v>
      </c>
      <c r="E198" s="8">
        <v>21000</v>
      </c>
    </row>
    <row r="199" spans="1:5">
      <c r="A199" s="8" t="str">
        <f t="shared" si="1"/>
        <v>42000 Electric-Fusion Welded</v>
      </c>
      <c r="B199" s="8">
        <v>42000</v>
      </c>
      <c r="C199" s="8" t="s">
        <v>70</v>
      </c>
      <c r="D199" s="8">
        <v>12000</v>
      </c>
      <c r="E199" s="8">
        <v>21000</v>
      </c>
    </row>
    <row r="200" spans="1:5">
      <c r="A200" s="8" t="str">
        <f t="shared" si="1"/>
        <v>46000 Electric-Fusion Welded</v>
      </c>
      <c r="B200" s="8">
        <v>46000</v>
      </c>
      <c r="C200" s="8" t="s">
        <v>70</v>
      </c>
      <c r="D200" s="8">
        <v>12000</v>
      </c>
      <c r="E200" s="8">
        <v>21000</v>
      </c>
    </row>
    <row r="201" spans="1:5">
      <c r="A201" s="8" t="str">
        <f t="shared" si="1"/>
        <v>52000 Electric-Fusion Welded</v>
      </c>
      <c r="B201" s="8">
        <v>52000</v>
      </c>
      <c r="C201" s="8" t="s">
        <v>70</v>
      </c>
      <c r="D201" s="8">
        <v>12000</v>
      </c>
      <c r="E201" s="8">
        <v>21000</v>
      </c>
    </row>
    <row r="202" spans="1:5">
      <c r="A202" s="8" t="str">
        <f t="shared" si="1"/>
        <v>56000 Electric-Fusion Welded</v>
      </c>
      <c r="B202" s="8">
        <v>56000</v>
      </c>
      <c r="C202" s="8" t="s">
        <v>70</v>
      </c>
      <c r="D202" s="8">
        <v>12000</v>
      </c>
      <c r="E202" s="8">
        <v>23000</v>
      </c>
    </row>
    <row r="203" spans="1:5">
      <c r="A203" s="8" t="str">
        <f t="shared" si="1"/>
        <v>60000 Electric-Fusion Welded</v>
      </c>
      <c r="B203" s="8">
        <v>60000</v>
      </c>
      <c r="C203" s="8" t="s">
        <v>70</v>
      </c>
      <c r="D203" s="8">
        <v>12000</v>
      </c>
      <c r="E203" s="8">
        <v>23000</v>
      </c>
    </row>
    <row r="204" spans="1:5">
      <c r="A204" s="8" t="str">
        <f t="shared" si="1"/>
        <v>65000 Electric-Fusion Welded</v>
      </c>
      <c r="B204" s="8">
        <v>65000</v>
      </c>
      <c r="C204" s="8" t="s">
        <v>70</v>
      </c>
      <c r="D204" s="8">
        <v>12000</v>
      </c>
      <c r="E204" s="8">
        <v>23000</v>
      </c>
    </row>
    <row r="205" spans="1:5">
      <c r="A205" s="8" t="str">
        <f t="shared" si="1"/>
        <v>70000 Electric-Fusion Welded</v>
      </c>
      <c r="B205" s="8">
        <v>70000</v>
      </c>
      <c r="C205" s="8" t="s">
        <v>70</v>
      </c>
      <c r="D205" s="8">
        <v>12000</v>
      </c>
      <c r="E205" s="8">
        <v>25000</v>
      </c>
    </row>
    <row r="206" spans="1:5">
      <c r="A206" s="8" t="str">
        <f t="shared" si="1"/>
        <v>80000 Electric-Fusion Welded</v>
      </c>
      <c r="B206" s="8">
        <v>80000</v>
      </c>
      <c r="C206" s="8" t="s">
        <v>70</v>
      </c>
      <c r="D206" s="8">
        <v>12000</v>
      </c>
      <c r="E206" s="8">
        <v>27000</v>
      </c>
    </row>
    <row r="207" spans="1:5">
      <c r="A207" s="8" t="str">
        <f t="shared" si="1"/>
        <v>24000 Submerged Arc Welded</v>
      </c>
      <c r="B207" s="8">
        <v>24000</v>
      </c>
      <c r="C207" s="8" t="s">
        <v>71</v>
      </c>
      <c r="D207" s="8">
        <v>12000</v>
      </c>
      <c r="E207" s="8">
        <v>12000</v>
      </c>
    </row>
    <row r="208" spans="1:5">
      <c r="A208" s="8" t="str">
        <f t="shared" si="1"/>
        <v>30000 Submerged Arc Welded</v>
      </c>
      <c r="B208" s="8">
        <v>30000</v>
      </c>
      <c r="C208" s="8" t="s">
        <v>71</v>
      </c>
      <c r="D208" s="8">
        <v>12000</v>
      </c>
      <c r="E208" s="8">
        <v>12000</v>
      </c>
    </row>
    <row r="209" spans="1:5">
      <c r="A209" s="8" t="str">
        <f t="shared" si="1"/>
        <v>35000 Submerged Arc Welded</v>
      </c>
      <c r="B209" s="8">
        <v>35000</v>
      </c>
      <c r="C209" s="8" t="s">
        <v>71</v>
      </c>
      <c r="D209" s="8">
        <v>12000</v>
      </c>
      <c r="E209" s="8">
        <v>12000</v>
      </c>
    </row>
    <row r="210" spans="1:5">
      <c r="A210" s="8" t="str">
        <f t="shared" si="1"/>
        <v>42000 Submerged Arc Welded</v>
      </c>
      <c r="B210" s="8">
        <v>42000</v>
      </c>
      <c r="C210" s="8" t="s">
        <v>71</v>
      </c>
      <c r="D210" s="8">
        <v>12000</v>
      </c>
      <c r="E210" s="8">
        <v>12000</v>
      </c>
    </row>
    <row r="211" spans="1:5">
      <c r="A211" s="8" t="str">
        <f t="shared" si="1"/>
        <v>46000 Submerged Arc Welded</v>
      </c>
      <c r="B211" s="8">
        <v>46000</v>
      </c>
      <c r="C211" s="8" t="s">
        <v>71</v>
      </c>
      <c r="D211" s="8">
        <v>12000</v>
      </c>
      <c r="E211" s="8">
        <v>12000</v>
      </c>
    </row>
    <row r="212" spans="1:5">
      <c r="A212" s="8" t="str">
        <f t="shared" si="1"/>
        <v>52000 Submerged Arc Welded</v>
      </c>
      <c r="B212" s="8">
        <v>52000</v>
      </c>
      <c r="C212" s="8" t="s">
        <v>71</v>
      </c>
      <c r="D212" s="8">
        <v>12000</v>
      </c>
      <c r="E212" s="8">
        <v>12000</v>
      </c>
    </row>
    <row r="213" spans="1:5">
      <c r="A213" s="8" t="str">
        <f t="shared" si="1"/>
        <v>56000 Submerged Arc Welded</v>
      </c>
      <c r="B213" s="8">
        <v>56000</v>
      </c>
      <c r="C213" s="8" t="s">
        <v>71</v>
      </c>
      <c r="D213" s="8">
        <v>12000</v>
      </c>
      <c r="E213" s="8">
        <v>12000</v>
      </c>
    </row>
    <row r="214" spans="1:5">
      <c r="A214" s="8" t="str">
        <f t="shared" si="1"/>
        <v>60000 Submerged Arc Welded</v>
      </c>
      <c r="B214" s="8">
        <v>60000</v>
      </c>
      <c r="C214" s="8" t="s">
        <v>71</v>
      </c>
      <c r="D214" s="8">
        <v>12000</v>
      </c>
      <c r="E214" s="8">
        <v>12000</v>
      </c>
    </row>
    <row r="215" spans="1:5">
      <c r="A215" s="8" t="str">
        <f t="shared" si="1"/>
        <v>65000 Submerged Arc Welded</v>
      </c>
      <c r="B215" s="8">
        <v>65000</v>
      </c>
      <c r="C215" s="8" t="s">
        <v>71</v>
      </c>
      <c r="D215" s="8">
        <v>12000</v>
      </c>
      <c r="E215" s="8">
        <v>12000</v>
      </c>
    </row>
    <row r="216" spans="1:5">
      <c r="A216" s="8" t="str">
        <f t="shared" ref="A216:A239" si="2">_xlfn.CONCAT(B216, " ", C216)</f>
        <v>70000 Submerged Arc Welded</v>
      </c>
      <c r="B216" s="8">
        <v>70000</v>
      </c>
      <c r="C216" s="8" t="s">
        <v>71</v>
      </c>
      <c r="D216" s="8">
        <v>12000</v>
      </c>
      <c r="E216" s="8">
        <v>13000</v>
      </c>
    </row>
    <row r="217" spans="1:5">
      <c r="A217" s="8" t="str">
        <f t="shared" si="2"/>
        <v>80000 Submerged Arc Welded</v>
      </c>
      <c r="B217" s="8">
        <v>80000</v>
      </c>
      <c r="C217" s="8" t="s">
        <v>71</v>
      </c>
      <c r="D217" s="8">
        <v>12000</v>
      </c>
      <c r="E217" s="8">
        <v>14000</v>
      </c>
    </row>
    <row r="218" spans="1:5">
      <c r="A218" s="8" t="str">
        <f t="shared" si="2"/>
        <v>24000 Unknown Pipe Over 4 Inches</v>
      </c>
      <c r="B218" s="8">
        <v>24000</v>
      </c>
      <c r="C218" s="8" t="s">
        <v>72</v>
      </c>
      <c r="D218" s="8">
        <v>12000</v>
      </c>
      <c r="E218" s="8">
        <v>12000</v>
      </c>
    </row>
    <row r="219" spans="1:5">
      <c r="A219" s="8" t="str">
        <f t="shared" si="2"/>
        <v>30000 Unknown Pipe Over 4 Inches</v>
      </c>
      <c r="B219" s="8">
        <v>30000</v>
      </c>
      <c r="C219" s="8" t="s">
        <v>72</v>
      </c>
      <c r="D219" s="8">
        <v>12000</v>
      </c>
      <c r="E219" s="8">
        <v>12000</v>
      </c>
    </row>
    <row r="220" spans="1:5">
      <c r="A220" s="8" t="str">
        <f t="shared" si="2"/>
        <v>35000 Unknown Pipe Over 4 Inches</v>
      </c>
      <c r="B220" s="8">
        <v>35000</v>
      </c>
      <c r="C220" s="8" t="s">
        <v>72</v>
      </c>
      <c r="D220" s="8">
        <v>12000</v>
      </c>
      <c r="E220" s="8">
        <v>12000</v>
      </c>
    </row>
    <row r="221" spans="1:5">
      <c r="A221" s="8" t="str">
        <f t="shared" si="2"/>
        <v>42000 Unknown Pipe Over 4 Inches</v>
      </c>
      <c r="B221" s="8">
        <v>42000</v>
      </c>
      <c r="C221" s="8" t="s">
        <v>72</v>
      </c>
      <c r="D221" s="8">
        <v>12000</v>
      </c>
      <c r="E221" s="8">
        <v>12000</v>
      </c>
    </row>
    <row r="222" spans="1:5">
      <c r="A222" s="8" t="str">
        <f t="shared" si="2"/>
        <v>46000 Unknown Pipe Over 4 Inches</v>
      </c>
      <c r="B222" s="8">
        <v>46000</v>
      </c>
      <c r="C222" s="8" t="s">
        <v>72</v>
      </c>
      <c r="D222" s="8">
        <v>12000</v>
      </c>
      <c r="E222" s="8">
        <v>12000</v>
      </c>
    </row>
    <row r="223" spans="1:5">
      <c r="A223" s="8" t="str">
        <f t="shared" si="2"/>
        <v>52000 Unknown Pipe Over 4 Inches</v>
      </c>
      <c r="B223" s="8">
        <v>52000</v>
      </c>
      <c r="C223" s="8" t="s">
        <v>72</v>
      </c>
      <c r="D223" s="8">
        <v>12000</v>
      </c>
      <c r="E223" s="8">
        <v>12000</v>
      </c>
    </row>
    <row r="224" spans="1:5">
      <c r="A224" s="8" t="str">
        <f t="shared" si="2"/>
        <v>56000 Unknown Pipe Over 4 Inches</v>
      </c>
      <c r="B224" s="8">
        <v>56000</v>
      </c>
      <c r="C224" s="8" t="s">
        <v>72</v>
      </c>
      <c r="D224" s="8">
        <v>12000</v>
      </c>
      <c r="E224" s="8">
        <v>12000</v>
      </c>
    </row>
    <row r="225" spans="1:5">
      <c r="A225" s="8" t="str">
        <f t="shared" si="2"/>
        <v>60000 Unknown Pipe Over 4 Inches</v>
      </c>
      <c r="B225" s="8">
        <v>60000</v>
      </c>
      <c r="C225" s="8" t="s">
        <v>72</v>
      </c>
      <c r="D225" s="8">
        <v>12000</v>
      </c>
      <c r="E225" s="8">
        <v>12000</v>
      </c>
    </row>
    <row r="226" spans="1:5">
      <c r="A226" s="8" t="str">
        <f t="shared" si="2"/>
        <v>65000 Unknown Pipe Over 4 Inches</v>
      </c>
      <c r="B226" s="8">
        <v>65000</v>
      </c>
      <c r="C226" s="8" t="s">
        <v>72</v>
      </c>
      <c r="D226" s="8">
        <v>12000</v>
      </c>
      <c r="E226" s="8">
        <v>12000</v>
      </c>
    </row>
    <row r="227" spans="1:5">
      <c r="A227" s="8" t="str">
        <f t="shared" si="2"/>
        <v>70000 Unknown Pipe Over 4 Inches</v>
      </c>
      <c r="B227" s="8">
        <v>70000</v>
      </c>
      <c r="C227" s="8" t="s">
        <v>72</v>
      </c>
      <c r="D227" s="8">
        <v>12000</v>
      </c>
      <c r="E227" s="8">
        <v>13000</v>
      </c>
    </row>
    <row r="228" spans="1:5">
      <c r="A228" s="8" t="str">
        <f t="shared" si="2"/>
        <v>80000 Unknown Pipe Over 4 Inches</v>
      </c>
      <c r="B228" s="8">
        <v>80000</v>
      </c>
      <c r="C228" s="8" t="s">
        <v>72</v>
      </c>
      <c r="D228" s="8">
        <v>12000</v>
      </c>
      <c r="E228" s="8">
        <v>14000</v>
      </c>
    </row>
    <row r="229" spans="1:5">
      <c r="A229" s="8" t="str">
        <f t="shared" si="2"/>
        <v>24000 Unknown Pipe 4 Inches or Less</v>
      </c>
      <c r="B229" s="8">
        <v>24000</v>
      </c>
      <c r="C229" s="8" t="s">
        <v>73</v>
      </c>
      <c r="D229" s="8">
        <v>12000</v>
      </c>
      <c r="E229" s="8">
        <v>12000</v>
      </c>
    </row>
    <row r="230" spans="1:5">
      <c r="A230" s="8" t="str">
        <f t="shared" si="2"/>
        <v>30000 Unknown Pipe 4 Inches or Less</v>
      </c>
      <c r="B230" s="8">
        <v>30000</v>
      </c>
      <c r="C230" s="8" t="s">
        <v>73</v>
      </c>
      <c r="D230" s="8">
        <v>12000</v>
      </c>
      <c r="E230" s="8">
        <v>12000</v>
      </c>
    </row>
    <row r="231" spans="1:5">
      <c r="A231" s="8" t="str">
        <f t="shared" si="2"/>
        <v>35000 Unknown Pipe 4 Inches or Less</v>
      </c>
      <c r="B231" s="8">
        <v>35000</v>
      </c>
      <c r="C231" s="8" t="s">
        <v>73</v>
      </c>
      <c r="D231" s="8">
        <v>12000</v>
      </c>
      <c r="E231" s="8">
        <v>12000</v>
      </c>
    </row>
    <row r="232" spans="1:5">
      <c r="A232" s="8" t="str">
        <f t="shared" si="2"/>
        <v>42000 Unknown Pipe 4 Inches or Less</v>
      </c>
      <c r="B232" s="8">
        <v>42000</v>
      </c>
      <c r="C232" s="8" t="s">
        <v>73</v>
      </c>
      <c r="D232" s="8">
        <v>12000</v>
      </c>
      <c r="E232" s="8">
        <v>12000</v>
      </c>
    </row>
    <row r="233" spans="1:5">
      <c r="A233" s="8" t="str">
        <f t="shared" si="2"/>
        <v>46000 Unknown Pipe 4 Inches or Less</v>
      </c>
      <c r="B233" s="8">
        <v>46000</v>
      </c>
      <c r="C233" s="8" t="s">
        <v>73</v>
      </c>
      <c r="D233" s="8">
        <v>12000</v>
      </c>
      <c r="E233" s="8">
        <v>12000</v>
      </c>
    </row>
    <row r="234" spans="1:5">
      <c r="A234" s="8" t="str">
        <f t="shared" si="2"/>
        <v>52000 Unknown Pipe 4 Inches or Less</v>
      </c>
      <c r="B234" s="8">
        <v>52000</v>
      </c>
      <c r="C234" s="8" t="s">
        <v>73</v>
      </c>
      <c r="D234" s="8">
        <v>12000</v>
      </c>
      <c r="E234" s="8">
        <v>12000</v>
      </c>
    </row>
    <row r="235" spans="1:5">
      <c r="A235" s="8" t="str">
        <f t="shared" si="2"/>
        <v>56000 Unknown Pipe 4 Inches or Less</v>
      </c>
      <c r="B235" s="8">
        <v>56000</v>
      </c>
      <c r="C235" s="8" t="s">
        <v>73</v>
      </c>
      <c r="D235" s="8">
        <v>12000</v>
      </c>
      <c r="E235" s="8">
        <v>12000</v>
      </c>
    </row>
    <row r="236" spans="1:5">
      <c r="A236" s="8" t="str">
        <f t="shared" si="2"/>
        <v>60000 Unknown Pipe 4 Inches or Less</v>
      </c>
      <c r="B236" s="8">
        <v>60000</v>
      </c>
      <c r="C236" s="8" t="s">
        <v>73</v>
      </c>
      <c r="D236" s="8">
        <v>12000</v>
      </c>
      <c r="E236" s="8">
        <v>12000</v>
      </c>
    </row>
    <row r="237" spans="1:5">
      <c r="A237" s="8" t="str">
        <f t="shared" si="2"/>
        <v>65000 Unknown Pipe 4 Inches or Less</v>
      </c>
      <c r="B237" s="8">
        <v>65000</v>
      </c>
      <c r="C237" s="8" t="s">
        <v>73</v>
      </c>
      <c r="D237" s="8">
        <v>12000</v>
      </c>
      <c r="E237" s="8">
        <v>12000</v>
      </c>
    </row>
    <row r="238" spans="1:5">
      <c r="A238" s="8" t="str">
        <f t="shared" si="2"/>
        <v>70000 Unknown Pipe 4 Inches or Less</v>
      </c>
      <c r="B238" s="8">
        <v>70000</v>
      </c>
      <c r="C238" s="8" t="s">
        <v>73</v>
      </c>
      <c r="D238" s="8">
        <v>12000</v>
      </c>
      <c r="E238" s="8">
        <v>13000</v>
      </c>
    </row>
    <row r="239" spans="1:5">
      <c r="A239" s="8" t="str">
        <f t="shared" si="2"/>
        <v>80000 Unknown Pipe 4 Inches or Less</v>
      </c>
      <c r="B239" s="8">
        <v>80000</v>
      </c>
      <c r="C239" s="8" t="s">
        <v>73</v>
      </c>
      <c r="D239" s="8">
        <v>12000</v>
      </c>
      <c r="E239" s="8">
        <v>14000</v>
      </c>
    </row>
    <row r="240" spans="1:5" ht="15" thickBot="1"/>
    <row r="241" spans="1:6" ht="15" thickBot="1">
      <c r="A241" s="240" t="s">
        <v>332</v>
      </c>
      <c r="B241" s="244"/>
      <c r="C241" s="244"/>
      <c r="D241" s="244"/>
      <c r="E241" s="244"/>
      <c r="F241" s="243"/>
    </row>
    <row r="242" spans="1:6" ht="15" thickBot="1">
      <c r="A242" s="240" t="s">
        <v>310</v>
      </c>
      <c r="B242" s="243"/>
      <c r="C242" s="240" t="s">
        <v>311</v>
      </c>
      <c r="D242" s="243"/>
      <c r="E242" s="240" t="s">
        <v>312</v>
      </c>
      <c r="F242" s="243"/>
    </row>
    <row r="243" spans="1:6" ht="15" thickBot="1">
      <c r="A243" s="88" t="s">
        <v>490</v>
      </c>
      <c r="B243" s="90" t="s">
        <v>502</v>
      </c>
      <c r="C243" s="88" t="s">
        <v>490</v>
      </c>
      <c r="D243" s="90" t="s">
        <v>502</v>
      </c>
      <c r="E243" s="88" t="s">
        <v>490</v>
      </c>
      <c r="F243" s="90" t="s">
        <v>502</v>
      </c>
    </row>
    <row r="244" spans="1:6">
      <c r="A244" s="9">
        <v>0</v>
      </c>
      <c r="B244" s="9">
        <v>14.658999999999999</v>
      </c>
      <c r="C244" s="9">
        <v>0</v>
      </c>
      <c r="D244" s="9">
        <v>9.7669999999999995</v>
      </c>
      <c r="E244" s="9">
        <v>0</v>
      </c>
      <c r="F244" s="9">
        <v>6.0990000000000002</v>
      </c>
    </row>
    <row r="245" spans="1:6">
      <c r="A245" s="9">
        <v>1.0500000000000001E-2</v>
      </c>
      <c r="B245" s="9">
        <v>14.658999999999999</v>
      </c>
      <c r="C245" s="9">
        <v>1.0500000000000001E-2</v>
      </c>
      <c r="D245" s="8">
        <v>9.7669999999999995</v>
      </c>
      <c r="E245" s="9">
        <v>1.0500000000000001E-2</v>
      </c>
      <c r="F245" s="9">
        <v>6.0990000000000002</v>
      </c>
    </row>
    <row r="246" spans="1:6">
      <c r="A246" s="8">
        <v>1.4999999999999999E-2</v>
      </c>
      <c r="B246" s="8">
        <v>15</v>
      </c>
      <c r="C246" s="8">
        <v>1.4999999999999999E-2</v>
      </c>
      <c r="D246" s="8">
        <v>10</v>
      </c>
      <c r="E246" s="8">
        <v>1.4999999999999999E-2</v>
      </c>
      <c r="F246" s="8">
        <v>6.5839999999999996</v>
      </c>
    </row>
    <row r="247" spans="1:6">
      <c r="A247" s="8">
        <v>0.02</v>
      </c>
      <c r="B247" s="8">
        <v>14.384999999999998</v>
      </c>
      <c r="C247" s="8">
        <v>0.02</v>
      </c>
      <c r="D247" s="9">
        <v>9.7669999999999995</v>
      </c>
      <c r="E247" s="8">
        <v>0.02</v>
      </c>
      <c r="F247" s="8">
        <v>6.5839999999999996</v>
      </c>
    </row>
    <row r="248" spans="1:6">
      <c r="A248" s="8">
        <v>2.5000000000000001E-2</v>
      </c>
      <c r="B248" s="8">
        <v>13.278</v>
      </c>
      <c r="C248" s="8">
        <v>2.5000000000000001E-2</v>
      </c>
      <c r="D248" s="8">
        <v>9.1579999999999995</v>
      </c>
      <c r="E248" s="8">
        <v>2.5000000000000001E-2</v>
      </c>
      <c r="F248" s="8">
        <v>6.32</v>
      </c>
    </row>
    <row r="249" spans="1:6">
      <c r="A249" s="8">
        <v>0.03</v>
      </c>
      <c r="B249" s="8">
        <v>11.77</v>
      </c>
      <c r="C249" s="8">
        <v>0.03</v>
      </c>
      <c r="D249" s="8">
        <v>8.4130000000000003</v>
      </c>
      <c r="E249" s="8">
        <v>0.03</v>
      </c>
      <c r="F249" s="8">
        <v>5.7640000000000002</v>
      </c>
    </row>
    <row r="250" spans="1:6">
      <c r="A250" s="8">
        <v>0.04</v>
      </c>
      <c r="B250" s="8">
        <v>9.6579999999999995</v>
      </c>
      <c r="C250" s="8">
        <v>0.04</v>
      </c>
      <c r="D250" s="8">
        <v>6.8170000000000002</v>
      </c>
      <c r="E250" s="8">
        <v>0.04</v>
      </c>
      <c r="F250" s="8">
        <v>4.7690000000000001</v>
      </c>
    </row>
    <row r="251" spans="1:6">
      <c r="A251" s="8">
        <v>0.05</v>
      </c>
      <c r="B251" s="8">
        <v>8.3629999999999995</v>
      </c>
      <c r="C251" s="8">
        <v>0.05</v>
      </c>
      <c r="D251" s="8">
        <v>5.8330000000000002</v>
      </c>
      <c r="E251" s="8">
        <v>0.05</v>
      </c>
      <c r="F251" s="8">
        <v>3.96</v>
      </c>
    </row>
    <row r="252" spans="1:6">
      <c r="A252" s="8">
        <v>0.06</v>
      </c>
      <c r="B252" s="8">
        <v>7.5739999999999998</v>
      </c>
      <c r="C252" s="8">
        <v>0.06</v>
      </c>
      <c r="D252" s="8">
        <v>5.1989999999999998</v>
      </c>
      <c r="E252" s="8">
        <v>0.06</v>
      </c>
      <c r="F252" s="8">
        <v>3.3929999999999998</v>
      </c>
    </row>
    <row r="253" spans="1:6">
      <c r="A253" s="8">
        <v>7.0000000000000007E-2</v>
      </c>
      <c r="B253" s="8">
        <v>7.1029999999999998</v>
      </c>
      <c r="C253" s="8">
        <v>7.0000000000000007E-2</v>
      </c>
      <c r="D253" s="8">
        <v>4.8239999999999998</v>
      </c>
      <c r="E253" s="8">
        <v>7.0000000000000007E-2</v>
      </c>
      <c r="F253" s="8">
        <v>3.0369999999999999</v>
      </c>
    </row>
    <row r="254" spans="1:6">
      <c r="A254" s="8">
        <v>0.08</v>
      </c>
      <c r="B254" s="8">
        <v>6.9409999999999998</v>
      </c>
      <c r="C254" s="8">
        <v>0.08</v>
      </c>
      <c r="D254" s="8">
        <v>4.6459999999999999</v>
      </c>
      <c r="E254" s="8">
        <v>0.08</v>
      </c>
      <c r="F254" s="8">
        <v>2.9929999999999999</v>
      </c>
    </row>
    <row r="255" spans="1:6">
      <c r="A255" s="8">
        <v>5</v>
      </c>
      <c r="B255" s="8">
        <v>6.9409999999999998</v>
      </c>
      <c r="C255" s="8">
        <v>5</v>
      </c>
      <c r="D255" s="8">
        <v>4.6459999999999999</v>
      </c>
      <c r="E255" s="8">
        <v>5</v>
      </c>
      <c r="F255" s="8">
        <v>2.9929999999999999</v>
      </c>
    </row>
    <row r="256" spans="1:6" ht="15" thickBot="1"/>
    <row r="257" spans="1:8" ht="15" thickBot="1">
      <c r="A257" s="240" t="s">
        <v>333</v>
      </c>
      <c r="B257" s="244"/>
      <c r="C257" s="244"/>
      <c r="D257" s="244"/>
      <c r="E257" s="244"/>
      <c r="F257" s="244"/>
      <c r="G257" s="244"/>
      <c r="H257" s="243"/>
    </row>
    <row r="258" spans="1:8" ht="15" thickBot="1">
      <c r="A258" s="240" t="s">
        <v>317</v>
      </c>
      <c r="B258" s="243"/>
      <c r="C258" s="240" t="s">
        <v>318</v>
      </c>
      <c r="D258" s="243"/>
      <c r="E258" s="240" t="s">
        <v>319</v>
      </c>
      <c r="F258" s="243"/>
      <c r="G258" s="240" t="s">
        <v>320</v>
      </c>
      <c r="H258" s="243"/>
    </row>
    <row r="259" spans="1:8" ht="15" thickBot="1">
      <c r="A259" s="88" t="s">
        <v>499</v>
      </c>
      <c r="B259" s="90" t="s">
        <v>501</v>
      </c>
      <c r="C259" s="88" t="s">
        <v>499</v>
      </c>
      <c r="D259" s="90" t="s">
        <v>501</v>
      </c>
      <c r="E259" s="88" t="s">
        <v>499</v>
      </c>
      <c r="F259" s="90" t="s">
        <v>501</v>
      </c>
      <c r="G259" s="88" t="s">
        <v>499</v>
      </c>
      <c r="H259" s="90" t="s">
        <v>501</v>
      </c>
    </row>
    <row r="260" spans="1:8">
      <c r="A260" s="9">
        <v>0</v>
      </c>
      <c r="B260" s="9">
        <v>2.5920000000000001</v>
      </c>
      <c r="C260" s="9">
        <v>0</v>
      </c>
      <c r="D260" s="9">
        <v>2.5920000000000001</v>
      </c>
      <c r="E260" s="9">
        <v>0</v>
      </c>
      <c r="F260" s="9">
        <v>2.5920000000000001</v>
      </c>
      <c r="G260" s="9">
        <v>0</v>
      </c>
      <c r="H260" s="9">
        <v>2.5920000000000001</v>
      </c>
    </row>
    <row r="261" spans="1:8">
      <c r="A261" s="8">
        <v>2.2970000000000002</v>
      </c>
      <c r="B261" s="9">
        <v>2.5920000000000001</v>
      </c>
      <c r="C261" s="8">
        <v>2.2970000000000002</v>
      </c>
      <c r="D261" s="9">
        <v>2.5920000000000001</v>
      </c>
      <c r="E261" s="8">
        <v>2.2970000000000002</v>
      </c>
      <c r="F261" s="9">
        <v>2.5920000000000001</v>
      </c>
      <c r="G261" s="8">
        <v>2.2970000000000002</v>
      </c>
      <c r="H261" s="9">
        <v>2.5920000000000001</v>
      </c>
    </row>
    <row r="262" spans="1:8">
      <c r="A262" s="8">
        <v>2.7530000000000001</v>
      </c>
      <c r="B262" s="8">
        <v>2.25</v>
      </c>
      <c r="C262" s="8">
        <v>2.7530000000000001</v>
      </c>
      <c r="D262" s="8">
        <v>2.1749999999999998</v>
      </c>
      <c r="E262" s="8">
        <v>2.7530000000000001</v>
      </c>
      <c r="F262" s="8">
        <v>2.1749999999999998</v>
      </c>
      <c r="G262" s="8">
        <v>2.7530000000000001</v>
      </c>
      <c r="H262" s="8">
        <v>2.0739999999999998</v>
      </c>
    </row>
    <row r="263" spans="1:8">
      <c r="A263" s="8">
        <v>3.4079999999999999</v>
      </c>
      <c r="B263" s="8">
        <v>2.032</v>
      </c>
      <c r="C263" s="8">
        <v>3.4079999999999999</v>
      </c>
      <c r="D263" s="8">
        <v>1.9339999999999999</v>
      </c>
      <c r="E263" s="8">
        <v>3.4079999999999999</v>
      </c>
      <c r="F263" s="8">
        <v>1.907</v>
      </c>
      <c r="G263" s="8">
        <v>3.4079999999999999</v>
      </c>
      <c r="H263" s="8">
        <v>1.7849999999999999</v>
      </c>
    </row>
    <row r="264" spans="1:8">
      <c r="A264" s="8">
        <v>4</v>
      </c>
      <c r="B264" s="8">
        <v>1.901</v>
      </c>
      <c r="C264" s="8">
        <v>4</v>
      </c>
      <c r="D264" s="8">
        <v>1.796</v>
      </c>
      <c r="E264" s="8">
        <v>4</v>
      </c>
      <c r="F264" s="8">
        <v>1.7450000000000001</v>
      </c>
      <c r="G264" s="8">
        <v>4</v>
      </c>
      <c r="H264" s="8">
        <v>1.623</v>
      </c>
    </row>
    <row r="265" spans="1:8">
      <c r="A265" s="8">
        <v>4.9320000000000004</v>
      </c>
      <c r="B265" s="8">
        <v>1.724</v>
      </c>
      <c r="C265" s="8">
        <v>4.9320000000000004</v>
      </c>
      <c r="D265" s="8">
        <v>1.613</v>
      </c>
      <c r="E265" s="8">
        <v>4.9320000000000004</v>
      </c>
      <c r="F265" s="8">
        <v>1.542</v>
      </c>
      <c r="G265" s="8">
        <v>4.9320000000000004</v>
      </c>
      <c r="H265" s="8">
        <v>1.4370000000000001</v>
      </c>
    </row>
    <row r="266" spans="1:8">
      <c r="A266" s="8">
        <v>6</v>
      </c>
      <c r="B266" s="8">
        <v>1.5640000000000001</v>
      </c>
      <c r="C266" s="8">
        <v>6</v>
      </c>
      <c r="D266" s="8">
        <v>1.448</v>
      </c>
      <c r="E266" s="8">
        <v>6</v>
      </c>
      <c r="F266" s="8">
        <v>1.373</v>
      </c>
      <c r="G266" s="8">
        <v>6</v>
      </c>
      <c r="H266" s="8">
        <v>1.2749999999999999</v>
      </c>
    </row>
    <row r="267" spans="1:8">
      <c r="A267" s="8">
        <v>8</v>
      </c>
      <c r="B267" s="8">
        <v>1.3480000000000001</v>
      </c>
      <c r="C267" s="8">
        <v>8</v>
      </c>
      <c r="D267" s="8">
        <v>1.244</v>
      </c>
      <c r="E267" s="8">
        <v>8</v>
      </c>
      <c r="F267" s="8">
        <v>1.157</v>
      </c>
      <c r="G267" s="8">
        <v>8</v>
      </c>
      <c r="H267" s="8">
        <v>1.0640000000000001</v>
      </c>
    </row>
    <row r="268" spans="1:8">
      <c r="A268" s="8">
        <v>10</v>
      </c>
      <c r="B268" s="8">
        <v>1.234</v>
      </c>
      <c r="C268" s="8">
        <v>10</v>
      </c>
      <c r="D268" s="8">
        <v>1.115</v>
      </c>
      <c r="E268" s="8">
        <v>10</v>
      </c>
      <c r="F268" s="8">
        <v>1.016</v>
      </c>
      <c r="G268" s="8">
        <v>10</v>
      </c>
      <c r="H268" s="8">
        <v>0.91900000000000004</v>
      </c>
    </row>
    <row r="269" spans="1:8">
      <c r="A269" s="8">
        <v>12</v>
      </c>
      <c r="B269" s="8">
        <v>1.169</v>
      </c>
      <c r="C269" s="8">
        <v>12</v>
      </c>
      <c r="D269" s="8">
        <v>1.022</v>
      </c>
      <c r="E269" s="8">
        <v>12</v>
      </c>
      <c r="F269" s="8">
        <v>0.91800000000000004</v>
      </c>
      <c r="G269" s="8">
        <v>12</v>
      </c>
      <c r="H269" s="8">
        <v>0.82</v>
      </c>
    </row>
    <row r="270" spans="1:8">
      <c r="A270" s="8">
        <v>14</v>
      </c>
      <c r="B270" s="8">
        <v>1.1299999999999999</v>
      </c>
      <c r="C270" s="8">
        <v>14</v>
      </c>
      <c r="D270" s="8">
        <v>0.97</v>
      </c>
      <c r="E270" s="8">
        <v>14</v>
      </c>
      <c r="F270" s="8">
        <v>0.86</v>
      </c>
      <c r="G270" s="8">
        <v>14</v>
      </c>
      <c r="H270" s="8">
        <v>0.76300000000000001</v>
      </c>
    </row>
    <row r="271" spans="1:8">
      <c r="A271" s="8">
        <v>16</v>
      </c>
      <c r="B271" s="8">
        <v>1.1000000000000001</v>
      </c>
      <c r="C271" s="8">
        <v>16</v>
      </c>
      <c r="D271" s="8">
        <v>0.95199999999999996</v>
      </c>
      <c r="E271" s="8">
        <v>16</v>
      </c>
      <c r="F271" s="8">
        <v>0.84099999999999997</v>
      </c>
      <c r="G271" s="8">
        <v>16</v>
      </c>
      <c r="H271" s="8">
        <v>0.73599999999999999</v>
      </c>
    </row>
    <row r="272" spans="1:8">
      <c r="A272" s="8">
        <v>28</v>
      </c>
      <c r="B272" s="8">
        <v>0.97099999999999997</v>
      </c>
      <c r="C272" s="8">
        <v>28</v>
      </c>
      <c r="D272" s="8">
        <v>0.83099999999999996</v>
      </c>
      <c r="E272" s="8">
        <v>28</v>
      </c>
      <c r="F272" s="8">
        <v>0.71299999999999997</v>
      </c>
      <c r="G272" s="8">
        <v>28</v>
      </c>
      <c r="H272" s="8">
        <v>0.6</v>
      </c>
    </row>
    <row r="273" spans="1:8">
      <c r="A273" s="8">
        <v>42</v>
      </c>
      <c r="B273" s="8">
        <v>0.77500000000000002</v>
      </c>
      <c r="C273" s="8">
        <v>42</v>
      </c>
      <c r="D273" s="8">
        <v>0.63200000000000001</v>
      </c>
      <c r="E273" s="8">
        <v>42</v>
      </c>
      <c r="F273" s="8">
        <v>0.54500000000000004</v>
      </c>
      <c r="G273" s="8">
        <v>42</v>
      </c>
      <c r="H273" s="8">
        <v>0.45700000000000002</v>
      </c>
    </row>
    <row r="274" spans="1:8">
      <c r="A274" s="8">
        <v>60</v>
      </c>
      <c r="B274" s="8">
        <v>0.77500000000000002</v>
      </c>
      <c r="C274" s="8">
        <v>60</v>
      </c>
      <c r="D274" s="8">
        <v>0.63200000000000001</v>
      </c>
      <c r="E274" s="8">
        <v>60</v>
      </c>
      <c r="F274" s="8">
        <v>0.54500000000000004</v>
      </c>
      <c r="G274" s="8">
        <v>60</v>
      </c>
      <c r="H274" s="8">
        <v>0.45700000000000002</v>
      </c>
    </row>
    <row r="275" spans="1:8">
      <c r="A275" s="8"/>
      <c r="B275" s="8"/>
      <c r="C275" s="8"/>
      <c r="D275" s="8"/>
      <c r="E275" s="8"/>
      <c r="F275" s="8"/>
      <c r="G275" s="8"/>
      <c r="H275" s="8"/>
    </row>
  </sheetData>
  <mergeCells count="31">
    <mergeCell ref="A258:B258"/>
    <mergeCell ref="C258:D258"/>
    <mergeCell ref="E258:F258"/>
    <mergeCell ref="G258:H258"/>
    <mergeCell ref="A241:F241"/>
    <mergeCell ref="A242:B242"/>
    <mergeCell ref="C242:D242"/>
    <mergeCell ref="E242:F242"/>
    <mergeCell ref="A257:H257"/>
    <mergeCell ref="A78:B78"/>
    <mergeCell ref="A89:B89"/>
    <mergeCell ref="A141:C141"/>
    <mergeCell ref="D141:F141"/>
    <mergeCell ref="A140:F140"/>
    <mergeCell ref="A97:B97"/>
    <mergeCell ref="C97:D97"/>
    <mergeCell ref="E97:F97"/>
    <mergeCell ref="A96:F96"/>
    <mergeCell ref="A120:H120"/>
    <mergeCell ref="A121:B121"/>
    <mergeCell ref="C121:D121"/>
    <mergeCell ref="E121:F121"/>
    <mergeCell ref="G121:H121"/>
    <mergeCell ref="A41:B41"/>
    <mergeCell ref="C41:D41"/>
    <mergeCell ref="A40:D40"/>
    <mergeCell ref="A14:H14"/>
    <mergeCell ref="A15:B15"/>
    <mergeCell ref="C15:D15"/>
    <mergeCell ref="E15:F15"/>
    <mergeCell ref="G15:H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FF50-F389-4937-9A78-20247ED7E81B}">
  <sheetPr codeName="Sheet9"/>
  <dimension ref="A1:B93"/>
  <sheetViews>
    <sheetView topLeftCell="A484" zoomScale="57" workbookViewId="0">
      <selection activeCell="A93" sqref="A93"/>
    </sheetView>
  </sheetViews>
  <sheetFormatPr defaultRowHeight="14.4"/>
  <sheetData>
    <row r="1" spans="1:2">
      <c r="A1" t="s">
        <v>505</v>
      </c>
    </row>
    <row r="3" spans="1:2">
      <c r="A3" t="s">
        <v>506</v>
      </c>
      <c r="B3" t="s">
        <v>217</v>
      </c>
    </row>
    <row r="4" spans="1:2">
      <c r="A4" s="6" t="s">
        <v>507</v>
      </c>
      <c r="B4" t="s">
        <v>508</v>
      </c>
    </row>
    <row r="57" spans="1:2">
      <c r="A57" t="s">
        <v>91</v>
      </c>
      <c r="B57" t="s">
        <v>509</v>
      </c>
    </row>
    <row r="93" spans="1:1">
      <c r="A93" t="s">
        <v>520</v>
      </c>
    </row>
  </sheetData>
  <hyperlinks>
    <hyperlink ref="A4" r:id="rId1" display="https://www.ecfr.gov/current/title-49/subtitle-B/chapter-I/subchapter-D/part-192/subpart-C" xr:uid="{D3E18D71-0E56-4F0E-AB06-D4D2A6E0C589}"/>
  </hyperlinks>
  <pageMargins left="0.7" right="0.7" top="0.75" bottom="0.75" header="0.3" footer="0.3"/>
  <drawing r:id="rId2"/>
</worksheet>
</file>

<file path=docMetadata/LabelInfo.xml><?xml version="1.0" encoding="utf-8"?>
<clbl:labelList xmlns:clbl="http://schemas.microsoft.com/office/2020/mipLabelMetadata">
  <clbl:label id="{b530ee07-aa2b-47c7-bd4c-7cc545b5d455}" enabled="1" method="Standard" siteId="{3667e201-cbdc-48b3-9b42-5d2d3f16e2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Approval</vt:lpstr>
      <vt:lpstr>Instructions</vt:lpstr>
      <vt:lpstr>Contents</vt:lpstr>
      <vt:lpstr>Info</vt:lpstr>
      <vt:lpstr>Highway Loading</vt:lpstr>
      <vt:lpstr>Hand Calcs</vt:lpstr>
      <vt:lpstr>Tables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Brookins, Barry</dc:creator>
  <cp:lastModifiedBy>Brookins, Barry</cp:lastModifiedBy>
  <dcterms:created xsi:type="dcterms:W3CDTF">2015-06-05T18:17:20Z</dcterms:created>
  <dcterms:modified xsi:type="dcterms:W3CDTF">2026-06-02T00:34:54Z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0ee07-aa2b-47c7-bd4c-7cc545b5d455_Enabled">
    <vt:lpwstr>true</vt:lpwstr>
  </property>
  <property fmtid="{D5CDD505-2E9C-101B-9397-08002B2CF9AE}" pid="3" name="MSIP_Label_b530ee07-aa2b-47c7-bd4c-7cc545b5d455_SetDate">
    <vt:lpwstr>2024-07-02T12:46:13Z</vt:lpwstr>
  </property>
  <property fmtid="{D5CDD505-2E9C-101B-9397-08002B2CF9AE}" pid="4" name="MSIP_Label_b530ee07-aa2b-47c7-bd4c-7cc545b5d455_Method">
    <vt:lpwstr>Standard</vt:lpwstr>
  </property>
  <property fmtid="{D5CDD505-2E9C-101B-9397-08002B2CF9AE}" pid="5" name="MSIP_Label_b530ee07-aa2b-47c7-bd4c-7cc545b5d455_Name">
    <vt:lpwstr>HDR General Label</vt:lpwstr>
  </property>
  <property fmtid="{D5CDD505-2E9C-101B-9397-08002B2CF9AE}" pid="6" name="MSIP_Label_b530ee07-aa2b-47c7-bd4c-7cc545b5d455_SiteId">
    <vt:lpwstr>3667e201-cbdc-48b3-9b42-5d2d3f16e2a9</vt:lpwstr>
  </property>
  <property fmtid="{D5CDD505-2E9C-101B-9397-08002B2CF9AE}" pid="7" name="MSIP_Label_b530ee07-aa2b-47c7-bd4c-7cc545b5d455_ActionId">
    <vt:lpwstr>f95241e3-1176-4eea-9508-8d9dfa650ade</vt:lpwstr>
  </property>
  <property fmtid="{D5CDD505-2E9C-101B-9397-08002B2CF9AE}" pid="8" name="MSIP_Label_b530ee07-aa2b-47c7-bd4c-7cc545b5d455_ContentBits">
    <vt:lpwstr>0</vt:lpwstr>
  </property>
</Properties>
</file>