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https://hdrinc-my.sharepoint.com/personal/bbrookins_hdrinc_com/Documents/Resource Files/Spreadsheets and Calcs/Validation/Latest Versions/PLTB Calculations/Crossing Calculations/Unchecked/AI/"/>
    </mc:Choice>
  </mc:AlternateContent>
  <xr:revisionPtr revIDLastSave="13" documentId="13_ncr:1_{6E3C66C6-FE63-46EE-A75E-2E4890B63690}" xr6:coauthVersionLast="47" xr6:coauthVersionMax="47" xr10:uidLastSave="{0A2B973A-5066-4DDF-AD0F-97DBADDECD4A}"/>
  <bookViews>
    <workbookView xWindow="-108" yWindow="-108" windowWidth="23256" windowHeight="13896" tabRatio="842" firstSheet="1" activeTab="7" xr2:uid="{00000000-000D-0000-FFFF-FFFF00000000}"/>
  </bookViews>
  <sheets>
    <sheet name="Cover" sheetId="25" r:id="rId1"/>
    <sheet name="Approval" sheetId="29" r:id="rId2"/>
    <sheet name="Instructions" sheetId="26" r:id="rId3"/>
    <sheet name="Contents" sheetId="27" r:id="rId4"/>
    <sheet name="Info" sheetId="28" r:id="rId5"/>
    <sheet name="Railroad Loading" sheetId="1" r:id="rId6"/>
    <sheet name="Hand Calcs" sheetId="17" r:id="rId7"/>
    <sheet name="Tables" sheetId="15" r:id="rId8"/>
    <sheet name="Sources" sheetId="18" r:id="rId9"/>
  </sheets>
  <calcPr calcId="191028" iterate="1" iterateCount="5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7" i="1" l="1"/>
  <c r="D197" i="1" s="1"/>
  <c r="B231" i="1"/>
  <c r="J231" i="1" s="1"/>
  <c r="B255" i="1"/>
  <c r="C255" i="1" s="1"/>
  <c r="B88" i="15"/>
  <c r="E231" i="1" l="1"/>
  <c r="C231" i="1"/>
  <c r="X197" i="1"/>
  <c r="V197" i="1"/>
  <c r="V231" i="1"/>
  <c r="U231" i="1"/>
  <c r="O197" i="1"/>
  <c r="B256" i="1" a="1"/>
  <c r="B256" i="1" s="1"/>
  <c r="F255" i="1"/>
  <c r="N231" i="1"/>
  <c r="J197" i="1"/>
  <c r="U197" i="1"/>
  <c r="S197" i="1"/>
  <c r="P197" i="1"/>
  <c r="S231" i="1"/>
  <c r="L197" i="1"/>
  <c r="I197" i="1"/>
  <c r="H231" i="1"/>
  <c r="B232" i="1" a="1"/>
  <c r="B232" i="1" s="1"/>
  <c r="AE231" i="1"/>
  <c r="AD231" i="1"/>
  <c r="Y197" i="1"/>
  <c r="AA231" i="1"/>
  <c r="Z231" i="1"/>
  <c r="Y231" i="1"/>
  <c r="T197" i="1"/>
  <c r="R197" i="1"/>
  <c r="Q197" i="1"/>
  <c r="T231" i="1"/>
  <c r="R231" i="1"/>
  <c r="N197" i="1"/>
  <c r="Q231" i="1"/>
  <c r="M197" i="1"/>
  <c r="G255" i="1"/>
  <c r="P231" i="1"/>
  <c r="O231" i="1"/>
  <c r="K197" i="1"/>
  <c r="E255" i="1"/>
  <c r="D255" i="1"/>
  <c r="M231" i="1"/>
  <c r="L231" i="1"/>
  <c r="H197" i="1"/>
  <c r="I231" i="1"/>
  <c r="G231" i="1"/>
  <c r="F231" i="1"/>
  <c r="AG231" i="1"/>
  <c r="AF231" i="1"/>
  <c r="D231" i="1"/>
  <c r="AC231" i="1"/>
  <c r="AB231" i="1"/>
  <c r="W197" i="1"/>
  <c r="X231" i="1"/>
  <c r="W231" i="1"/>
  <c r="K231" i="1"/>
  <c r="G197" i="1"/>
  <c r="F197" i="1"/>
  <c r="E197" i="1"/>
  <c r="E50" i="17"/>
  <c r="D50" i="17"/>
  <c r="C28" i="1"/>
  <c r="C24" i="1"/>
  <c r="C22" i="1"/>
  <c r="C20" i="1"/>
  <c r="B9" i="17"/>
  <c r="F281" i="15"/>
  <c r="D281" i="15"/>
  <c r="B281" i="15"/>
  <c r="F143" i="15"/>
  <c r="D143" i="15"/>
  <c r="B143" i="15"/>
  <c r="E232" i="1" l="1"/>
  <c r="AG232" i="1"/>
  <c r="F232" i="1"/>
  <c r="T232" i="1"/>
  <c r="U232" i="1"/>
  <c r="Z232" i="1"/>
  <c r="AD232" i="1"/>
  <c r="C232" i="1"/>
  <c r="Y232" i="1"/>
  <c r="G232" i="1"/>
  <c r="H232" i="1"/>
  <c r="I232" i="1"/>
  <c r="J232" i="1"/>
  <c r="N232" i="1"/>
  <c r="AA232" i="1"/>
  <c r="AB232" i="1"/>
  <c r="D232" i="1"/>
  <c r="L232" i="1"/>
  <c r="M232" i="1"/>
  <c r="P232" i="1"/>
  <c r="Q232" i="1"/>
  <c r="V232" i="1"/>
  <c r="W232" i="1"/>
  <c r="K232" i="1"/>
  <c r="O232" i="1"/>
  <c r="R232" i="1"/>
  <c r="S232" i="1"/>
  <c r="X232" i="1"/>
  <c r="AC232" i="1"/>
  <c r="AE232" i="1"/>
  <c r="AF232" i="1"/>
  <c r="F256" i="1"/>
  <c r="E256" i="1"/>
  <c r="G256" i="1"/>
  <c r="D256" i="1"/>
  <c r="C256" i="1"/>
  <c r="C32" i="1"/>
  <c r="C31" i="1"/>
  <c r="C17" i="1" l="1"/>
  <c r="C114" i="1"/>
  <c r="C116" i="1" s="1"/>
  <c r="C113" i="1"/>
  <c r="C115" i="1" s="1"/>
  <c r="C87" i="1"/>
  <c r="F99" i="1" s="1"/>
  <c r="F101" i="1" s="1"/>
  <c r="A241" i="15"/>
  <c r="A240" i="15"/>
  <c r="A239" i="15"/>
  <c r="A238" i="15"/>
  <c r="A237" i="15"/>
  <c r="A236" i="15"/>
  <c r="A235" i="15"/>
  <c r="A234" i="15"/>
  <c r="A233" i="15"/>
  <c r="A232" i="15"/>
  <c r="A231" i="15"/>
  <c r="A230" i="15"/>
  <c r="A229" i="15"/>
  <c r="A228" i="15"/>
  <c r="A227" i="15"/>
  <c r="A226" i="15"/>
  <c r="A225" i="15"/>
  <c r="A224" i="15"/>
  <c r="A223" i="15"/>
  <c r="A222" i="15"/>
  <c r="A221" i="15"/>
  <c r="A220" i="15"/>
  <c r="A219" i="15"/>
  <c r="A218" i="15"/>
  <c r="A217" i="15"/>
  <c r="A216" i="15"/>
  <c r="A215" i="15"/>
  <c r="A214" i="15"/>
  <c r="A213" i="15"/>
  <c r="A212" i="15"/>
  <c r="A211" i="15"/>
  <c r="A210" i="15"/>
  <c r="A209" i="15"/>
  <c r="A208" i="15"/>
  <c r="A207" i="15"/>
  <c r="A206" i="15"/>
  <c r="A205" i="15"/>
  <c r="A204" i="15"/>
  <c r="A203" i="15"/>
  <c r="A202" i="15"/>
  <c r="A201" i="15"/>
  <c r="A200" i="15"/>
  <c r="A199" i="15"/>
  <c r="A198" i="15"/>
  <c r="A197" i="15"/>
  <c r="A196" i="15"/>
  <c r="A195" i="15"/>
  <c r="A194" i="15"/>
  <c r="A193" i="15"/>
  <c r="A192" i="15"/>
  <c r="A191" i="15"/>
  <c r="A190" i="15"/>
  <c r="A189" i="15"/>
  <c r="A188" i="15"/>
  <c r="A187" i="15"/>
  <c r="A186" i="15"/>
  <c r="A185" i="15"/>
  <c r="A184" i="15"/>
  <c r="A183" i="15"/>
  <c r="A182" i="15"/>
  <c r="A181" i="15"/>
  <c r="A180" i="15"/>
  <c r="A179" i="15"/>
  <c r="A178" i="15"/>
  <c r="A177" i="15"/>
  <c r="A176" i="15"/>
  <c r="A175" i="15"/>
  <c r="A174" i="15"/>
  <c r="A173" i="15"/>
  <c r="A172" i="15"/>
  <c r="A171" i="15"/>
  <c r="A170" i="15"/>
  <c r="A169" i="15"/>
  <c r="A168" i="15"/>
  <c r="A167" i="15"/>
  <c r="A166" i="15"/>
  <c r="A165" i="15"/>
  <c r="A164" i="15"/>
  <c r="A163" i="15"/>
  <c r="A162" i="15"/>
  <c r="A161" i="15"/>
  <c r="A160" i="15"/>
  <c r="A159" i="15"/>
  <c r="A158" i="15"/>
  <c r="A157" i="15"/>
  <c r="A156" i="15"/>
  <c r="A155" i="15"/>
  <c r="A154" i="15"/>
  <c r="E24" i="1"/>
  <c r="A7" i="27"/>
  <c r="A8" i="27" s="1"/>
  <c r="A9" i="27" s="1"/>
  <c r="A10" i="27" s="1"/>
  <c r="A11" i="27" s="1"/>
  <c r="A12" i="27" s="1"/>
  <c r="A13" i="27" s="1"/>
  <c r="A14" i="27" s="1"/>
  <c r="A15" i="27" s="1"/>
  <c r="A16" i="27" s="1"/>
  <c r="A17" i="27" s="1"/>
  <c r="A18" i="27" s="1"/>
  <c r="A19" i="27" s="1"/>
  <c r="A20" i="27" s="1"/>
  <c r="A21" i="27" s="1"/>
  <c r="A22" i="27" s="1"/>
  <c r="A23" i="27" s="1"/>
  <c r="A24" i="27" s="1"/>
  <c r="A25" i="27" s="1"/>
  <c r="A26" i="27" s="1"/>
  <c r="A27" i="27" s="1"/>
  <c r="A28" i="27" s="1"/>
  <c r="A29" i="27" s="1"/>
  <c r="C13" i="1"/>
  <c r="B3" i="17"/>
  <c r="B7" i="17"/>
  <c r="E47" i="17" l="1"/>
  <c r="D47" i="17"/>
  <c r="E28" i="17"/>
  <c r="D28" i="17"/>
  <c r="F145" i="1"/>
  <c r="F147" i="1" s="1"/>
  <c r="B165" i="1"/>
  <c r="E54" i="17"/>
  <c r="E29" i="17"/>
  <c r="D29" i="17"/>
  <c r="D54" i="17"/>
  <c r="C72" i="1"/>
  <c r="B57" i="17" s="1"/>
  <c r="C71" i="1"/>
  <c r="B56" i="17" s="1"/>
  <c r="C158" i="1"/>
  <c r="C160" i="1" s="1"/>
  <c r="C159" i="1"/>
  <c r="C161" i="1" s="1"/>
  <c r="F158" i="1"/>
  <c r="F160" i="1" s="1"/>
  <c r="F159" i="1"/>
  <c r="F161" i="1" s="1"/>
  <c r="I158" i="1"/>
  <c r="I160" i="1" s="1"/>
  <c r="I159" i="1"/>
  <c r="I161" i="1" s="1"/>
  <c r="C152" i="1"/>
  <c r="C154" i="1" s="1"/>
  <c r="C151" i="1"/>
  <c r="C153" i="1" s="1"/>
  <c r="F151" i="1"/>
  <c r="F153" i="1" s="1"/>
  <c r="F152" i="1"/>
  <c r="F154" i="1" s="1"/>
  <c r="I151" i="1"/>
  <c r="I153" i="1" s="1"/>
  <c r="I152" i="1"/>
  <c r="I154" i="1" s="1"/>
  <c r="C145" i="1"/>
  <c r="C147" i="1" s="1"/>
  <c r="C144" i="1"/>
  <c r="C146" i="1" s="1"/>
  <c r="C100" i="1"/>
  <c r="C102" i="1" s="1"/>
  <c r="F100" i="1"/>
  <c r="F102" i="1" s="1"/>
  <c r="F103" i="1" s="1"/>
  <c r="C99" i="1"/>
  <c r="C101" i="1" s="1"/>
  <c r="I145" i="1"/>
  <c r="I147" i="1" s="1"/>
  <c r="C86" i="1"/>
  <c r="C88" i="1"/>
  <c r="C127" i="1"/>
  <c r="C129" i="1" s="1"/>
  <c r="F127" i="1"/>
  <c r="F129" i="1" s="1"/>
  <c r="I127" i="1"/>
  <c r="I129" i="1" s="1"/>
  <c r="C128" i="1"/>
  <c r="C130" i="1" s="1"/>
  <c r="F128" i="1"/>
  <c r="F130" i="1" s="1"/>
  <c r="I128" i="1"/>
  <c r="I130" i="1" s="1"/>
  <c r="F144" i="1"/>
  <c r="F146" i="1" s="1"/>
  <c r="F148" i="1" s="1"/>
  <c r="I144" i="1"/>
  <c r="I146" i="1" s="1"/>
  <c r="C117" i="1"/>
  <c r="C51" i="1" s="1"/>
  <c r="B36" i="17" s="1"/>
  <c r="C62" i="1"/>
  <c r="C26" i="1"/>
  <c r="C25" i="1"/>
  <c r="C43" i="1"/>
  <c r="B12" i="17"/>
  <c r="M34" i="17"/>
  <c r="C101" i="17"/>
  <c r="C100" i="17"/>
  <c r="C96" i="17"/>
  <c r="C94" i="17"/>
  <c r="C98" i="17"/>
  <c r="C92" i="17"/>
  <c r="C85" i="17"/>
  <c r="C90" i="17"/>
  <c r="C99" i="17"/>
  <c r="C95" i="17"/>
  <c r="C93" i="17"/>
  <c r="C89" i="17"/>
  <c r="C88" i="17"/>
  <c r="C87" i="17"/>
  <c r="C86" i="17"/>
  <c r="F85" i="17" a="1"/>
  <c r="F85" i="17" s="1"/>
  <c r="G85" i="17" a="1"/>
  <c r="G85" i="17" s="1"/>
  <c r="G84" i="17" a="1"/>
  <c r="G84" i="17" s="1"/>
  <c r="F84" i="17" a="1"/>
  <c r="F84" i="17" s="1"/>
  <c r="B18" i="17"/>
  <c r="C84" i="17" s="1"/>
  <c r="B19" i="17"/>
  <c r="C91" i="17" s="1"/>
  <c r="B13" i="17"/>
  <c r="B62" i="17"/>
  <c r="B167" i="1" l="1"/>
  <c r="B166" i="1"/>
  <c r="D58" i="17"/>
  <c r="E58" i="17"/>
  <c r="B69" i="17"/>
  <c r="B75" i="17"/>
  <c r="E59" i="17"/>
  <c r="D59" i="17"/>
  <c r="C69" i="17"/>
  <c r="C75" i="17"/>
  <c r="C70" i="17"/>
  <c r="C76" i="17"/>
  <c r="C74" i="1"/>
  <c r="B59" i="17" s="1"/>
  <c r="C155" i="1"/>
  <c r="C103" i="1"/>
  <c r="C47" i="1" s="1"/>
  <c r="B32" i="17" s="1"/>
  <c r="I162" i="1"/>
  <c r="F162" i="1"/>
  <c r="C162" i="1"/>
  <c r="I155" i="1"/>
  <c r="I148" i="1"/>
  <c r="F155" i="1"/>
  <c r="C148" i="1"/>
  <c r="F136" i="1"/>
  <c r="F138" i="1" s="1"/>
  <c r="I136" i="1"/>
  <c r="I138" i="1" s="1"/>
  <c r="C136" i="1"/>
  <c r="C138" i="1" s="1"/>
  <c r="I135" i="1"/>
  <c r="I137" i="1" s="1"/>
  <c r="F135" i="1"/>
  <c r="F137" i="1" s="1"/>
  <c r="C135" i="1"/>
  <c r="C137" i="1" s="1"/>
  <c r="L93" i="1"/>
  <c r="L95" i="1" s="1"/>
  <c r="I93" i="1"/>
  <c r="I95" i="1" s="1"/>
  <c r="F93" i="1"/>
  <c r="F95" i="1" s="1"/>
  <c r="C93" i="1"/>
  <c r="C95" i="1" s="1"/>
  <c r="L92" i="1"/>
  <c r="L94" i="1" s="1"/>
  <c r="I92" i="1"/>
  <c r="I94" i="1" s="1"/>
  <c r="F92" i="1"/>
  <c r="F94" i="1" s="1"/>
  <c r="I121" i="1"/>
  <c r="I123" i="1" s="1"/>
  <c r="F121" i="1"/>
  <c r="F123" i="1" s="1"/>
  <c r="C92" i="1"/>
  <c r="C94" i="1" s="1"/>
  <c r="C121" i="1"/>
  <c r="C123" i="1" s="1"/>
  <c r="I120" i="1"/>
  <c r="I122" i="1" s="1"/>
  <c r="F120" i="1"/>
  <c r="F122" i="1" s="1"/>
  <c r="C120" i="1"/>
  <c r="C122" i="1" s="1"/>
  <c r="I131" i="1"/>
  <c r="F131" i="1"/>
  <c r="C131" i="1"/>
  <c r="C55" i="1" s="1"/>
  <c r="C107" i="1"/>
  <c r="C109" i="1" s="1"/>
  <c r="C106" i="1"/>
  <c r="C108" i="1" s="1"/>
  <c r="C44" i="1"/>
  <c r="B29" i="17" s="1"/>
  <c r="C69" i="1"/>
  <c r="C73" i="1"/>
  <c r="B58" i="17" s="1"/>
  <c r="C97" i="17"/>
  <c r="M32" i="17" a="1"/>
  <c r="M32" i="17" s="1"/>
  <c r="C59" i="1" l="1"/>
  <c r="B44" i="17" s="1"/>
  <c r="C57" i="1"/>
  <c r="C53" i="1"/>
  <c r="B38" i="17" s="1"/>
  <c r="C77" i="17"/>
  <c r="C71" i="17"/>
  <c r="C72" i="17"/>
  <c r="C78" i="17"/>
  <c r="F139" i="1"/>
  <c r="L136" i="1" s="1"/>
  <c r="I139" i="1"/>
  <c r="L137" i="1" s="1"/>
  <c r="B40" i="17"/>
  <c r="F96" i="1"/>
  <c r="O93" i="1" s="1"/>
  <c r="I96" i="1"/>
  <c r="O94" i="1" s="1"/>
  <c r="L96" i="1"/>
  <c r="O95" i="1" s="1"/>
  <c r="C139" i="1"/>
  <c r="L135" i="1" s="1"/>
  <c r="C96" i="1"/>
  <c r="O92" i="1" s="1"/>
  <c r="C46" i="1" s="1"/>
  <c r="C110" i="1"/>
  <c r="C48" i="1" s="1"/>
  <c r="B33" i="17" s="1"/>
  <c r="C124" i="1"/>
  <c r="L120" i="1" s="1"/>
  <c r="F124" i="1"/>
  <c r="L121" i="1" s="1"/>
  <c r="I124" i="1"/>
  <c r="L122" i="1" s="1"/>
  <c r="C63" i="17"/>
  <c r="C66" i="17"/>
  <c r="C65" i="17"/>
  <c r="B42" i="17" l="1"/>
  <c r="C54" i="1"/>
  <c r="B39" i="17" s="1"/>
  <c r="E41" i="17" s="1"/>
  <c r="B31" i="17"/>
  <c r="C58" i="1"/>
  <c r="B43" i="17" s="1"/>
  <c r="B54" i="17"/>
  <c r="C64" i="17" s="1"/>
  <c r="C60" i="1" l="1"/>
  <c r="C80" i="1" s="1"/>
  <c r="E45" i="17"/>
  <c r="D45" i="17"/>
  <c r="D41" i="17"/>
  <c r="D34" i="17"/>
  <c r="E34" i="17"/>
  <c r="B78" i="17"/>
  <c r="B72" i="17"/>
  <c r="C49" i="1"/>
  <c r="D80" i="1"/>
  <c r="C65" i="1"/>
  <c r="B50" i="17" s="1"/>
  <c r="B28" i="17"/>
  <c r="D81" i="1"/>
  <c r="E80" i="1" l="1"/>
  <c r="B77" i="17"/>
  <c r="B71" i="17"/>
  <c r="C64" i="1"/>
  <c r="B34" i="17"/>
  <c r="D79" i="1"/>
  <c r="B47" i="17"/>
  <c r="D78" i="1"/>
  <c r="C78" i="1"/>
  <c r="B63" i="17" l="1"/>
  <c r="D63" i="17" s="1"/>
  <c r="E78" i="1"/>
  <c r="C56" i="1"/>
  <c r="C81" i="1" l="1"/>
  <c r="E81" i="1" s="1"/>
  <c r="B41" i="17"/>
  <c r="B49" i="17"/>
  <c r="B45" i="17"/>
  <c r="C63" i="1"/>
  <c r="B48" i="17" s="1"/>
  <c r="D49" i="17" l="1"/>
  <c r="E49" i="17"/>
  <c r="E51" i="17"/>
  <c r="D51" i="17"/>
  <c r="E48" i="17"/>
  <c r="D48" i="17"/>
  <c r="B65" i="17"/>
  <c r="D65" i="17" s="1"/>
  <c r="B66" i="17"/>
  <c r="D66" i="17" s="1"/>
  <c r="C66" i="1"/>
  <c r="C79" i="1" s="1"/>
  <c r="E79" i="1" s="1"/>
  <c r="B76" i="17" l="1"/>
  <c r="B70" i="17"/>
  <c r="B51" i="17"/>
  <c r="B64" i="17" l="1"/>
  <c r="D64"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tc={81A5F285-E1C3-4745-B1A0-EC43997CC05C}</author>
  </authors>
  <commentList>
    <comment ref="B11" authorId="0" shapeId="0" xr:uid="{81A5F285-E1C3-4745-B1A0-EC43997CC05C}">
      <text>
        <t>[Threaded comment]
Your version of Excel allows you to read this threaded comment; however, any edits to it will get removed if the file is opened in a newer version of Excel. Learn more: https://go.microsoft.com/fwlink/?linkid=870924
Comment:
    Note this is different from “Highway Loading” tab</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futureMetadata>
  <cellMetadata count="1">
    <bk>
      <rc t="1" v="0"/>
    </bk>
  </cellMetadata>
  <valueMetadata count="12">
    <bk>
      <rc t="2" v="0"/>
    </bk>
    <bk>
      <rc t="2" v="1"/>
    </bk>
    <bk>
      <rc t="2" v="2"/>
    </bk>
    <bk>
      <rc t="2" v="3"/>
    </bk>
    <bk>
      <rc t="2" v="4"/>
    </bk>
    <bk>
      <rc t="2" v="5"/>
    </bk>
    <bk>
      <rc t="2" v="6"/>
    </bk>
    <bk>
      <rc t="2" v="7"/>
    </bk>
    <bk>
      <rc t="2" v="8"/>
    </bk>
    <bk>
      <rc t="2" v="9"/>
    </bk>
    <bk>
      <rc t="2" v="10"/>
    </bk>
    <bk>
      <rc t="2" v="11"/>
    </bk>
  </valueMetadata>
</metadata>
</file>

<file path=xl/sharedStrings.xml><?xml version="1.0" encoding="utf-8"?>
<sst xmlns="http://schemas.openxmlformats.org/spreadsheetml/2006/main" count="1643" uniqueCount="509">
  <si>
    <t>Technical - Tool</t>
  </si>
  <si>
    <t>Gas Pipeline</t>
  </si>
  <si>
    <t>API1102 Railroad Loading</t>
  </si>
  <si>
    <t>HDR Engineering Inc.</t>
  </si>
  <si>
    <t xml:space="preserve"> Approved By:</t>
  </si>
  <si>
    <t xml:space="preserve">Rev 0 </t>
  </si>
  <si>
    <t>Best Practice</t>
  </si>
  <si>
    <t>Issue Date:</t>
  </si>
  <si>
    <t>Author:</t>
  </si>
  <si>
    <t>Barry Brookins</t>
  </si>
  <si>
    <t>Owner:</t>
  </si>
  <si>
    <t>Revision History</t>
  </si>
  <si>
    <t>Rev</t>
  </si>
  <si>
    <t>Description of Change</t>
  </si>
  <si>
    <t>Effective Date</t>
  </si>
  <si>
    <t>Originator</t>
  </si>
  <si>
    <t>Checker</t>
  </si>
  <si>
    <t>Reviewer</t>
  </si>
  <si>
    <t>Initial Release</t>
  </si>
  <si>
    <t>Barry B.</t>
  </si>
  <si>
    <t>Holly E.</t>
  </si>
  <si>
    <t>For questions regarding this Spreadsheet contact</t>
  </si>
  <si>
    <t>HDR Engineering Inc. - Rosemont, IL</t>
  </si>
  <si>
    <t>barry.brookins@hdrinc.com</t>
  </si>
  <si>
    <t>or</t>
  </si>
  <si>
    <t>Jon Liechti</t>
  </si>
  <si>
    <t>HDR Engineering Inc. - Tulsa, OK</t>
  </si>
  <si>
    <t>918.281.4330</t>
  </si>
  <si>
    <t>Jonathan.Liechti@hdrinc.com</t>
  </si>
  <si>
    <t>Conventions for this spreadsheet</t>
  </si>
  <si>
    <t>Convention</t>
  </si>
  <si>
    <t>Meaning</t>
  </si>
  <si>
    <t>Black on White</t>
  </si>
  <si>
    <t>Formulas or Constants (Not to be updated)</t>
  </si>
  <si>
    <t>Black on Yellow</t>
  </si>
  <si>
    <t>Data Entry (Overwrites) - Unprotected Cell</t>
  </si>
  <si>
    <t>Table of Contents</t>
  </si>
  <si>
    <t>SHEET</t>
  </si>
  <si>
    <t>Contents</t>
  </si>
  <si>
    <t>Cover</t>
  </si>
  <si>
    <t>Best Practice approval and contact information</t>
  </si>
  <si>
    <t>Instructions</t>
  </si>
  <si>
    <t>Spreadsheet Instructions</t>
  </si>
  <si>
    <t>Info</t>
  </si>
  <si>
    <t>User Information</t>
  </si>
  <si>
    <t>Design Pressure</t>
  </si>
  <si>
    <t>Hand Calcs</t>
  </si>
  <si>
    <t>Tables</t>
  </si>
  <si>
    <t>Tables used for dropdowns and VLOOKUP's within the calculation tab</t>
  </si>
  <si>
    <t>Sources</t>
  </si>
  <si>
    <t>Sources used for calculations</t>
  </si>
  <si>
    <t>ReadMe</t>
  </si>
  <si>
    <t>1 PURPOSE</t>
  </si>
  <si>
    <t>The purpose of this procedure is to check the combined stress of a pipeline due to internal pipeline pressure and external railroad loading.</t>
  </si>
  <si>
    <t>2 DEFINITIONS</t>
  </si>
  <si>
    <t>3 PROCEDURES</t>
  </si>
  <si>
    <t>3.1 Calculate the Hoop Stress (Barlow):</t>
  </si>
  <si>
    <t>Hoop Stress (Barlow) = Pressure * Pipe Diameter / (2 * Wall Thickness)</t>
  </si>
  <si>
    <t>3.2 Calculate the Allowable Hoop Stress:</t>
  </si>
  <si>
    <t>Allowable Hoop Stress = Design Factor * Longitudinal Joint Factor * Temperature Derating Factor * SMYS</t>
  </si>
  <si>
    <t>3.3 Calculate the Circumferential Stress from Earth Load:</t>
  </si>
  <si>
    <t>Circumferential Stress from Earth Load = Stiffness Factor for Earth Load Circumferential Stress * Burial Factor for Earth Load Circumferential Stress * Excavation Factor for Earth Load Circumferential Stress * Average Unit Weight of Soil * Pipe Diameter</t>
  </si>
  <si>
    <t>3.4 Calculate the Railroad Cyclic Circumferential Stress:</t>
  </si>
  <si>
    <t>3.5 Calculate the Railroad Cyclic Longitudinal Stress:</t>
  </si>
  <si>
    <t>3.6 Calculate the Circumferential Stress Due to Internal Pressurization:</t>
  </si>
  <si>
    <t>Circumferential Stress Due to Internal Pressurization = Pressure * (Pipe Diameter - Wall Thickness) / (2 * Wall  Thickness)</t>
  </si>
  <si>
    <t>3.7 Calculate the Maximum Circumferential Stress:</t>
  </si>
  <si>
    <t>Maximum Circumferential Stress =  Circumferential Stress from Earth Load + Railroad Cyclic Circumferential Stress + Circumferential Stress Due to Internal Pressurization</t>
  </si>
  <si>
    <t>3.8 Calculate the Maximum Longitudinal Stress:</t>
  </si>
  <si>
    <t>3.9 Calculate the Maximum Radial Stress Result:</t>
  </si>
  <si>
    <t>Maximum Radial Stress Result = -1 * Pressure</t>
  </si>
  <si>
    <t>3.10 Calculate the Total Effective Stress:</t>
  </si>
  <si>
    <t>Total Effective Stress = Sqrt(1/2 * (Maximum Circumferential Stress - Maximum Longitudinal Stress)^2 + (Maximum Longitudinal Stress - Maximum Radial Stress)^2 + (Maximum Radial Stress - Maximum Circumferential Stress)^2)</t>
  </si>
  <si>
    <t>3.11 Calculate the Allowable Effective Stress:</t>
  </si>
  <si>
    <t>Allowable Effective Stress = SMYS * Design Factor</t>
  </si>
  <si>
    <t>3.12 Calculate the Allowable Stress of Girth Welds:</t>
  </si>
  <si>
    <t>Allowable Stress of Girth Welds = Fatigue Resistance of Girth Welds * Design Factor</t>
  </si>
  <si>
    <t>3.13 Calculate the Allowable Stress of Longitudinal Welds:</t>
  </si>
  <si>
    <t>Allowable Stress of Longitudinal Welds = Fatigue Resistance of Longitudinal Welds * Design Factor</t>
  </si>
  <si>
    <t>API 1102 Railroad Loading</t>
  </si>
  <si>
    <t>Purpose</t>
  </si>
  <si>
    <t>Find</t>
  </si>
  <si>
    <t>Description</t>
  </si>
  <si>
    <t>Variable</t>
  </si>
  <si>
    <t>Unit</t>
  </si>
  <si>
    <t>Comment</t>
  </si>
  <si>
    <t>Barlow Stress</t>
  </si>
  <si>
    <t>SHi</t>
  </si>
  <si>
    <t>psi</t>
  </si>
  <si>
    <t>Effective Stress</t>
  </si>
  <si>
    <t>Seff</t>
  </si>
  <si>
    <t>Girth Weld Stress</t>
  </si>
  <si>
    <t>SLh</t>
  </si>
  <si>
    <t>Long. Weld Stress</t>
  </si>
  <si>
    <t>SHh</t>
  </si>
  <si>
    <t>Given</t>
  </si>
  <si>
    <t>Value</t>
  </si>
  <si>
    <t>Pipe Diameter</t>
  </si>
  <si>
    <t>in</t>
  </si>
  <si>
    <t>D - Pipe Outside Diameter</t>
  </si>
  <si>
    <t>tw - Wall Thickness</t>
  </si>
  <si>
    <t>SMYS</t>
  </si>
  <si>
    <t>Design Class Location</t>
  </si>
  <si>
    <t>2 Minimum For RR crossings</t>
  </si>
  <si>
    <t>F - Design Factor</t>
  </si>
  <si>
    <t>Pipe Class</t>
  </si>
  <si>
    <t>Electric Resistance Welded</t>
  </si>
  <si>
    <t>E - Longitudinal Joint Factor</t>
  </si>
  <si>
    <t>Pipe Material</t>
  </si>
  <si>
    <t>Steel</t>
  </si>
  <si>
    <t>Es - Young's Modulus</t>
  </si>
  <si>
    <t>v - Poisson's Ratio</t>
  </si>
  <si>
    <t>α - Coefficient of thermal expansion</t>
  </si>
  <si>
    <t>1/°F</t>
  </si>
  <si>
    <t>T - Temperature Derating Factor</t>
  </si>
  <si>
    <t>Typically equal to 1 near ambient temperature</t>
  </si>
  <si>
    <t>T2 - Operating Temperature</t>
  </si>
  <si>
    <t>°F</t>
  </si>
  <si>
    <t>P - Operating Pressure</t>
  </si>
  <si>
    <t>Soil Type</t>
  </si>
  <si>
    <t>Loose sands and gravels</t>
  </si>
  <si>
    <t>E' - Modulus of Soil Reaction</t>
  </si>
  <si>
    <t>Er - Resilient Modulus</t>
  </si>
  <si>
    <t>γ - Average Unit Weight of Soil</t>
  </si>
  <si>
    <t>lb/ft3</t>
  </si>
  <si>
    <t>Typically equal to 120 PCF</t>
  </si>
  <si>
    <t>H - Pipe Depth</t>
  </si>
  <si>
    <t>ft</t>
  </si>
  <si>
    <t>Bd - Bored Diameter</t>
  </si>
  <si>
    <t>inch</t>
  </si>
  <si>
    <t>Equal to D+2 if pipe is proposed or within 10 years of installation
Equal to D+1 if pipe is within 10-20 years of installation
Equal to D if pipe was installed greater than 20 years ago</t>
  </si>
  <si>
    <t>T1 - Installation Temperature</t>
  </si>
  <si>
    <t>Number of Tracks</t>
  </si>
  <si>
    <t>w - Applied Design Surface Pressure</t>
  </si>
  <si>
    <t>Typically equal to 13.9</t>
  </si>
  <si>
    <t>Equations</t>
  </si>
  <si>
    <t>Calculations</t>
  </si>
  <si>
    <t>Shi(Barlow) - Hoop Stress</t>
  </si>
  <si>
    <t>Allowable Hoop Stress</t>
  </si>
  <si>
    <t>Khe - Stiffness Factor for Earth Load Circumferential Stress</t>
  </si>
  <si>
    <t>Be - Burial Factor for Earth Load Circumferential Stress</t>
  </si>
  <si>
    <t>Ee - Excavation Factor for Earth Load Circumferential Stress</t>
  </si>
  <si>
    <t>SHe - Circumferential Stress from Earth Load</t>
  </si>
  <si>
    <t>Fi - Impact Factor</t>
  </si>
  <si>
    <t>Nh - Railroad Double Track Factor for Circumferential Stress</t>
  </si>
  <si>
    <t>KHr - Railroad Stiffness Factor for Cyclic Circumferential Stress</t>
  </si>
  <si>
    <t>GHr - Railroad Geometry Factor for Cyclic Circumferential Stress</t>
  </si>
  <si>
    <t>SHr - Railroad Cyclic Circumferential Stress</t>
  </si>
  <si>
    <t>NL - Railroad Double Track Factor Longitudinal Stress</t>
  </si>
  <si>
    <t>KLr - Railroad Stiffness Factor Cyclic Longitudinal Stress</t>
  </si>
  <si>
    <t>GLr - Railroad Geometry Factor Cyclic Longitudinal Stress</t>
  </si>
  <si>
    <t>SLr - Railroad Cyclic Longitudinal Stress</t>
  </si>
  <si>
    <t>Shi - Circumferential Stress Due to Internal Pressurization</t>
  </si>
  <si>
    <t>S1 - Maximum Circumferential Stress</t>
  </si>
  <si>
    <t>S2 - Maximum Longitudinal Stress</t>
  </si>
  <si>
    <t>S3 - Maximum Radial Stress Result</t>
  </si>
  <si>
    <t>Seff - Total Effective Stress</t>
  </si>
  <si>
    <t>Allowable Effective Stress</t>
  </si>
  <si>
    <t>Fatigue Resistance of Girth Welds</t>
  </si>
  <si>
    <t>Fatigue Resistance of Longitudinal Welds</t>
  </si>
  <si>
    <t>Allowable Stress of Girth Welds</t>
  </si>
  <si>
    <t>Allowable Stress of Longitudinal Welds</t>
  </si>
  <si>
    <t>Summary</t>
  </si>
  <si>
    <t>Stress</t>
  </si>
  <si>
    <t>Calculated (psi)</t>
  </si>
  <si>
    <t>Allowable (psi)</t>
  </si>
  <si>
    <t>Pass/Fail</t>
  </si>
  <si>
    <t>Girth Welds</t>
  </si>
  <si>
    <t>Long. Welds</t>
  </si>
  <si>
    <t>Values Used in Tables</t>
  </si>
  <si>
    <t>tw/D</t>
  </si>
  <si>
    <t>H/Bd</t>
  </si>
  <si>
    <t>Bd/D</t>
  </si>
  <si>
    <t>Stiffness Factor for Earth Load Circumferential Stress - .2 ksi</t>
  </si>
  <si>
    <t>Stiffness Factor for Earth Load Circumferential Stress - .5 ksi</t>
  </si>
  <si>
    <t>Stiffness Factor for Earth Load Circumferential Stress - 1 ksi</t>
  </si>
  <si>
    <t>Stiffness Factor for Earth Load Circumferential Stress - 2 ksi</t>
  </si>
  <si>
    <t>E' (psi)</t>
  </si>
  <si>
    <t>Stiffness Factor for Earth Load Circumferential Stress</t>
  </si>
  <si>
    <t>X1</t>
  </si>
  <si>
    <t>X2</t>
  </si>
  <si>
    <t>Y1</t>
  </si>
  <si>
    <t>Y2</t>
  </si>
  <si>
    <t>Burial Factor A - Load Interpolation From Live Loads Table</t>
  </si>
  <si>
    <t>Burial Factor B - Load Interpolation From Live Loads Table</t>
  </si>
  <si>
    <t>Burial Factor A</t>
  </si>
  <si>
    <t>Burial Factor B</t>
  </si>
  <si>
    <t>Excavation Factor</t>
  </si>
  <si>
    <t>Impact Factor</t>
  </si>
  <si>
    <t>Railroad Stiffness Factor for Cyclic Circumferential Stress - 5 ksi</t>
  </si>
  <si>
    <t>Railroad Stiffness Factor for Cyclic Circumferential Stress - 10 ksi</t>
  </si>
  <si>
    <t>Railroad Stiffness Factor for Cyclic Circumferential Stress - 20 ksi</t>
  </si>
  <si>
    <t>Er (psi)</t>
  </si>
  <si>
    <t>Railroad Geometry Factor for Cyclic Circumferential Stress - 6'</t>
  </si>
  <si>
    <t>Railroad Geometry Factor for Cyclic Circumferential Stress - 10'</t>
  </si>
  <si>
    <t>Railroad Geometry Factor for Cyclic Circumferential Stress - 14'</t>
  </si>
  <si>
    <t>Railroad Stiffness Factor for Cyclic Longitudinal Stress - 5 ksi</t>
  </si>
  <si>
    <t>Railroad Stiffness Factor for Cyclic Longitudinal Stress - 10 ksi</t>
  </si>
  <si>
    <t>Railroad Stiffness Factor for Cyclic Longitudinal Stress - 20 ksi</t>
  </si>
  <si>
    <t>Railroad Geometry Factor for Cyclic Longitudinal Stress - 6'</t>
  </si>
  <si>
    <t>Railroad Geometry Factor for Cyclic Longitudinal Stress - 10'</t>
  </si>
  <si>
    <t>Railroad Geometry Factor for Cyclic Longitudinal Stress - 14'</t>
  </si>
  <si>
    <t>Railroad Double Track Factor for Cyclic Circumferential Stress - 6'</t>
  </si>
  <si>
    <t>Railroad Double Track Factor for Cyclic Circumferential Stress - 10'</t>
  </si>
  <si>
    <t>Railroad Double Track Factor for Cyclic Circumferential Stress - 14'</t>
  </si>
  <si>
    <t>Railroad Double Track Factor for Longitudinal Circumferential Stress - 6'</t>
  </si>
  <si>
    <t>Inputs</t>
  </si>
  <si>
    <t>Soft to medium clays and silts with high plasticities</t>
  </si>
  <si>
    <t>Typically equal to D+2</t>
  </si>
  <si>
    <t>Result</t>
  </si>
  <si>
    <t>Spreadsheet Calculation</t>
  </si>
  <si>
    <t>Hand Calc Formulas</t>
  </si>
  <si>
    <t>Hand Calc Results</t>
  </si>
  <si>
    <t>Source</t>
  </si>
  <si>
    <t>Burial Factor - Earth Load</t>
  </si>
  <si>
    <t>Refer To "Stiffness Factor - Earth Load" Chart</t>
  </si>
  <si>
    <t>Data</t>
  </si>
  <si>
    <t>Refer To "Burial Factor - Earth Load" Chart</t>
  </si>
  <si>
    <t>Refer To "Excavation Factor - Earth Load" Chart</t>
  </si>
  <si>
    <t>Refer To "Impact Factor" Chart</t>
  </si>
  <si>
    <t>Refer To "Railroad Track Factor - Circum." Chart</t>
  </si>
  <si>
    <t>Refer To "Stiffness Factor - Circum." Chart</t>
  </si>
  <si>
    <t>Refer To "Geometry Factor - Circum." Chart</t>
  </si>
  <si>
    <t>Refer To "Railroad Track Factor - Long." Chart</t>
  </si>
  <si>
    <t>Refer To "Stiffness Factor - Long." Chart</t>
  </si>
  <si>
    <t>Refer To "Geometry Factor - Long." Chart</t>
  </si>
  <si>
    <t>Refer To "Fatigue Endurance Limits Chart" for SFG</t>
  </si>
  <si>
    <t>Refer To "Fatigue Endurance Limits Chart" for SFL</t>
  </si>
  <si>
    <t>Hand Calcs Formulas For Stresses</t>
  </si>
  <si>
    <t>Values Used in Charts</t>
  </si>
  <si>
    <t>Values Applicable</t>
  </si>
  <si>
    <t>Stiffness Factor - Earth Load</t>
  </si>
  <si>
    <t>E'</t>
  </si>
  <si>
    <t/>
  </si>
  <si>
    <t>Excavation Factor - Earth Load</t>
  </si>
  <si>
    <t>H</t>
  </si>
  <si>
    <t>Railroad Track Factor - Circum.</t>
  </si>
  <si>
    <t>D</t>
  </si>
  <si>
    <t>Stiffness Factor - Circum.</t>
  </si>
  <si>
    <t>Er</t>
  </si>
  <si>
    <t>Geometry Factor - Circum.</t>
  </si>
  <si>
    <t>Railroad Track Factor - Long.</t>
  </si>
  <si>
    <t>Stiffness Factor - Long.</t>
  </si>
  <si>
    <t>Geometry Factor - Long.</t>
  </si>
  <si>
    <t>Fatigue Endurance Limits</t>
  </si>
  <si>
    <t>49 CFR 192.111</t>
  </si>
  <si>
    <t>49 CFR 192.113</t>
  </si>
  <si>
    <t>PE Mechanical Reference Handbook</t>
  </si>
  <si>
    <t>Charts</t>
  </si>
  <si>
    <t>Soil Type Options</t>
  </si>
  <si>
    <t>Soft to medium clays and silts with low to medium plasticities</t>
  </si>
  <si>
    <t>Stiff to very stiff clays and silts</t>
  </si>
  <si>
    <t>Medium Dense sands and gravels</t>
  </si>
  <si>
    <t>Dense to very dense sands and gravels</t>
  </si>
  <si>
    <t>Design Factor</t>
  </si>
  <si>
    <t>Longitudinal Joint Factor</t>
  </si>
  <si>
    <t>Seamless</t>
  </si>
  <si>
    <t>Furnace Butt Welded</t>
  </si>
  <si>
    <t>Double Submerged Arc Welded</t>
  </si>
  <si>
    <t>Electric-Fusion Welded</t>
  </si>
  <si>
    <t>Submerged Arc Welded</t>
  </si>
  <si>
    <t>Unknown Pipe Over 4 Inches</t>
  </si>
  <si>
    <t>Unknown Pipe 4 Inches or Less</t>
  </si>
  <si>
    <t>Typical Material Properties</t>
  </si>
  <si>
    <t>Material</t>
  </si>
  <si>
    <t>Elastic Modulus (psi)</t>
  </si>
  <si>
    <t>Poisson's Ratio</t>
  </si>
  <si>
    <t>Coefficient of Thermal Expansion(1/10^-6F</t>
  </si>
  <si>
    <t>Aluminum</t>
  </si>
  <si>
    <t>Cast Iron</t>
  </si>
  <si>
    <t>Wood (Fir)</t>
  </si>
  <si>
    <t>Brass</t>
  </si>
  <si>
    <t>Copper</t>
  </si>
  <si>
    <t>Bronze</t>
  </si>
  <si>
    <t>Magnesium</t>
  </si>
  <si>
    <t>Glass</t>
  </si>
  <si>
    <t>Polystyrene</t>
  </si>
  <si>
    <t>Pipe Size</t>
  </si>
  <si>
    <t>Outside Diameter</t>
  </si>
  <si>
    <t>1/8</t>
  </si>
  <si>
    <t>1/4</t>
  </si>
  <si>
    <t>3/8</t>
  </si>
  <si>
    <t>1/2</t>
  </si>
  <si>
    <t>3/4</t>
  </si>
  <si>
    <t>1-1/4</t>
  </si>
  <si>
    <t>1-1/2</t>
  </si>
  <si>
    <t>2-1/2</t>
  </si>
  <si>
    <t>3-1/2</t>
  </si>
  <si>
    <t>SMYS's</t>
  </si>
  <si>
    <t>46000</t>
  </si>
  <si>
    <t>56000</t>
  </si>
  <si>
    <t>60000</t>
  </si>
  <si>
    <t>65000</t>
  </si>
  <si>
    <t>E = .2 ksi</t>
  </si>
  <si>
    <t>E = .5 ksi</t>
  </si>
  <si>
    <t>E = 1 ksi</t>
  </si>
  <si>
    <t>E = 2 ksi</t>
  </si>
  <si>
    <t>Burial Factor Earth Load</t>
  </si>
  <si>
    <t>Type A</t>
  </si>
  <si>
    <t>Type B</t>
  </si>
  <si>
    <t>Railroad Stiffness Factor for Cyclic Circumferential Stress</t>
  </si>
  <si>
    <t>Er = 5 ksi</t>
  </si>
  <si>
    <t>Er = 10 ksi</t>
  </si>
  <si>
    <t>Er = 20 ksi</t>
  </si>
  <si>
    <t>Railroad Geometry Factor for Cyclic Circumferential Stress</t>
  </si>
  <si>
    <t>H = 6'</t>
  </si>
  <si>
    <t>H = 10'</t>
  </si>
  <si>
    <t>H = 14'</t>
  </si>
  <si>
    <t>Railroad Double Track Factor for Cyclic Circumferential Stress</t>
  </si>
  <si>
    <t>Grade and Pipe Type</t>
  </si>
  <si>
    <t>Grade</t>
  </si>
  <si>
    <t>Pipe Type</t>
  </si>
  <si>
    <t>SFG</t>
  </si>
  <si>
    <t>SFL</t>
  </si>
  <si>
    <t>Railroad Stiffness Factor for Cyclic Longitudinal Stress</t>
  </si>
  <si>
    <t>Railroad Geometry Factor for Cyclic Longitudinal Stress</t>
  </si>
  <si>
    <t>Railroad Double Track Factor for Cyclic Longitudinal Stress</t>
  </si>
  <si>
    <t>eCFR :: 49 CFR Part 192 Subpart C -- Pipe Design</t>
  </si>
  <si>
    <t>Nominal Pipe Diameter</t>
  </si>
  <si>
    <t>4-1/2</t>
  </si>
  <si>
    <t>Source: A53/A53M − 24, Table X.2</t>
  </si>
  <si>
    <t>Actual Pipe Diameter</t>
  </si>
  <si>
    <t>Wall Thickness</t>
  </si>
  <si>
    <t>Selected Nominal Pipe Diameter</t>
  </si>
  <si>
    <t>Wall Thickness Options</t>
  </si>
  <si>
    <t>&lt;--This table is used to populate wall thickness dropdown options based on the pipe diameter that is selected</t>
  </si>
  <si>
    <t>Pipe Specification</t>
  </si>
  <si>
    <t>Grades</t>
  </si>
  <si>
    <t>ASTM A53</t>
  </si>
  <si>
    <t>A</t>
  </si>
  <si>
    <t>B</t>
  </si>
  <si>
    <t>ASTM A106</t>
  </si>
  <si>
    <t>ASTM A333</t>
  </si>
  <si>
    <t>Grade 1</t>
  </si>
  <si>
    <t>Grade 3</t>
  </si>
  <si>
    <t>Grade 4</t>
  </si>
  <si>
    <t>Grade 6</t>
  </si>
  <si>
    <t>Grade 7</t>
  </si>
  <si>
    <t>Grade 8</t>
  </si>
  <si>
    <t>Grade 9</t>
  </si>
  <si>
    <t>Grade 10</t>
  </si>
  <si>
    <t>Grade 11</t>
  </si>
  <si>
    <t>ASTM A671</t>
  </si>
  <si>
    <t>CA55</t>
  </si>
  <si>
    <t>CB60</t>
  </si>
  <si>
    <t>CB65</t>
  </si>
  <si>
    <t>CB70</t>
  </si>
  <si>
    <t>CC60</t>
  </si>
  <si>
    <t>CC65</t>
  </si>
  <si>
    <t>CC70</t>
  </si>
  <si>
    <t>CD70</t>
  </si>
  <si>
    <t>CD80</t>
  </si>
  <si>
    <t>CF65</t>
  </si>
  <si>
    <t>CF70</t>
  </si>
  <si>
    <t>CF66</t>
  </si>
  <si>
    <t>CF71</t>
  </si>
  <si>
    <t>CG100</t>
  </si>
  <si>
    <t>CH100</t>
  </si>
  <si>
    <t>CJ101</t>
  </si>
  <si>
    <t>CJ102</t>
  </si>
  <si>
    <t>CJ103</t>
  </si>
  <si>
    <t>CJ104</t>
  </si>
  <si>
    <t>CJ105</t>
  </si>
  <si>
    <t>CJ106</t>
  </si>
  <si>
    <t>CJ107</t>
  </si>
  <si>
    <t>CJ108</t>
  </si>
  <si>
    <t>CJ109</t>
  </si>
  <si>
    <t>CJ110</t>
  </si>
  <si>
    <t>CJ111</t>
  </si>
  <si>
    <t>CJ112</t>
  </si>
  <si>
    <t>CJ113</t>
  </si>
  <si>
    <t>CK75</t>
  </si>
  <si>
    <t>CP65</t>
  </si>
  <si>
    <t>CP75</t>
  </si>
  <si>
    <t>ASTM A672</t>
  </si>
  <si>
    <t>A45</t>
  </si>
  <si>
    <t>A50</t>
  </si>
  <si>
    <t>A55</t>
  </si>
  <si>
    <t>B60</t>
  </si>
  <si>
    <t>B65</t>
  </si>
  <si>
    <t>B70</t>
  </si>
  <si>
    <t>C55</t>
  </si>
  <si>
    <t>C60</t>
  </si>
  <si>
    <t>C65</t>
  </si>
  <si>
    <t>C70</t>
  </si>
  <si>
    <t>D70</t>
  </si>
  <si>
    <t>D80</t>
  </si>
  <si>
    <t>H75</t>
  </si>
  <si>
    <t>H80</t>
  </si>
  <si>
    <t>J80</t>
  </si>
  <si>
    <t>J90</t>
  </si>
  <si>
    <t>J100</t>
  </si>
  <si>
    <t>K75</t>
  </si>
  <si>
    <t>K85</t>
  </si>
  <si>
    <t>L65</t>
  </si>
  <si>
    <t>L70</t>
  </si>
  <si>
    <t>L75</t>
  </si>
  <si>
    <t>N75</t>
  </si>
  <si>
    <t>ASTM A691</t>
  </si>
  <si>
    <t>CM-65</t>
  </si>
  <si>
    <t>CM-70</t>
  </si>
  <si>
    <t>CM-75</t>
  </si>
  <si>
    <t>CMSH-70</t>
  </si>
  <si>
    <t>CMS-75</t>
  </si>
  <si>
    <t>CMSH-80</t>
  </si>
  <si>
    <t>1/2 CR</t>
  </si>
  <si>
    <t>1 CR</t>
  </si>
  <si>
    <t>1 1/4 CR</t>
  </si>
  <si>
    <t>2 1/4 CR</t>
  </si>
  <si>
    <t>3CR</t>
  </si>
  <si>
    <t>5CR</t>
  </si>
  <si>
    <t>9CR</t>
  </si>
  <si>
    <t>API 5L</t>
  </si>
  <si>
    <t>X42</t>
  </si>
  <si>
    <t>X46</t>
  </si>
  <si>
    <t>X52</t>
  </si>
  <si>
    <t>X56</t>
  </si>
  <si>
    <t>X60</t>
  </si>
  <si>
    <t>X65</t>
  </si>
  <si>
    <t>X70</t>
  </si>
  <si>
    <t>X80</t>
  </si>
  <si>
    <t>Unknown</t>
  </si>
  <si>
    <t>Grades and SMYS</t>
  </si>
  <si>
    <t>ASTM A53 SMYS</t>
  </si>
  <si>
    <t>ASTM A106 SMYS</t>
  </si>
  <si>
    <t>ASTM A333 SMYS</t>
  </si>
  <si>
    <t>ASTM A671 SMYS</t>
  </si>
  <si>
    <t>ASTM A672 SMYS</t>
  </si>
  <si>
    <t>ASTM A691 SMYS</t>
  </si>
  <si>
    <t>API 5L SMYS</t>
  </si>
  <si>
    <t>Unknown SMYS</t>
  </si>
  <si>
    <t>Selected Pipe Specification</t>
  </si>
  <si>
    <t>Pipe Grade Options</t>
  </si>
  <si>
    <t>Weld Seam Type</t>
  </si>
  <si>
    <t>Source: Per seam factors listed within individual codes (ASTM A53, ASTM A106, ASTM A333, ASTM A671, ASTM A672, ASTM A691, API 5L)</t>
  </si>
  <si>
    <t>&lt;-- This table lists valid weld seam types for each pipe specification</t>
  </si>
  <si>
    <t>ASTM A53 Weld Seam Factor</t>
  </si>
  <si>
    <t>ASTM A106 Weld Seam Factor</t>
  </si>
  <si>
    <t>ASTM A333 Weld Seam Factor</t>
  </si>
  <si>
    <t>Electric Fusion Welded, Even Class</t>
  </si>
  <si>
    <t>Electric Fusion Welded, Odd Class</t>
  </si>
  <si>
    <t>&lt;-- ASTM A671 even classes: 1.0. Odd classes: 0.8.</t>
  </si>
  <si>
    <t>ASTM A671 Weld Seam Factor</t>
  </si>
  <si>
    <t>&lt;-- ASTM A672 even classes: 1.0. Odd classes: 0.8.</t>
  </si>
  <si>
    <t>ASTM A672 Weld Seam Factor</t>
  </si>
  <si>
    <t>&lt;-- ASTM A691 even classes: 1.0. Odd classes: 0.8.</t>
  </si>
  <si>
    <t>ASTM A691 Weld Seam Factor</t>
  </si>
  <si>
    <t>Combination Welded</t>
  </si>
  <si>
    <t>API 5L Weld Seam Factor</t>
  </si>
  <si>
    <t>&lt;-- Unknown, under 4": 0.6. Over 4": 0.8</t>
  </si>
  <si>
    <t>Unknown Weld Seam Factor</t>
  </si>
  <si>
    <t>Weld Seam Options</t>
  </si>
  <si>
    <t>&lt;-- This table provides dropdown options for weld seam types for each specification</t>
  </si>
  <si>
    <t>Design Factor (As defined in ASME B31.8-2022, Chapter 4, Table 841.114B)</t>
  </si>
  <si>
    <t>Class Location</t>
  </si>
  <si>
    <t>Pipeline Location</t>
  </si>
  <si>
    <t>Pipelines, mains, and service lines</t>
  </si>
  <si>
    <t>Crossing Railroads, Public Roads, Highways, or Streets without Casing</t>
  </si>
  <si>
    <t>Crossing Railroads, Public Roads, Highways, or Streets with Casing</t>
  </si>
  <si>
    <t>Parallel encroachment of Railroads, Public Roads, Highways, or Streets</t>
  </si>
  <si>
    <t>Fabricated Assemblies</t>
  </si>
  <si>
    <t>Pipelines on bridges</t>
  </si>
  <si>
    <t>Pressure/Flow Control ans Metering Facilities</t>
  </si>
  <si>
    <t>At Compressor Station</t>
  </si>
  <si>
    <t>Near Concentration of people in Location Classes 1 and 2</t>
  </si>
  <si>
    <t>Pipe Grade</t>
  </si>
  <si>
    <t xml:space="preserve">Pipeline Location </t>
  </si>
  <si>
    <t>Recommended Temp. Range: -20°F to 450°F</t>
  </si>
  <si>
    <t>Allowable Range: 0 to 6000</t>
  </si>
  <si>
    <t>Typically equal to 120 PCF. Allowable range: 50-200</t>
  </si>
  <si>
    <t>Allowable Range: 1 to 30</t>
  </si>
  <si>
    <t>Allowed Temp. Range: -20°F to 450°F</t>
  </si>
  <si>
    <t>Allowable values: 1 or 2</t>
  </si>
  <si>
    <t>Typically equal to 13.9 per API 1102. Allowable values: 0-100</t>
  </si>
  <si>
    <t>X (tw/D)</t>
  </si>
  <si>
    <t>Y (Khe)</t>
  </si>
  <si>
    <t>X (H/Bd)</t>
  </si>
  <si>
    <t>Y (Be)</t>
  </si>
  <si>
    <t>X (Bd/D)</t>
  </si>
  <si>
    <t>Y (Ee)</t>
  </si>
  <si>
    <t>Y (H)</t>
  </si>
  <si>
    <t>X (Fi)</t>
  </si>
  <si>
    <t>X (D)</t>
  </si>
  <si>
    <t>Y (KHr)</t>
  </si>
  <si>
    <t>Y (GHr)</t>
  </si>
  <si>
    <t>Y (NH)</t>
  </si>
  <si>
    <t>Y (KLr)</t>
  </si>
  <si>
    <t>Y (GLr)</t>
  </si>
  <si>
    <t>X (NL)</t>
  </si>
  <si>
    <t>Y (NL)</t>
  </si>
  <si>
    <t>Trench Width (in.)</t>
  </si>
  <si>
    <t>eCFR :: 49 CFR Part 192 Subpart C -- Pipe Design
PE Mechanical Reference Handbook, 2019
API Recommended Practice 1102, Seventh Edition, December 2007, Reaffirmed June 2024</t>
  </si>
  <si>
    <t>5 LIMITATIONS</t>
  </si>
  <si>
    <t>API Recommended Practice 1102, Seventh Edition, December 2007, Reaffirmed June 2024</t>
  </si>
  <si>
    <t>API 1102 Railroad Loading Calculations</t>
  </si>
  <si>
    <t>API 1102 Railroad Loading QC Hand-Calc</t>
  </si>
  <si>
    <t>Maximum Longitudinal Stress = Railroad Cyclic Longitudinal Stress - Young's Modulus * Coefficient of Thermal Expansion * (Installation Temp - Operating Temp) + Poisson's Ratio * (Circumferential Stress from Earth Load + Circumferential Stress Due to Internal Pressurization)</t>
  </si>
  <si>
    <t>The stresses due to internal and external highway loads on a pipeline are determined by first acquiring the allowable and actual Barlow stress, and the circumferential stress due to the earth load. Then the cyclic circumferential and longitudinal stresses are calculated, followed by the circumferential stress due to internal pressurization. Next, the max circumferential, longitudinal, and radial stresses are calculated. Finally, the actual and allowable effective, girth, and longitudinal stresses are calculated.</t>
  </si>
  <si>
    <t>For conditions outside these ranges, consult API RP 1102 directly.</t>
  </si>
  <si>
    <t>This calculator is applicable for:</t>
  </si>
  <si>
    <t>• Steel pipelines with tw/D ratio between 0.01 and 0.08</t>
  </si>
  <si>
    <t>• Pipe diameters from 2.375 to 48 inches</t>
  </si>
  <si>
    <t>• Operating pressures up to 6000 psi</t>
  </si>
  <si>
    <t>• Operating temperatures from -20°F to 450°F</t>
  </si>
  <si>
    <t>• Highway crossings with depth of cover between 1 and 30 ft</t>
  </si>
  <si>
    <t>4 SOURCES</t>
  </si>
  <si>
    <r>
      <rPr>
        <b/>
        <sz val="11"/>
        <color theme="1"/>
        <rFont val="Calibri"/>
        <family val="2"/>
        <scheme val="minor"/>
      </rPr>
      <t>Hoop Stress (Barlow)</t>
    </r>
    <r>
      <rPr>
        <sz val="11"/>
        <color theme="1"/>
        <rFont val="Calibri"/>
        <family val="2"/>
        <scheme val="minor"/>
      </rPr>
      <t xml:space="preserve"> = Pressure * Pipe Diameter / (2 * Wall Thickness)
</t>
    </r>
    <r>
      <rPr>
        <b/>
        <sz val="11"/>
        <color theme="1"/>
        <rFont val="Calibri"/>
        <family val="2"/>
        <scheme val="minor"/>
      </rPr>
      <t xml:space="preserve">Allowable Hoop Stress = </t>
    </r>
    <r>
      <rPr>
        <sz val="11"/>
        <color theme="1"/>
        <rFont val="Calibri"/>
        <family val="2"/>
        <scheme val="minor"/>
      </rPr>
      <t xml:space="preserve">Design Factor * Longitudinal Joint Factor * Temperature Derating Factor * SMYS
</t>
    </r>
    <r>
      <rPr>
        <b/>
        <sz val="11"/>
        <color theme="1"/>
        <rFont val="Calibri"/>
        <family val="2"/>
        <scheme val="minor"/>
      </rPr>
      <t>Circumferential Stress</t>
    </r>
    <r>
      <rPr>
        <sz val="11"/>
        <color theme="1"/>
        <rFont val="Calibri"/>
        <family val="2"/>
        <scheme val="minor"/>
      </rPr>
      <t xml:space="preserve"> </t>
    </r>
    <r>
      <rPr>
        <b/>
        <sz val="11"/>
        <color theme="1"/>
        <rFont val="Calibri"/>
        <family val="2"/>
        <scheme val="minor"/>
      </rPr>
      <t xml:space="preserve">from Earth Load </t>
    </r>
    <r>
      <rPr>
        <sz val="11"/>
        <color theme="1"/>
        <rFont val="Calibri"/>
        <family val="2"/>
        <scheme val="minor"/>
      </rPr>
      <t xml:space="preserve">= Stiffness Factor for Earth Load Circumferential Stress * Burial Factor for Earth Load Circumferential Stress * Excavation Factor for Earth Load Circumferential Stress * Average Unit Weight of Soil * Pipe Diameter
</t>
    </r>
    <r>
      <rPr>
        <b/>
        <sz val="11"/>
        <color theme="1"/>
        <rFont val="Calibri"/>
        <family val="2"/>
        <scheme val="minor"/>
      </rPr>
      <t>Railroad Cyclic Circumferential Stress</t>
    </r>
    <r>
      <rPr>
        <sz val="11"/>
        <color theme="1"/>
        <rFont val="Calibri"/>
        <family val="2"/>
        <scheme val="minor"/>
      </rPr>
      <t xml:space="preserve"> = Railroad Stiffness Factor for Cyclic Circumferential Stress * Railroad Geometry Factor for Cyclic Circumferential Stress * Railroad Double Track Factor for Circumferential Stress * Impact Factor * Applied Design Surface Pressure
</t>
    </r>
    <r>
      <rPr>
        <b/>
        <sz val="11"/>
        <color theme="1"/>
        <rFont val="Calibri"/>
        <family val="2"/>
        <scheme val="minor"/>
      </rPr>
      <t xml:space="preserve">Railroad Cyclic Longitudinal Stress = </t>
    </r>
    <r>
      <rPr>
        <sz val="11"/>
        <color theme="1"/>
        <rFont val="Calibri"/>
        <family val="2"/>
        <scheme val="minor"/>
      </rPr>
      <t xml:space="preserve">Railroad Stiffness Factor for Cyclic Longitudinal Stress * Railroad Geometry Factor for Cyclic Longitudinal Stress * Railroad Double Track Factor for Longitudinal Stress * Impact Factor * Applied Design Surface Pressure
</t>
    </r>
    <r>
      <rPr>
        <b/>
        <sz val="11"/>
        <color theme="1"/>
        <rFont val="Calibri"/>
        <family val="2"/>
        <scheme val="minor"/>
      </rPr>
      <t>Circumferential Stress Due to Internal Pressurization</t>
    </r>
    <r>
      <rPr>
        <sz val="11"/>
        <color theme="1"/>
        <rFont val="Calibri"/>
        <family val="2"/>
        <scheme val="minor"/>
      </rPr>
      <t xml:space="preserve"> = Pressure * (Pipe Diameter - Wall Thickness) / (2 * Wall  Thickness)
</t>
    </r>
    <r>
      <rPr>
        <b/>
        <sz val="11"/>
        <color theme="1"/>
        <rFont val="Calibri"/>
        <family val="2"/>
        <scheme val="minor"/>
      </rPr>
      <t xml:space="preserve">Maximum Circumferential Stress = </t>
    </r>
    <r>
      <rPr>
        <sz val="11"/>
        <color theme="1"/>
        <rFont val="Calibri"/>
        <family val="2"/>
        <scheme val="minor"/>
      </rPr>
      <t xml:space="preserve"> Circumferential Stress from Earth Load + Railroad Cyclic Circumferential Stress + Circumferential Stress Due to Internal Pressurization
</t>
    </r>
    <r>
      <rPr>
        <b/>
        <sz val="11"/>
        <color theme="1"/>
        <rFont val="Calibri"/>
        <family val="2"/>
        <scheme val="minor"/>
      </rPr>
      <t xml:space="preserve">Maximum Longitudinal Stress = </t>
    </r>
    <r>
      <rPr>
        <sz val="11"/>
        <color theme="1"/>
        <rFont val="Calibri"/>
        <family val="2"/>
        <scheme val="minor"/>
      </rPr>
      <t xml:space="preserve">Railroad Cyclic Longitudinal Stress - Young's Modulus * Coeffient of Thermal Expansion * (Installation Temp - Operating Temp) + Poisson's Ratio * (Circumferential Stress from Earth Load + Circumferential Stress Due to Internal Pressurization)
</t>
    </r>
    <r>
      <rPr>
        <b/>
        <sz val="11"/>
        <color theme="1"/>
        <rFont val="Calibri"/>
        <family val="2"/>
        <scheme val="minor"/>
      </rPr>
      <t xml:space="preserve">Maximum Radial Stress Result = </t>
    </r>
    <r>
      <rPr>
        <sz val="11"/>
        <color theme="1"/>
        <rFont val="Calibri"/>
        <family val="2"/>
        <scheme val="minor"/>
      </rPr>
      <t xml:space="preserve">-1 * Pressure
</t>
    </r>
    <r>
      <rPr>
        <b/>
        <sz val="11"/>
        <color theme="1"/>
        <rFont val="Calibri"/>
        <family val="2"/>
        <scheme val="minor"/>
      </rPr>
      <t xml:space="preserve">Total Effective Stress = </t>
    </r>
    <r>
      <rPr>
        <sz val="11"/>
        <color theme="1"/>
        <rFont val="Calibri"/>
        <family val="2"/>
        <scheme val="minor"/>
      </rPr>
      <t xml:space="preserve">Sqrt(1/2 * (Maximum Circumferential Stress - Maximum Longitudinal Stress)^2 + (Maximum Longitudinal Stress - Maximum Radial Stress)^2 + (Maximum Radial Stress - Maximum Circumferential Stress)^2)
</t>
    </r>
    <r>
      <rPr>
        <b/>
        <sz val="11"/>
        <color theme="1"/>
        <rFont val="Calibri"/>
        <family val="2"/>
        <scheme val="minor"/>
      </rPr>
      <t xml:space="preserve">Allowable Effective Stress = </t>
    </r>
    <r>
      <rPr>
        <sz val="11"/>
        <color theme="1"/>
        <rFont val="Calibri"/>
        <family val="2"/>
        <scheme val="minor"/>
      </rPr>
      <t xml:space="preserve">SMYS * Design Factor
</t>
    </r>
    <r>
      <rPr>
        <b/>
        <sz val="11"/>
        <color theme="1"/>
        <rFont val="Calibri"/>
        <family val="2"/>
        <scheme val="minor"/>
      </rPr>
      <t xml:space="preserve">Allowable Stress of Girth Welds = </t>
    </r>
    <r>
      <rPr>
        <sz val="11"/>
        <color theme="1"/>
        <rFont val="Calibri"/>
        <family val="2"/>
        <scheme val="minor"/>
      </rPr>
      <t xml:space="preserve">Fatigue Resistance of Girth Welds * Design Factor
</t>
    </r>
    <r>
      <rPr>
        <b/>
        <sz val="11"/>
        <color theme="1"/>
        <rFont val="Calibri"/>
        <family val="2"/>
        <scheme val="minor"/>
      </rPr>
      <t>Allowable Stress of Longitudinal Welds</t>
    </r>
    <r>
      <rPr>
        <sz val="11"/>
        <color theme="1"/>
        <rFont val="Calibri"/>
        <family val="2"/>
        <scheme val="minor"/>
      </rPr>
      <t xml:space="preserve"> = Fatigue Resistance of Longitudinal Welds * Design Factor</t>
    </r>
  </si>
  <si>
    <t>Railroad Cyclic Longitudinal Stress = Railroad Stiffness Factor for Cyclic Longitudinal Stress * Railroad Geometry Factor for Cyclic Longitudinal Stress * Railroad Double Track Factor for Longitudinal Stress * Impact Factor * Applied Design Surface Pressure</t>
  </si>
  <si>
    <t>Railroad Cyclic Circumferential Stress = Railroad Stiffness Factor for Cyclic Circumferential Stress * Railroad Geometry Factor for Cyclic Circumferential Stress * Railroad Double Track Factor for Circumferential Stress * Impact Factor * Applied Design Surface Pressure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</si>
</sst>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0"/>
    <numFmt numFmtId="165" formatCode="0.000"/>
    <numFmt numFmtId="166" formatCode="0.0"/>
    <numFmt numFmtId="167" formatCode="_(* #,##0_);_(* \(#,##0\);_(* &quot;-&quot;??_);_(@_)"/>
  </numFmts>
  <fonts count="29">
    <font>
      <sz val="11"/>
      <color theme="1"/>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
      <sz val="10"/>
      <name val="Arial"/>
      <family val="2"/>
    </font>
    <font>
      <b/>
      <sz val="10"/>
      <name val="Arial"/>
      <family val="2"/>
    </font>
    <font>
      <b/>
      <sz val="12"/>
      <color indexed="9"/>
      <name val="Arial"/>
      <family val="2"/>
    </font>
    <font>
      <b/>
      <i/>
      <sz val="10"/>
      <name val="Arial"/>
      <family val="2"/>
    </font>
    <font>
      <u/>
      <sz val="12"/>
      <color indexed="12"/>
      <name val="Times New Roman"/>
      <family val="1"/>
    </font>
    <font>
      <u/>
      <sz val="10"/>
      <color indexed="12"/>
      <name val="Arial"/>
      <family val="2"/>
    </font>
    <font>
      <b/>
      <u/>
      <sz val="12"/>
      <name val="Arial"/>
      <family val="2"/>
    </font>
    <font>
      <sz val="10"/>
      <color indexed="8"/>
      <name val="Arial"/>
      <family val="2"/>
    </font>
    <font>
      <b/>
      <sz val="10"/>
      <color indexed="10"/>
      <name val="Arial"/>
      <family val="2"/>
    </font>
    <font>
      <sz val="10"/>
      <color indexed="8"/>
      <name val="Arial MT"/>
    </font>
    <font>
      <sz val="12"/>
      <color indexed="8"/>
      <name val="Arial MT"/>
    </font>
    <font>
      <b/>
      <u/>
      <sz val="12"/>
      <color indexed="8"/>
      <name val="Arial"/>
      <family val="2"/>
    </font>
    <font>
      <b/>
      <sz val="12"/>
      <color indexed="8"/>
      <name val="Arial"/>
      <family val="2"/>
    </font>
    <font>
      <b/>
      <sz val="10"/>
      <color indexed="8"/>
      <name val="Arial MT"/>
    </font>
    <font>
      <sz val="10"/>
      <color indexed="12"/>
      <name val="Arial MT"/>
    </font>
    <font>
      <b/>
      <sz val="12"/>
      <name val="Arial"/>
      <family val="2"/>
    </font>
    <font>
      <sz val="12"/>
      <name val="Arial"/>
      <family val="2"/>
    </font>
    <font>
      <sz val="11"/>
      <color theme="1"/>
      <name val="Calibri"/>
      <family val="2"/>
      <scheme val="minor"/>
    </font>
    <font>
      <sz val="11"/>
      <name val="Calibri"/>
      <family val="2"/>
      <scheme val="minor"/>
    </font>
    <font>
      <sz val="9"/>
      <color theme="1"/>
      <name val="Calibri"/>
      <family val="2"/>
      <scheme val="minor"/>
    </font>
    <font>
      <b/>
      <sz val="14"/>
      <color theme="1"/>
      <name val="Calibri"/>
      <family val="2"/>
      <scheme val="minor"/>
    </font>
    <font>
      <b/>
      <u/>
      <sz val="10"/>
      <name val="Arial"/>
      <family val="2"/>
    </font>
    <font>
      <b/>
      <sz val="11"/>
      <color indexed="8"/>
      <name val="Calibri"/>
      <family val="2"/>
      <scheme val="minor"/>
    </font>
    <font>
      <b/>
      <sz val="11"/>
      <name val="Calibri"/>
      <family val="2"/>
      <scheme val="minor"/>
    </font>
    <font>
      <sz val="12"/>
      <color indexed="8"/>
      <name val="Arial"/>
      <family val="2"/>
    </font>
  </fonts>
  <fills count="3">
    <fill>
      <patternFill patternType="none"/>
    </fill>
    <fill>
      <patternFill patternType="gray125"/>
    </fill>
    <fill>
      <patternFill patternType="solid">
        <fgColor rgb="FFFFFF00"/>
        <bgColor indexed="64"/>
      </patternFill>
    </fill>
  </fills>
  <borders count="6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8">
    <xf numFmtId="0" fontId="0" fillId="0" borderId="0"/>
    <xf numFmtId="0" fontId="3" fillId="0" borderId="0" applyNumberFormat="0" applyFill="0" applyBorder="0" applyAlignment="0" applyProtection="0"/>
    <xf numFmtId="0" fontId="4" fillId="0" borderId="0"/>
    <xf numFmtId="0" fontId="8" fillId="0" borderId="0" applyNumberFormat="0" applyFill="0" applyBorder="0" applyAlignment="0" applyProtection="0">
      <alignment vertical="top"/>
      <protection locked="0"/>
    </xf>
    <xf numFmtId="0" fontId="4" fillId="0" borderId="0"/>
    <xf numFmtId="0" fontId="9" fillId="0" borderId="0" applyNumberFormat="0" applyFill="0" applyBorder="0" applyAlignment="0" applyProtection="0">
      <alignment vertical="top"/>
      <protection locked="0"/>
    </xf>
    <xf numFmtId="37" fontId="13" fillId="0" borderId="0"/>
    <xf numFmtId="43" fontId="21" fillId="0" borderId="0" applyFont="0" applyFill="0" applyBorder="0" applyAlignment="0" applyProtection="0"/>
  </cellStyleXfs>
  <cellXfs count="240">
    <xf numFmtId="0" fontId="0" fillId="0" borderId="0" xfId="0"/>
    <xf numFmtId="0" fontId="2" fillId="0" borderId="0" xfId="0" applyFont="1"/>
    <xf numFmtId="0" fontId="1" fillId="0" borderId="0" xfId="0" applyFont="1"/>
    <xf numFmtId="0" fontId="0" fillId="2" borderId="0" xfId="0" applyFill="1"/>
    <xf numFmtId="0" fontId="0" fillId="0" borderId="0" xfId="0" applyAlignment="1">
      <alignment wrapText="1"/>
    </xf>
    <xf numFmtId="0" fontId="2" fillId="0" borderId="0" xfId="0" applyFont="1" applyAlignment="1">
      <alignment horizontal="center" vertical="center"/>
    </xf>
    <xf numFmtId="0" fontId="0" fillId="2" borderId="0" xfId="0" applyFill="1" applyAlignment="1">
      <alignment wrapText="1"/>
    </xf>
    <xf numFmtId="164" fontId="0" fillId="0" borderId="0" xfId="0" applyNumberFormat="1"/>
    <xf numFmtId="0" fontId="3" fillId="0" borderId="0" xfId="1"/>
    <xf numFmtId="0" fontId="2" fillId="0" borderId="0" xfId="0" applyFont="1" applyAlignment="1">
      <alignment horizontal="right"/>
    </xf>
    <xf numFmtId="0" fontId="0" fillId="0" borderId="1" xfId="0" applyBorder="1"/>
    <xf numFmtId="0" fontId="0" fillId="0" borderId="2" xfId="0" applyBorder="1"/>
    <xf numFmtId="49" fontId="0" fillId="0" borderId="0" xfId="0" applyNumberFormat="1"/>
    <xf numFmtId="0" fontId="4" fillId="0" borderId="0" xfId="2"/>
    <xf numFmtId="0" fontId="4" fillId="0" borderId="6" xfId="2" applyBorder="1"/>
    <xf numFmtId="0" fontId="4" fillId="0" borderId="7" xfId="2" applyBorder="1"/>
    <xf numFmtId="0" fontId="4" fillId="0" borderId="8" xfId="2" applyBorder="1"/>
    <xf numFmtId="0" fontId="4" fillId="0" borderId="9" xfId="2" applyBorder="1"/>
    <xf numFmtId="0" fontId="4" fillId="0" borderId="10" xfId="2" applyBorder="1"/>
    <xf numFmtId="0" fontId="4" fillId="0" borderId="11" xfId="2" applyBorder="1"/>
    <xf numFmtId="0" fontId="4" fillId="0" borderId="6" xfId="2" applyBorder="1" applyAlignment="1">
      <alignment horizontal="left"/>
    </xf>
    <xf numFmtId="14" fontId="4" fillId="0" borderId="7" xfId="2" applyNumberFormat="1" applyBorder="1" applyAlignment="1">
      <alignment horizontal="left"/>
    </xf>
    <xf numFmtId="0" fontId="4" fillId="0" borderId="7" xfId="2" applyBorder="1" applyAlignment="1">
      <alignment horizontal="right"/>
    </xf>
    <xf numFmtId="0" fontId="7" fillId="0" borderId="0" xfId="2" applyFont="1"/>
    <xf numFmtId="0" fontId="7" fillId="0" borderId="1" xfId="2" applyFont="1" applyBorder="1" applyAlignment="1">
      <alignment horizontal="center"/>
    </xf>
    <xf numFmtId="0" fontId="5" fillId="0" borderId="8" xfId="2" applyFont="1" applyBorder="1" applyAlignment="1">
      <alignment horizontal="center"/>
    </xf>
    <xf numFmtId="0" fontId="5" fillId="0" borderId="12" xfId="2" applyFont="1" applyBorder="1" applyAlignment="1">
      <alignment horizontal="center"/>
    </xf>
    <xf numFmtId="0" fontId="5" fillId="0" borderId="9" xfId="2" applyFont="1" applyBorder="1" applyAlignment="1">
      <alignment horizontal="center"/>
    </xf>
    <xf numFmtId="0" fontId="5" fillId="0" borderId="1" xfId="2" applyFont="1" applyBorder="1"/>
    <xf numFmtId="0" fontId="4" fillId="0" borderId="1" xfId="2" applyBorder="1" applyAlignment="1">
      <alignment horizontal="center"/>
    </xf>
    <xf numFmtId="0" fontId="4" fillId="0" borderId="13" xfId="2" applyBorder="1"/>
    <xf numFmtId="14" fontId="4" fillId="0" borderId="1" xfId="2" applyNumberFormat="1" applyBorder="1" applyAlignment="1">
      <alignment horizontal="center"/>
    </xf>
    <xf numFmtId="0" fontId="4" fillId="0" borderId="14" xfId="2" applyBorder="1"/>
    <xf numFmtId="0" fontId="4" fillId="0" borderId="15" xfId="2" applyBorder="1"/>
    <xf numFmtId="0" fontId="4" fillId="0" borderId="1" xfId="2" applyBorder="1"/>
    <xf numFmtId="0" fontId="4" fillId="0" borderId="16" xfId="2" applyBorder="1"/>
    <xf numFmtId="0" fontId="4" fillId="0" borderId="0" xfId="2" applyAlignment="1">
      <alignment horizontal="center"/>
    </xf>
    <xf numFmtId="0" fontId="5" fillId="0" borderId="0" xfId="2" applyFont="1"/>
    <xf numFmtId="0" fontId="4" fillId="0" borderId="0" xfId="2" quotePrefix="1" applyAlignment="1">
      <alignment horizontal="left"/>
    </xf>
    <xf numFmtId="0" fontId="3" fillId="0" borderId="0" xfId="1" quotePrefix="1" applyFill="1" applyAlignment="1">
      <alignment horizontal="left"/>
    </xf>
    <xf numFmtId="0" fontId="9" fillId="0" borderId="0" xfId="3" applyFont="1" applyFill="1" applyAlignment="1" applyProtection="1"/>
    <xf numFmtId="0" fontId="3" fillId="0" borderId="0" xfId="1" applyFill="1" applyAlignment="1" applyProtection="1"/>
    <xf numFmtId="0" fontId="4" fillId="0" borderId="0" xfId="4"/>
    <xf numFmtId="0" fontId="5" fillId="0" borderId="10" xfId="4" applyFont="1" applyBorder="1"/>
    <xf numFmtId="0" fontId="5" fillId="0" borderId="11" xfId="4" applyFont="1" applyBorder="1"/>
    <xf numFmtId="0" fontId="11" fillId="0" borderId="14" xfId="4" applyFont="1" applyBorder="1"/>
    <xf numFmtId="0" fontId="4" fillId="0" borderId="15" xfId="4" applyBorder="1"/>
    <xf numFmtId="0" fontId="4" fillId="2" borderId="10" xfId="4" applyFill="1" applyBorder="1"/>
    <xf numFmtId="0" fontId="4" fillId="0" borderId="11" xfId="4" quotePrefix="1" applyBorder="1" applyAlignment="1">
      <alignment horizontal="left"/>
    </xf>
    <xf numFmtId="0" fontId="5" fillId="0" borderId="0" xfId="4" applyFont="1"/>
    <xf numFmtId="0" fontId="12" fillId="0" borderId="0" xfId="4" applyFont="1"/>
    <xf numFmtId="0" fontId="10" fillId="0" borderId="0" xfId="4" applyFont="1"/>
    <xf numFmtId="0" fontId="4" fillId="0" borderId="0" xfId="4" quotePrefix="1" applyAlignment="1">
      <alignment horizontal="left"/>
    </xf>
    <xf numFmtId="0" fontId="9" fillId="0" borderId="0" xfId="5" applyFill="1" applyAlignment="1" applyProtection="1"/>
    <xf numFmtId="37" fontId="14" fillId="0" borderId="0" xfId="6" applyFont="1"/>
    <xf numFmtId="37" fontId="15" fillId="0" borderId="0" xfId="6" applyFont="1"/>
    <xf numFmtId="37" fontId="16" fillId="0" borderId="0" xfId="6" applyFont="1"/>
    <xf numFmtId="37" fontId="13" fillId="0" borderId="0" xfId="6"/>
    <xf numFmtId="37" fontId="17" fillId="0" borderId="1" xfId="6" applyFont="1" applyBorder="1"/>
    <xf numFmtId="37" fontId="13" fillId="0" borderId="1" xfId="6" applyBorder="1"/>
    <xf numFmtId="37" fontId="18" fillId="0" borderId="1" xfId="6" applyFont="1" applyBorder="1" applyProtection="1">
      <protection locked="0"/>
    </xf>
    <xf numFmtId="37" fontId="13" fillId="0" borderId="0" xfId="6" applyAlignment="1">
      <alignment vertical="top"/>
    </xf>
    <xf numFmtId="37" fontId="18" fillId="0" borderId="1" xfId="6" applyFont="1" applyBorder="1" applyAlignment="1" applyProtection="1">
      <alignment horizontal="left"/>
      <protection locked="0"/>
    </xf>
    <xf numFmtId="37" fontId="17" fillId="0" borderId="0" xfId="6" applyFont="1" applyAlignment="1">
      <alignment wrapText="1"/>
    </xf>
    <xf numFmtId="0" fontId="19" fillId="0" borderId="0" xfId="0" applyFont="1" applyAlignment="1">
      <alignment wrapText="1"/>
    </xf>
    <xf numFmtId="0" fontId="20" fillId="0" borderId="0" xfId="0" applyFont="1" applyAlignment="1">
      <alignment horizontal="left" wrapText="1"/>
    </xf>
    <xf numFmtId="0" fontId="20" fillId="0" borderId="0" xfId="0" applyFont="1" applyAlignment="1">
      <alignment wrapText="1"/>
    </xf>
    <xf numFmtId="0" fontId="19" fillId="0" borderId="0" xfId="0" applyFont="1" applyAlignment="1">
      <alignment horizontal="left" wrapText="1"/>
    </xf>
    <xf numFmtId="0" fontId="19" fillId="0" borderId="0" xfId="0" applyFont="1"/>
    <xf numFmtId="37" fontId="13" fillId="0" borderId="0" xfId="6" applyAlignment="1">
      <alignment wrapText="1"/>
    </xf>
    <xf numFmtId="0" fontId="2" fillId="0" borderId="6" xfId="0" applyFont="1" applyBorder="1"/>
    <xf numFmtId="0" fontId="2" fillId="0" borderId="8" xfId="0" applyFont="1" applyBorder="1"/>
    <xf numFmtId="0" fontId="1" fillId="0" borderId="12" xfId="0" applyFont="1" applyBorder="1"/>
    <xf numFmtId="0" fontId="1" fillId="0" borderId="9" xfId="0" applyFont="1" applyBorder="1"/>
    <xf numFmtId="0" fontId="0" fillId="0" borderId="14" xfId="0" applyBorder="1"/>
    <xf numFmtId="0" fontId="0" fillId="0" borderId="15" xfId="0" applyBorder="1"/>
    <xf numFmtId="0" fontId="0" fillId="0" borderId="10" xfId="0" applyBorder="1"/>
    <xf numFmtId="0" fontId="0" fillId="0" borderId="16" xfId="0" applyBorder="1"/>
    <xf numFmtId="0" fontId="0" fillId="0" borderId="11" xfId="0" applyBorder="1"/>
    <xf numFmtId="0" fontId="0" fillId="0" borderId="15" xfId="0" applyBorder="1" applyAlignment="1">
      <alignment wrapText="1"/>
    </xf>
    <xf numFmtId="0" fontId="2" fillId="0" borderId="6" xfId="0" applyFont="1" applyBorder="1" applyAlignment="1">
      <alignment horizontal="center" vertical="center"/>
    </xf>
    <xf numFmtId="0" fontId="0" fillId="2" borderId="16" xfId="0" applyFill="1" applyBorder="1"/>
    <xf numFmtId="0" fontId="0" fillId="0" borderId="3" xfId="0" applyBorder="1"/>
    <xf numFmtId="0" fontId="0" fillId="0" borderId="4" xfId="0" applyBorder="1"/>
    <xf numFmtId="0" fontId="0" fillId="0" borderId="5"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applyAlignment="1">
      <alignment horizontal="right"/>
    </xf>
    <xf numFmtId="0" fontId="0" fillId="0" borderId="29"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22" fillId="0" borderId="0" xfId="0" applyFont="1"/>
    <xf numFmtId="0" fontId="0" fillId="0" borderId="32" xfId="0" applyBorder="1" applyAlignment="1">
      <alignment horizontal="right"/>
    </xf>
    <xf numFmtId="165" fontId="0" fillId="0" borderId="9" xfId="0" applyNumberFormat="1" applyBorder="1"/>
    <xf numFmtId="165" fontId="0" fillId="0" borderId="33" xfId="0" applyNumberFormat="1" applyBorder="1"/>
    <xf numFmtId="165" fontId="0" fillId="0" borderId="34" xfId="0" applyNumberFormat="1" applyBorder="1"/>
    <xf numFmtId="0" fontId="0" fillId="0" borderId="35" xfId="0" applyBorder="1" applyAlignment="1">
      <alignment horizontal="right"/>
    </xf>
    <xf numFmtId="0" fontId="0" fillId="0" borderId="36" xfId="0" applyBorder="1"/>
    <xf numFmtId="0" fontId="0" fillId="0" borderId="30" xfId="0" applyBorder="1"/>
    <xf numFmtId="165" fontId="0" fillId="0" borderId="30" xfId="0" applyNumberFormat="1" applyBorder="1"/>
    <xf numFmtId="165" fontId="0" fillId="0" borderId="31" xfId="0" applyNumberFormat="1" applyBorder="1"/>
    <xf numFmtId="0" fontId="0" fillId="0" borderId="37" xfId="0" applyBorder="1"/>
    <xf numFmtId="165" fontId="0" fillId="0" borderId="38" xfId="0" applyNumberFormat="1" applyBorder="1"/>
    <xf numFmtId="165" fontId="0" fillId="0" borderId="1" xfId="0" applyNumberFormat="1" applyBorder="1"/>
    <xf numFmtId="165" fontId="0" fillId="0" borderId="39" xfId="0" applyNumberFormat="1" applyBorder="1"/>
    <xf numFmtId="165" fontId="0" fillId="0" borderId="1" xfId="0" quotePrefix="1" applyNumberFormat="1" applyBorder="1"/>
    <xf numFmtId="0" fontId="0" fillId="0" borderId="1" xfId="0" quotePrefix="1" applyBorder="1"/>
    <xf numFmtId="0" fontId="0" fillId="0" borderId="39" xfId="0" quotePrefix="1" applyBorder="1"/>
    <xf numFmtId="165" fontId="0" fillId="0" borderId="38" xfId="0" quotePrefix="1" applyNumberFormat="1" applyBorder="1"/>
    <xf numFmtId="165" fontId="0" fillId="0" borderId="39" xfId="0" quotePrefix="1" applyNumberFormat="1" applyBorder="1"/>
    <xf numFmtId="0" fontId="0" fillId="0" borderId="40" xfId="0" applyBorder="1"/>
    <xf numFmtId="165" fontId="0" fillId="0" borderId="41" xfId="0" quotePrefix="1" applyNumberFormat="1" applyBorder="1"/>
    <xf numFmtId="165" fontId="0" fillId="0" borderId="33" xfId="0" quotePrefix="1" applyNumberFormat="1" applyBorder="1"/>
    <xf numFmtId="165" fontId="0" fillId="0" borderId="34" xfId="0" quotePrefix="1" applyNumberFormat="1" applyBorder="1"/>
    <xf numFmtId="0" fontId="0" fillId="0" borderId="42" xfId="0" applyBorder="1"/>
    <xf numFmtId="165" fontId="0" fillId="0" borderId="43" xfId="0" quotePrefix="1" applyNumberFormat="1" applyBorder="1"/>
    <xf numFmtId="165" fontId="0" fillId="0" borderId="44" xfId="0" quotePrefix="1" applyNumberFormat="1" applyBorder="1"/>
    <xf numFmtId="165" fontId="0" fillId="0" borderId="44" xfId="0" applyNumberFormat="1" applyBorder="1"/>
    <xf numFmtId="165" fontId="0" fillId="0" borderId="45" xfId="0" quotePrefix="1" applyNumberFormat="1" applyBorder="1"/>
    <xf numFmtId="0" fontId="0" fillId="0" borderId="28" xfId="0" applyBorder="1"/>
    <xf numFmtId="3" fontId="0" fillId="0" borderId="46" xfId="0" applyNumberFormat="1" applyBorder="1" applyAlignment="1">
      <alignment horizontal="right"/>
    </xf>
    <xf numFmtId="165" fontId="0" fillId="0" borderId="43" xfId="0" applyNumberFormat="1" applyBorder="1"/>
    <xf numFmtId="0" fontId="0" fillId="0" borderId="44" xfId="0" applyBorder="1"/>
    <xf numFmtId="0" fontId="0" fillId="0" borderId="45" xfId="0" applyBorder="1"/>
    <xf numFmtId="0" fontId="0" fillId="0" borderId="0" xfId="0" quotePrefix="1"/>
    <xf numFmtId="0" fontId="0" fillId="0" borderId="47" xfId="0" applyBorder="1" applyAlignment="1">
      <alignment horizontal="right"/>
    </xf>
    <xf numFmtId="49" fontId="0" fillId="0" borderId="36" xfId="0" applyNumberFormat="1" applyBorder="1"/>
    <xf numFmtId="49" fontId="0" fillId="0" borderId="30" xfId="0" applyNumberFormat="1" applyBorder="1"/>
    <xf numFmtId="49" fontId="0" fillId="0" borderId="30" xfId="0" quotePrefix="1" applyNumberFormat="1" applyBorder="1"/>
    <xf numFmtId="49" fontId="0" fillId="0" borderId="31" xfId="0" quotePrefix="1" applyNumberFormat="1" applyBorder="1"/>
    <xf numFmtId="0" fontId="0" fillId="0" borderId="51" xfId="0" applyBorder="1" applyAlignment="1">
      <alignment horizontal="right"/>
    </xf>
    <xf numFmtId="49" fontId="0" fillId="0" borderId="38" xfId="0" applyNumberFormat="1" applyBorder="1"/>
    <xf numFmtId="49" fontId="0" fillId="0" borderId="1" xfId="0" applyNumberFormat="1" applyBorder="1"/>
    <xf numFmtId="49" fontId="0" fillId="0" borderId="1" xfId="0" quotePrefix="1" applyNumberFormat="1" applyBorder="1"/>
    <xf numFmtId="49" fontId="0" fillId="0" borderId="39" xfId="0" quotePrefix="1" applyNumberFormat="1" applyBorder="1"/>
    <xf numFmtId="49" fontId="0" fillId="0" borderId="39" xfId="0" applyNumberFormat="1" applyBorder="1"/>
    <xf numFmtId="0" fontId="0" fillId="0" borderId="52" xfId="0" applyBorder="1" applyAlignment="1">
      <alignment horizontal="right"/>
    </xf>
    <xf numFmtId="49" fontId="0" fillId="0" borderId="43" xfId="0" applyNumberFormat="1" applyBorder="1"/>
    <xf numFmtId="49" fontId="0" fillId="0" borderId="44" xfId="0" quotePrefix="1" applyNumberFormat="1" applyBorder="1"/>
    <xf numFmtId="49" fontId="0" fillId="0" borderId="45" xfId="0" quotePrefix="1" applyNumberFormat="1" applyBorder="1"/>
    <xf numFmtId="49" fontId="0" fillId="0" borderId="31" xfId="0" applyNumberFormat="1" applyBorder="1"/>
    <xf numFmtId="1" fontId="0" fillId="0" borderId="43" xfId="0" applyNumberFormat="1" applyBorder="1"/>
    <xf numFmtId="1" fontId="0" fillId="0" borderId="44" xfId="0" applyNumberFormat="1" applyBorder="1"/>
    <xf numFmtId="1" fontId="0" fillId="0" borderId="45" xfId="0" applyNumberFormat="1" applyBorder="1"/>
    <xf numFmtId="0" fontId="0" fillId="0" borderId="53" xfId="0" applyBorder="1" applyAlignment="1">
      <alignment horizontal="right"/>
    </xf>
    <xf numFmtId="3" fontId="0" fillId="0" borderId="28" xfId="0" applyNumberFormat="1" applyBorder="1"/>
    <xf numFmtId="0" fontId="0" fillId="0" borderId="31" xfId="0" applyBorder="1"/>
    <xf numFmtId="0" fontId="0" fillId="0" borderId="52" xfId="0" applyBorder="1"/>
    <xf numFmtId="0" fontId="0" fillId="0" borderId="43" xfId="0" applyBorder="1"/>
    <xf numFmtId="49" fontId="23" fillId="0" borderId="36" xfId="0" applyNumberFormat="1" applyFont="1" applyBorder="1"/>
    <xf numFmtId="49" fontId="23" fillId="0" borderId="30" xfId="0" applyNumberFormat="1" applyFont="1" applyBorder="1"/>
    <xf numFmtId="166" fontId="0" fillId="0" borderId="43" xfId="0" applyNumberFormat="1" applyBorder="1"/>
    <xf numFmtId="166" fontId="0" fillId="0" borderId="44" xfId="0" applyNumberFormat="1" applyBorder="1"/>
    <xf numFmtId="0" fontId="0" fillId="0" borderId="0" xfId="0" applyAlignment="1">
      <alignment horizontal="right"/>
    </xf>
    <xf numFmtId="1" fontId="0" fillId="0" borderId="0" xfId="0" applyNumberFormat="1"/>
    <xf numFmtId="0" fontId="0" fillId="0" borderId="57" xfId="0" applyBorder="1" applyAlignment="1">
      <alignment horizontal="right"/>
    </xf>
    <xf numFmtId="3" fontId="0" fillId="0" borderId="58" xfId="0" applyNumberFormat="1" applyBorder="1" applyAlignment="1">
      <alignment horizontal="right"/>
    </xf>
    <xf numFmtId="1" fontId="23" fillId="0" borderId="47" xfId="0" applyNumberFormat="1" applyFont="1" applyBorder="1"/>
    <xf numFmtId="1" fontId="23" fillId="0" borderId="54" xfId="0" applyNumberFormat="1" applyFont="1" applyBorder="1"/>
    <xf numFmtId="1" fontId="0" fillId="0" borderId="54" xfId="0" applyNumberFormat="1" applyBorder="1"/>
    <xf numFmtId="1" fontId="0" fillId="0" borderId="55" xfId="0" applyNumberFormat="1" applyBorder="1"/>
    <xf numFmtId="0" fontId="0" fillId="0" borderId="46" xfId="0" applyBorder="1"/>
    <xf numFmtId="0" fontId="0" fillId="0" borderId="59" xfId="0" applyBorder="1"/>
    <xf numFmtId="0" fontId="0" fillId="0" borderId="60" xfId="0" applyBorder="1"/>
    <xf numFmtId="0" fontId="0" fillId="0" borderId="61" xfId="0" applyBorder="1"/>
    <xf numFmtId="0" fontId="2" fillId="0" borderId="0" xfId="0" applyFont="1" applyAlignment="1">
      <alignment horizontal="left"/>
    </xf>
    <xf numFmtId="0" fontId="25" fillId="0" borderId="0" xfId="0" applyFont="1" applyProtection="1">
      <protection locked="0"/>
    </xf>
    <xf numFmtId="0" fontId="0" fillId="0" borderId="0" xfId="0" applyAlignment="1">
      <alignment horizontal="left"/>
    </xf>
    <xf numFmtId="0" fontId="0" fillId="0" borderId="62" xfId="0" applyBorder="1"/>
    <xf numFmtId="0" fontId="2" fillId="0" borderId="59" xfId="0" applyFont="1" applyBorder="1"/>
    <xf numFmtId="0" fontId="1" fillId="0" borderId="60" xfId="0" applyFont="1" applyBorder="1"/>
    <xf numFmtId="0" fontId="1" fillId="0" borderId="61" xfId="0" applyFont="1" applyBorder="1"/>
    <xf numFmtId="0" fontId="26" fillId="0" borderId="62" xfId="0" applyFont="1" applyBorder="1"/>
    <xf numFmtId="0" fontId="0" fillId="0" borderId="63" xfId="0" applyBorder="1"/>
    <xf numFmtId="0" fontId="27" fillId="0" borderId="62" xfId="0" applyFont="1" applyBorder="1" applyProtection="1">
      <protection locked="0"/>
    </xf>
    <xf numFmtId="0" fontId="27" fillId="0" borderId="59" xfId="0" applyFont="1" applyBorder="1" applyProtection="1">
      <protection locked="0"/>
    </xf>
    <xf numFmtId="3" fontId="0" fillId="2" borderId="0" xfId="0" applyNumberFormat="1" applyFill="1"/>
    <xf numFmtId="167" fontId="0" fillId="0" borderId="0" xfId="7" applyNumberFormat="1" applyFont="1" applyFill="1"/>
    <xf numFmtId="43" fontId="0" fillId="0" borderId="0" xfId="7" applyFont="1"/>
    <xf numFmtId="43" fontId="0" fillId="0" borderId="0" xfId="0" applyNumberFormat="1"/>
    <xf numFmtId="0" fontId="0" fillId="0" borderId="58" xfId="0" applyBorder="1"/>
    <xf numFmtId="0" fontId="2" fillId="0" borderId="57" xfId="0" applyFont="1" applyBorder="1"/>
    <xf numFmtId="0" fontId="0" fillId="0" borderId="17" xfId="0" applyBorder="1"/>
    <xf numFmtId="0" fontId="0" fillId="0" borderId="19" xfId="0" applyBorder="1"/>
    <xf numFmtId="37" fontId="28" fillId="0" borderId="0" xfId="6" applyFont="1" applyAlignment="1">
      <alignment wrapText="1"/>
    </xf>
    <xf numFmtId="37" fontId="16" fillId="0" borderId="0" xfId="6" applyFont="1" applyAlignment="1">
      <alignment wrapText="1"/>
    </xf>
    <xf numFmtId="0" fontId="0" fillId="0" borderId="0" xfId="0" applyAlignment="1">
      <alignment horizontal="left" wrapText="1"/>
    </xf>
    <xf numFmtId="0" fontId="5" fillId="0" borderId="0" xfId="2" applyFont="1" applyAlignment="1">
      <alignment horizontal="center"/>
    </xf>
    <xf numFmtId="0" fontId="6" fillId="0" borderId="6" xfId="2" applyFont="1" applyBorder="1" applyAlignment="1">
      <alignment horizontal="center"/>
    </xf>
    <xf numFmtId="0" fontId="6" fillId="0" borderId="7" xfId="2" applyFont="1" applyBorder="1" applyAlignment="1">
      <alignment horizontal="center"/>
    </xf>
    <xf numFmtId="0" fontId="5" fillId="0" borderId="8" xfId="2" applyFont="1" applyBorder="1" applyAlignment="1">
      <alignment horizontal="center"/>
    </xf>
    <xf numFmtId="0" fontId="5" fillId="0" borderId="12" xfId="2" applyFont="1" applyBorder="1" applyAlignment="1">
      <alignment horizontal="center"/>
    </xf>
    <xf numFmtId="0" fontId="5" fillId="0" borderId="9" xfId="2" applyFont="1" applyBorder="1" applyAlignment="1">
      <alignment horizontal="center"/>
    </xf>
    <xf numFmtId="0" fontId="10" fillId="0" borderId="8" xfId="4" applyFont="1" applyBorder="1" applyAlignment="1">
      <alignment horizontal="center"/>
    </xf>
    <xf numFmtId="0" fontId="10" fillId="0" borderId="9" xfId="4" applyFont="1"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2" fillId="0" borderId="3" xfId="0" applyFont="1" applyBorder="1" applyAlignment="1">
      <alignment horizontal="center" vertical="center"/>
    </xf>
    <xf numFmtId="0" fontId="2" fillId="0" borderId="5" xfId="0" applyFont="1" applyBorder="1" applyAlignment="1">
      <alignment horizontal="center" vertical="center"/>
    </xf>
    <xf numFmtId="0" fontId="2" fillId="0" borderId="0" xfId="0" applyFont="1" applyAlignment="1">
      <alignment horizontal="center"/>
    </xf>
    <xf numFmtId="0" fontId="2" fillId="0" borderId="8" xfId="0" applyFont="1" applyBorder="1" applyAlignment="1">
      <alignment horizontal="center" vertical="center"/>
    </xf>
    <xf numFmtId="0" fontId="2" fillId="0" borderId="14" xfId="0" applyFont="1" applyBorder="1" applyAlignment="1">
      <alignment horizontal="center" vertical="center"/>
    </xf>
    <xf numFmtId="0" fontId="2" fillId="0" borderId="10" xfId="0" applyFont="1" applyBorder="1" applyAlignment="1">
      <alignment horizontal="center" vertical="center"/>
    </xf>
    <xf numFmtId="0" fontId="2" fillId="0" borderId="0" xfId="0" applyFont="1" applyAlignment="1">
      <alignment horizontal="center" vertical="center"/>
    </xf>
    <xf numFmtId="0" fontId="0" fillId="0" borderId="13" xfId="0" applyBorder="1" applyAlignment="1">
      <alignment horizontal="center" wrapText="1"/>
    </xf>
    <xf numFmtId="0" fontId="0" fillId="0" borderId="7" xfId="0" applyBorder="1" applyAlignment="1">
      <alignment horizontal="center" wrapText="1"/>
    </xf>
    <xf numFmtId="0" fontId="0" fillId="0" borderId="13" xfId="0" applyBorder="1" applyAlignment="1">
      <alignment horizontal="left" wrapText="1"/>
    </xf>
    <xf numFmtId="0" fontId="0" fillId="0" borderId="7" xfId="0" applyBorder="1" applyAlignment="1">
      <alignment horizontal="left" wrapText="1"/>
    </xf>
    <xf numFmtId="0" fontId="2" fillId="2" borderId="0" xfId="0" applyFont="1" applyFill="1" applyAlignment="1">
      <alignment horizontal="center"/>
    </xf>
    <xf numFmtId="0" fontId="2" fillId="0" borderId="4" xfId="0" applyFont="1" applyBorder="1" applyAlignment="1">
      <alignment horizontal="center" vertical="center"/>
    </xf>
    <xf numFmtId="0" fontId="2" fillId="0" borderId="3" xfId="0" applyFont="1" applyBorder="1" applyAlignment="1">
      <alignment horizontal="center"/>
    </xf>
    <xf numFmtId="0" fontId="2" fillId="0" borderId="5" xfId="0" applyFont="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3" xfId="0" applyBorder="1" applyAlignment="1">
      <alignment horizontal="center"/>
    </xf>
    <xf numFmtId="0" fontId="0" fillId="0" borderId="5" xfId="0" applyBorder="1" applyAlignment="1">
      <alignment horizontal="center"/>
    </xf>
    <xf numFmtId="0" fontId="0" fillId="0" borderId="4" xfId="0" applyBorder="1" applyAlignment="1">
      <alignment horizontal="center"/>
    </xf>
    <xf numFmtId="1" fontId="0" fillId="0" borderId="18" xfId="0" applyNumberFormat="1" applyBorder="1" applyAlignment="1">
      <alignment horizontal="left"/>
    </xf>
    <xf numFmtId="1" fontId="0" fillId="0" borderId="19" xfId="0" applyNumberFormat="1" applyBorder="1" applyAlignment="1">
      <alignment horizontal="left"/>
    </xf>
    <xf numFmtId="0" fontId="24" fillId="0" borderId="47" xfId="0" applyFont="1" applyBorder="1" applyAlignment="1">
      <alignment horizontal="center" vertical="center"/>
    </xf>
    <xf numFmtId="0" fontId="24" fillId="0" borderId="54" xfId="0" applyFont="1" applyBorder="1" applyAlignment="1">
      <alignment horizontal="center" vertical="center"/>
    </xf>
    <xf numFmtId="0" fontId="24" fillId="0" borderId="55" xfId="0" applyFont="1" applyBorder="1" applyAlignment="1">
      <alignment horizontal="center" vertical="center"/>
    </xf>
    <xf numFmtId="0" fontId="2" fillId="0" borderId="63" xfId="0" applyFont="1" applyBorder="1" applyAlignment="1">
      <alignment horizontal="center"/>
    </xf>
    <xf numFmtId="0" fontId="0" fillId="0" borderId="36" xfId="0" applyBorder="1" applyAlignment="1">
      <alignment horizontal="left"/>
    </xf>
    <xf numFmtId="0" fontId="0" fillId="0" borderId="30" xfId="0" applyBorder="1" applyAlignment="1">
      <alignment horizontal="left"/>
    </xf>
    <xf numFmtId="0" fontId="0" fillId="0" borderId="31" xfId="0" applyBorder="1" applyAlignment="1">
      <alignment horizontal="left"/>
    </xf>
    <xf numFmtId="0" fontId="0" fillId="0" borderId="48" xfId="0" applyBorder="1" applyAlignment="1">
      <alignment horizontal="left"/>
    </xf>
    <xf numFmtId="0" fontId="0" fillId="0" borderId="49" xfId="0" applyBorder="1" applyAlignment="1">
      <alignment horizontal="left"/>
    </xf>
    <xf numFmtId="0" fontId="0" fillId="0" borderId="50" xfId="0" applyBorder="1" applyAlignment="1">
      <alignment horizontal="left"/>
    </xf>
    <xf numFmtId="0" fontId="0" fillId="0" borderId="47" xfId="0" applyBorder="1" applyAlignment="1">
      <alignment horizontal="left"/>
    </xf>
    <xf numFmtId="0" fontId="0" fillId="0" borderId="54" xfId="0" applyBorder="1" applyAlignment="1">
      <alignment horizontal="left"/>
    </xf>
    <xf numFmtId="0" fontId="0" fillId="0" borderId="55" xfId="0" applyBorder="1" applyAlignment="1">
      <alignment horizontal="left"/>
    </xf>
    <xf numFmtId="0" fontId="0" fillId="0" borderId="17" xfId="0" applyBorder="1" applyAlignment="1">
      <alignment horizontal="left"/>
    </xf>
    <xf numFmtId="0" fontId="0" fillId="0" borderId="18" xfId="0" applyBorder="1" applyAlignment="1">
      <alignment horizontal="left"/>
    </xf>
    <xf numFmtId="0" fontId="0" fillId="0" borderId="56" xfId="0" applyBorder="1" applyAlignment="1">
      <alignment horizontal="left"/>
    </xf>
  </cellXfs>
  <cellStyles count="8">
    <cellStyle name="Comma" xfId="7" builtinId="3"/>
    <cellStyle name="Hyperlink" xfId="1" builtinId="8"/>
    <cellStyle name="Hyperlink_Data Analysis Template (prob) V 6.0" xfId="5" xr:uid="{7E62CE34-2E8E-4D2E-ABD3-B6A4518EB0FB}"/>
    <cellStyle name="Hyperlink_TT-W-WTD-023" xfId="3" xr:uid="{3108C4C1-9E81-418B-87FB-9E685FFFD556}"/>
    <cellStyle name="Normal" xfId="0" builtinId="0"/>
    <cellStyle name="Normal_Calc Example Formatting" xfId="6" xr:uid="{F04FC3EF-F24A-4A85-A195-2075AF5835F8}"/>
    <cellStyle name="Normal_Centrifuge Mass Balance" xfId="2" xr:uid="{6A433787-27AD-42D4-8C6B-5C6A76E71257}"/>
    <cellStyle name="Normal_Data Analysis Template (prob) V 6.0" xfId="4" xr:uid="{FCDBB297-A934-4675-B95D-EB195557DB7F}"/>
  </cellStyles>
  <dxfs count="8">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Stiffness Factor for Earth Load Circumferential Stress (Khe)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Tables!$B$19:$B$38</c:f>
              <c:numCache>
                <c:formatCode>General</c:formatCode>
                <c:ptCount val="20"/>
                <c:pt idx="0">
                  <c:v>11632</c:v>
                </c:pt>
                <c:pt idx="1">
                  <c:v>11632</c:v>
                </c:pt>
                <c:pt idx="2">
                  <c:v>11338</c:v>
                </c:pt>
                <c:pt idx="3">
                  <c:v>8552</c:v>
                </c:pt>
                <c:pt idx="4">
                  <c:v>6564</c:v>
                </c:pt>
                <c:pt idx="5">
                  <c:v>4873</c:v>
                </c:pt>
                <c:pt idx="6">
                  <c:v>3900</c:v>
                </c:pt>
                <c:pt idx="7">
                  <c:v>3000</c:v>
                </c:pt>
                <c:pt idx="8">
                  <c:v>1781</c:v>
                </c:pt>
                <c:pt idx="9">
                  <c:v>1153</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0-37AB-493B-96A6-7759D38C00DA}"/>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Tables!$D$19:$D$38</c:f>
              <c:numCache>
                <c:formatCode>General</c:formatCode>
                <c:ptCount val="20"/>
                <c:pt idx="0">
                  <c:v>7625</c:v>
                </c:pt>
                <c:pt idx="1">
                  <c:v>7625</c:v>
                </c:pt>
                <c:pt idx="2">
                  <c:v>7286</c:v>
                </c:pt>
                <c:pt idx="3">
                  <c:v>6280</c:v>
                </c:pt>
                <c:pt idx="4">
                  <c:v>5374</c:v>
                </c:pt>
                <c:pt idx="5">
                  <c:v>4305</c:v>
                </c:pt>
                <c:pt idx="6">
                  <c:v>3476</c:v>
                </c:pt>
                <c:pt idx="7">
                  <c:v>2663</c:v>
                </c:pt>
                <c:pt idx="8">
                  <c:v>1642</c:v>
                </c:pt>
                <c:pt idx="9">
                  <c:v>1077</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2-37AB-493B-96A6-7759D38C00DA}"/>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Tables!$F$19:$F$38</c:f>
              <c:numCache>
                <c:formatCode>General</c:formatCode>
                <c:ptCount val="20"/>
                <c:pt idx="0">
                  <c:v>5772</c:v>
                </c:pt>
                <c:pt idx="1">
                  <c:v>5449</c:v>
                </c:pt>
                <c:pt idx="2">
                  <c:v>5175</c:v>
                </c:pt>
                <c:pt idx="3">
                  <c:v>4499</c:v>
                </c:pt>
                <c:pt idx="4">
                  <c:v>3882</c:v>
                </c:pt>
                <c:pt idx="5">
                  <c:v>3261</c:v>
                </c:pt>
                <c:pt idx="6">
                  <c:v>2791</c:v>
                </c:pt>
                <c:pt idx="7">
                  <c:v>2292</c:v>
                </c:pt>
                <c:pt idx="8">
                  <c:v>1545</c:v>
                </c:pt>
                <c:pt idx="9">
                  <c:v>1066</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4-37AB-493B-96A6-7759D38C00DA}"/>
            </c:ext>
          </c:extLst>
        </c:ser>
        <c:ser>
          <c:idx val="6"/>
          <c:order val="3"/>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xVal>
            <c:numRef>
              <c:f>Tables!$A$19:$A$38</c:f>
              <c:numCache>
                <c:formatCode>General</c:formatCode>
                <c:ptCount val="20"/>
                <c:pt idx="0">
                  <c:v>7.26E-3</c:v>
                </c:pt>
                <c:pt idx="1">
                  <c:v>8.1099999999999992E-3</c:v>
                </c:pt>
                <c:pt idx="2">
                  <c:v>8.2500000000000004E-3</c:v>
                </c:pt>
                <c:pt idx="3">
                  <c:v>0.01</c:v>
                </c:pt>
                <c:pt idx="4">
                  <c:v>1.2500000000000001E-2</c:v>
                </c:pt>
                <c:pt idx="5">
                  <c:v>1.4999999999999999E-2</c:v>
                </c:pt>
                <c:pt idx="6">
                  <c:v>1.7500000000000002E-2</c:v>
                </c:pt>
                <c:pt idx="7">
                  <c:v>0.02</c:v>
                </c:pt>
                <c:pt idx="8">
                  <c:v>2.5000000000000001E-2</c:v>
                </c:pt>
                <c:pt idx="9">
                  <c:v>0.03</c:v>
                </c:pt>
                <c:pt idx="10">
                  <c:v>3.5000000000000003E-2</c:v>
                </c:pt>
                <c:pt idx="11">
                  <c:v>0.04</c:v>
                </c:pt>
                <c:pt idx="12">
                  <c:v>4.4999999999999998E-2</c:v>
                </c:pt>
                <c:pt idx="13">
                  <c:v>0.05</c:v>
                </c:pt>
                <c:pt idx="14">
                  <c:v>5.5E-2</c:v>
                </c:pt>
                <c:pt idx="15">
                  <c:v>0.06</c:v>
                </c:pt>
                <c:pt idx="16">
                  <c:v>6.5000000000000002E-2</c:v>
                </c:pt>
                <c:pt idx="17">
                  <c:v>7.0000000000000007E-2</c:v>
                </c:pt>
                <c:pt idx="18">
                  <c:v>7.4999999999999997E-2</c:v>
                </c:pt>
                <c:pt idx="19">
                  <c:v>0.08</c:v>
                </c:pt>
              </c:numCache>
            </c:numRef>
          </c:xVal>
          <c:yVal>
            <c:numRef>
              <c:f>Tables!$H$19:$H$38</c:f>
              <c:numCache>
                <c:formatCode>General</c:formatCode>
                <c:ptCount val="20"/>
                <c:pt idx="0">
                  <c:v>4443</c:v>
                </c:pt>
                <c:pt idx="1">
                  <c:v>4000</c:v>
                </c:pt>
                <c:pt idx="2">
                  <c:v>3804</c:v>
                </c:pt>
                <c:pt idx="3">
                  <c:v>3208</c:v>
                </c:pt>
                <c:pt idx="4">
                  <c:v>2777</c:v>
                </c:pt>
                <c:pt idx="5">
                  <c:v>2404</c:v>
                </c:pt>
                <c:pt idx="6">
                  <c:v>2145</c:v>
                </c:pt>
                <c:pt idx="7">
                  <c:v>1852</c:v>
                </c:pt>
                <c:pt idx="8">
                  <c:v>1387</c:v>
                </c:pt>
                <c:pt idx="9">
                  <c:v>1000</c:v>
                </c:pt>
                <c:pt idx="10">
                  <c:v>819</c:v>
                </c:pt>
                <c:pt idx="11">
                  <c:v>642</c:v>
                </c:pt>
                <c:pt idx="12">
                  <c:v>525</c:v>
                </c:pt>
                <c:pt idx="13">
                  <c:v>460</c:v>
                </c:pt>
                <c:pt idx="14">
                  <c:v>393</c:v>
                </c:pt>
                <c:pt idx="15">
                  <c:v>335</c:v>
                </c:pt>
                <c:pt idx="16">
                  <c:v>273</c:v>
                </c:pt>
                <c:pt idx="17">
                  <c:v>207</c:v>
                </c:pt>
                <c:pt idx="18">
                  <c:v>143</c:v>
                </c:pt>
                <c:pt idx="19">
                  <c:v>88</c:v>
                </c:pt>
              </c:numCache>
            </c:numRef>
          </c:yVal>
          <c:smooth val="0"/>
          <c:extLst>
            <c:ext xmlns:c16="http://schemas.microsoft.com/office/drawing/2014/chart" uri="{C3380CC4-5D6E-409C-BE32-E72D297353CC}">
              <c16:uniqueId val="{00000006-37AB-493B-96A6-7759D38C00DA}"/>
            </c:ext>
          </c:extLst>
        </c:ser>
        <c:dLbls>
          <c:showLegendKey val="0"/>
          <c:showVal val="0"/>
          <c:showCatName val="0"/>
          <c:showSerName val="0"/>
          <c:showPercent val="0"/>
          <c:showBubbleSize val="0"/>
        </c:dLbls>
        <c:axId val="291321984"/>
        <c:axId val="291331104"/>
      </c:scatterChart>
      <c:valAx>
        <c:axId val="291321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tw/D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31104"/>
        <c:crosses val="autoZero"/>
        <c:crossBetween val="midCat"/>
      </c:valAx>
      <c:valAx>
        <c:axId val="291331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Khe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219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Burial Factor for Earth Load (Be)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Type A</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Tables!$A$45:$A$76</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Tables!$B$45:$B$76</c:f>
              <c:numCache>
                <c:formatCode>General</c:formatCode>
                <c:ptCount val="32"/>
                <c:pt idx="0">
                  <c:v>0.32100000000000001</c:v>
                </c:pt>
                <c:pt idx="1">
                  <c:v>0.64400000000000002</c:v>
                </c:pt>
                <c:pt idx="2">
                  <c:v>0.84399999999999997</c:v>
                </c:pt>
                <c:pt idx="3">
                  <c:v>0.98299999999999998</c:v>
                </c:pt>
                <c:pt idx="4">
                  <c:v>1.077</c:v>
                </c:pt>
                <c:pt idx="5">
                  <c:v>1.1619999999999999</c:v>
                </c:pt>
                <c:pt idx="6">
                  <c:v>1.2150000000000001</c:v>
                </c:pt>
                <c:pt idx="7">
                  <c:v>1.26</c:v>
                </c:pt>
                <c:pt idx="8">
                  <c:v>1.2949999999999999</c:v>
                </c:pt>
                <c:pt idx="9">
                  <c:v>1.325</c:v>
                </c:pt>
                <c:pt idx="10">
                  <c:v>1.3420000000000001</c:v>
                </c:pt>
                <c:pt idx="11">
                  <c:v>1.3560000000000001</c:v>
                </c:pt>
                <c:pt idx="12">
                  <c:v>1.363</c:v>
                </c:pt>
                <c:pt idx="13">
                  <c:v>1.3640000000000001</c:v>
                </c:pt>
                <c:pt idx="14">
                  <c:v>1.3640000000000001</c:v>
                </c:pt>
                <c:pt idx="15">
                  <c:v>1.3640000000000001</c:v>
                </c:pt>
                <c:pt idx="16">
                  <c:v>1.3640000000000001</c:v>
                </c:pt>
                <c:pt idx="17">
                  <c:v>1.3640000000000001</c:v>
                </c:pt>
                <c:pt idx="18">
                  <c:v>1.3640000000000001</c:v>
                </c:pt>
                <c:pt idx="19">
                  <c:v>1.3640000000000001</c:v>
                </c:pt>
                <c:pt idx="20">
                  <c:v>1.3640000000000001</c:v>
                </c:pt>
                <c:pt idx="21">
                  <c:v>1.3640000000000001</c:v>
                </c:pt>
                <c:pt idx="22">
                  <c:v>1.3640000000000001</c:v>
                </c:pt>
                <c:pt idx="23">
                  <c:v>1.3640000000000001</c:v>
                </c:pt>
                <c:pt idx="24">
                  <c:v>1.3640000000000001</c:v>
                </c:pt>
                <c:pt idx="25">
                  <c:v>1.3640000000000001</c:v>
                </c:pt>
                <c:pt idx="26">
                  <c:v>1.3640000000000001</c:v>
                </c:pt>
                <c:pt idx="27">
                  <c:v>1.3640000000000001</c:v>
                </c:pt>
                <c:pt idx="28">
                  <c:v>1.3640000000000001</c:v>
                </c:pt>
                <c:pt idx="29">
                  <c:v>1.3640000000000001</c:v>
                </c:pt>
                <c:pt idx="30">
                  <c:v>1.3640000000000001</c:v>
                </c:pt>
                <c:pt idx="31">
                  <c:v>1.3640000000000001</c:v>
                </c:pt>
              </c:numCache>
            </c:numRef>
          </c:yVal>
          <c:smooth val="0"/>
          <c:extLst>
            <c:ext xmlns:c16="http://schemas.microsoft.com/office/drawing/2014/chart" uri="{C3380CC4-5D6E-409C-BE32-E72D297353CC}">
              <c16:uniqueId val="{00000000-E972-4337-9EB4-83C1520D697B}"/>
            </c:ext>
          </c:extLst>
        </c:ser>
        <c:ser>
          <c:idx val="2"/>
          <c:order val="1"/>
          <c:tx>
            <c:v>TypeB</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Tables!$A$45:$A$76</c:f>
              <c:numCache>
                <c:formatCode>General</c:formatCode>
                <c:ptCount val="32"/>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numCache>
            </c:numRef>
          </c:xVal>
          <c:yVal>
            <c:numRef>
              <c:f>Tables!$D$45:$D$76</c:f>
              <c:numCache>
                <c:formatCode>General</c:formatCode>
                <c:ptCount val="32"/>
                <c:pt idx="0">
                  <c:v>0.32100000000000001</c:v>
                </c:pt>
                <c:pt idx="1">
                  <c:v>0.63100000000000001</c:v>
                </c:pt>
                <c:pt idx="2">
                  <c:v>0.77600000000000002</c:v>
                </c:pt>
                <c:pt idx="3">
                  <c:v>0.89300000000000002</c:v>
                </c:pt>
                <c:pt idx="4">
                  <c:v>0.96399999999999997</c:v>
                </c:pt>
                <c:pt idx="5">
                  <c:v>1.032</c:v>
                </c:pt>
                <c:pt idx="6">
                  <c:v>1.071</c:v>
                </c:pt>
                <c:pt idx="7">
                  <c:v>1.1080000000000001</c:v>
                </c:pt>
                <c:pt idx="8">
                  <c:v>1.133</c:v>
                </c:pt>
                <c:pt idx="9">
                  <c:v>1.1519999999999999</c:v>
                </c:pt>
                <c:pt idx="10">
                  <c:v>1.1639999999999999</c:v>
                </c:pt>
                <c:pt idx="11">
                  <c:v>1.1719999999999999</c:v>
                </c:pt>
                <c:pt idx="12">
                  <c:v>1.173</c:v>
                </c:pt>
                <c:pt idx="13">
                  <c:v>1.173</c:v>
                </c:pt>
                <c:pt idx="14">
                  <c:v>1.173</c:v>
                </c:pt>
                <c:pt idx="15">
                  <c:v>1.173</c:v>
                </c:pt>
                <c:pt idx="16">
                  <c:v>1.173</c:v>
                </c:pt>
                <c:pt idx="17">
                  <c:v>1.173</c:v>
                </c:pt>
                <c:pt idx="18">
                  <c:v>1.173</c:v>
                </c:pt>
                <c:pt idx="19">
                  <c:v>1.173</c:v>
                </c:pt>
                <c:pt idx="20">
                  <c:v>1.173</c:v>
                </c:pt>
                <c:pt idx="21">
                  <c:v>1.173</c:v>
                </c:pt>
                <c:pt idx="22">
                  <c:v>1.173</c:v>
                </c:pt>
                <c:pt idx="23">
                  <c:v>1.173</c:v>
                </c:pt>
                <c:pt idx="24">
                  <c:v>1.173</c:v>
                </c:pt>
                <c:pt idx="25">
                  <c:v>1.173</c:v>
                </c:pt>
                <c:pt idx="26">
                  <c:v>1.173</c:v>
                </c:pt>
                <c:pt idx="27">
                  <c:v>1.173</c:v>
                </c:pt>
                <c:pt idx="28">
                  <c:v>1.173</c:v>
                </c:pt>
                <c:pt idx="29">
                  <c:v>1.173</c:v>
                </c:pt>
                <c:pt idx="30">
                  <c:v>1.173</c:v>
                </c:pt>
                <c:pt idx="31">
                  <c:v>1.173</c:v>
                </c:pt>
              </c:numCache>
            </c:numRef>
          </c:yVal>
          <c:smooth val="0"/>
          <c:extLst>
            <c:ext xmlns:c16="http://schemas.microsoft.com/office/drawing/2014/chart" uri="{C3380CC4-5D6E-409C-BE32-E72D297353CC}">
              <c16:uniqueId val="{00000002-E972-4337-9EB4-83C1520D697B}"/>
            </c:ext>
          </c:extLst>
        </c:ser>
        <c:dLbls>
          <c:showLegendKey val="0"/>
          <c:showVal val="0"/>
          <c:showCatName val="0"/>
          <c:showSerName val="0"/>
          <c:showPercent val="0"/>
          <c:showBubbleSize val="0"/>
        </c:dLbls>
        <c:axId val="269446608"/>
        <c:axId val="269437008"/>
      </c:scatterChart>
      <c:valAx>
        <c:axId val="26944660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H/Bd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37008"/>
        <c:crosses val="autoZero"/>
        <c:crossBetween val="midCat"/>
      </c:valAx>
      <c:valAx>
        <c:axId val="269437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44660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Excavation Factor (Ee)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Tables!$A$81:$A$87</c:f>
              <c:numCache>
                <c:formatCode>General</c:formatCode>
                <c:ptCount val="7"/>
                <c:pt idx="0">
                  <c:v>1</c:v>
                </c:pt>
                <c:pt idx="1">
                  <c:v>1.05</c:v>
                </c:pt>
                <c:pt idx="2">
                  <c:v>1.1000000000000001</c:v>
                </c:pt>
                <c:pt idx="3">
                  <c:v>1.1499999999999999</c:v>
                </c:pt>
                <c:pt idx="4">
                  <c:v>1.2</c:v>
                </c:pt>
                <c:pt idx="5">
                  <c:v>1.25</c:v>
                </c:pt>
                <c:pt idx="6">
                  <c:v>1.3</c:v>
                </c:pt>
              </c:numCache>
            </c:numRef>
          </c:xVal>
          <c:yVal>
            <c:numRef>
              <c:f>Tables!$B$81:$B$87</c:f>
              <c:numCache>
                <c:formatCode>General</c:formatCode>
                <c:ptCount val="7"/>
                <c:pt idx="0">
                  <c:v>0.83069999999999999</c:v>
                </c:pt>
                <c:pt idx="1">
                  <c:v>0.90900000000000003</c:v>
                </c:pt>
                <c:pt idx="2">
                  <c:v>0.99660000000000004</c:v>
                </c:pt>
                <c:pt idx="3">
                  <c:v>1.0903</c:v>
                </c:pt>
                <c:pt idx="4">
                  <c:v>1.1909000000000001</c:v>
                </c:pt>
                <c:pt idx="5">
                  <c:v>1.2941</c:v>
                </c:pt>
                <c:pt idx="6">
                  <c:v>1.4</c:v>
                </c:pt>
              </c:numCache>
            </c:numRef>
          </c:yVal>
          <c:smooth val="0"/>
          <c:extLst>
            <c:ext xmlns:c16="http://schemas.microsoft.com/office/drawing/2014/chart" uri="{C3380CC4-5D6E-409C-BE32-E72D297353CC}">
              <c16:uniqueId val="{00000000-6BE0-420D-9DE1-EC9BE948D538}"/>
            </c:ext>
          </c:extLst>
        </c:ser>
        <c:dLbls>
          <c:showLegendKey val="0"/>
          <c:showVal val="0"/>
          <c:showCatName val="0"/>
          <c:showSerName val="0"/>
          <c:showPercent val="0"/>
          <c:showBubbleSize val="0"/>
        </c:dLbls>
        <c:axId val="865650943"/>
        <c:axId val="865657183"/>
      </c:scatterChart>
      <c:valAx>
        <c:axId val="865650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Bd/D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57183"/>
        <c:crosses val="autoZero"/>
        <c:crossBetween val="midCat"/>
      </c:valAx>
      <c:valAx>
        <c:axId val="8656571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650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Impact Factor (Fi) - Railroad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Tables!$A$93:$A$96</c:f>
              <c:numCache>
                <c:formatCode>General</c:formatCode>
                <c:ptCount val="4"/>
                <c:pt idx="0">
                  <c:v>5.22</c:v>
                </c:pt>
                <c:pt idx="1">
                  <c:v>30</c:v>
                </c:pt>
                <c:pt idx="2">
                  <c:v>100</c:v>
                </c:pt>
              </c:numCache>
            </c:numRef>
          </c:xVal>
          <c:yVal>
            <c:numRef>
              <c:f>Tables!$B$93:$B$96</c:f>
              <c:numCache>
                <c:formatCode>General</c:formatCode>
                <c:ptCount val="4"/>
                <c:pt idx="0">
                  <c:v>1.75</c:v>
                </c:pt>
                <c:pt idx="1">
                  <c:v>1</c:v>
                </c:pt>
                <c:pt idx="2">
                  <c:v>1</c:v>
                </c:pt>
              </c:numCache>
            </c:numRef>
          </c:yVal>
          <c:smooth val="0"/>
          <c:extLst>
            <c:ext xmlns:c16="http://schemas.microsoft.com/office/drawing/2014/chart" uri="{C3380CC4-5D6E-409C-BE32-E72D297353CC}">
              <c16:uniqueId val="{00000000-575D-4CF6-AD90-ECCF47AF349E}"/>
            </c:ext>
          </c:extLst>
        </c:ser>
        <c:dLbls>
          <c:showLegendKey val="0"/>
          <c:showVal val="0"/>
          <c:showCatName val="0"/>
          <c:showSerName val="0"/>
          <c:showPercent val="0"/>
          <c:showBubbleSize val="0"/>
        </c:dLbls>
        <c:axId val="291336864"/>
        <c:axId val="291338304"/>
      </c:scatterChart>
      <c:valAx>
        <c:axId val="2913368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 (ft)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38304"/>
        <c:crosses val="autoZero"/>
        <c:crossBetween val="midCat"/>
      </c:valAx>
      <c:valAx>
        <c:axId val="2913383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Fi</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13368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Stiffness Factor for Cyclic Circumferential Stress (KHr)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Tables!$A$101:$A$110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Tables!$B$101:$B$110</c:f>
              <c:numCache>
                <c:formatCode>General</c:formatCode>
                <c:ptCount val="10"/>
                <c:pt idx="0">
                  <c:v>454</c:v>
                </c:pt>
                <c:pt idx="1">
                  <c:v>474</c:v>
                </c:pt>
                <c:pt idx="2">
                  <c:v>474</c:v>
                </c:pt>
                <c:pt idx="3">
                  <c:v>451</c:v>
                </c:pt>
                <c:pt idx="4">
                  <c:v>381</c:v>
                </c:pt>
                <c:pt idx="5">
                  <c:v>240</c:v>
                </c:pt>
                <c:pt idx="6">
                  <c:v>183</c:v>
                </c:pt>
                <c:pt idx="7">
                  <c:v>143</c:v>
                </c:pt>
                <c:pt idx="8">
                  <c:v>87</c:v>
                </c:pt>
                <c:pt idx="9">
                  <c:v>48</c:v>
                </c:pt>
              </c:numCache>
            </c:numRef>
          </c:yVal>
          <c:smooth val="0"/>
          <c:extLst>
            <c:ext xmlns:c16="http://schemas.microsoft.com/office/drawing/2014/chart" uri="{C3380CC4-5D6E-409C-BE32-E72D297353CC}">
              <c16:uniqueId val="{00000000-3EB8-46C4-906E-7191D40605E5}"/>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Tables!$A$101:$A$110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Tables!$C$101:$C$110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yVal>
          <c:smooth val="0"/>
          <c:extLst>
            <c:ext xmlns:c16="http://schemas.microsoft.com/office/drawing/2014/chart" uri="{C3380CC4-5D6E-409C-BE32-E72D297353CC}">
              <c16:uniqueId val="{00000001-3EB8-46C4-906E-7191D40605E5}"/>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Tables!$A$101:$A$110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Tables!$D$101:$D$110</c:f>
              <c:numCache>
                <c:formatCode>General</c:formatCode>
                <c:ptCount val="10"/>
                <c:pt idx="0">
                  <c:v>315</c:v>
                </c:pt>
                <c:pt idx="1">
                  <c:v>336</c:v>
                </c:pt>
                <c:pt idx="2">
                  <c:v>339</c:v>
                </c:pt>
                <c:pt idx="3">
                  <c:v>332</c:v>
                </c:pt>
                <c:pt idx="4">
                  <c:v>295</c:v>
                </c:pt>
                <c:pt idx="5">
                  <c:v>211</c:v>
                </c:pt>
                <c:pt idx="6">
                  <c:v>165</c:v>
                </c:pt>
                <c:pt idx="7">
                  <c:v>131</c:v>
                </c:pt>
                <c:pt idx="8">
                  <c:v>79</c:v>
                </c:pt>
                <c:pt idx="9">
                  <c:v>42</c:v>
                </c:pt>
              </c:numCache>
            </c:numRef>
          </c:yVal>
          <c:smooth val="0"/>
          <c:extLst>
            <c:ext xmlns:c16="http://schemas.microsoft.com/office/drawing/2014/chart" uri="{C3380CC4-5D6E-409C-BE32-E72D297353CC}">
              <c16:uniqueId val="{00000002-3EB8-46C4-906E-7191D40605E5}"/>
            </c:ext>
          </c:extLst>
        </c:ser>
        <c:ser>
          <c:idx val="3"/>
          <c:order val="3"/>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Tables!$A$101:$A$110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Tables!$E$101:$E$110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yVal>
          <c:smooth val="0"/>
          <c:extLst>
            <c:ext xmlns:c16="http://schemas.microsoft.com/office/drawing/2014/chart" uri="{C3380CC4-5D6E-409C-BE32-E72D297353CC}">
              <c16:uniqueId val="{00000003-3EB8-46C4-906E-7191D40605E5}"/>
            </c:ext>
          </c:extLst>
        </c:ser>
        <c:ser>
          <c:idx val="4"/>
          <c:order val="4"/>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Tables!$A$101:$A$110</c:f>
              <c:numCache>
                <c:formatCode>General</c:formatCode>
                <c:ptCount val="10"/>
                <c:pt idx="0">
                  <c:v>1.0580000000000001E-2</c:v>
                </c:pt>
                <c:pt idx="1">
                  <c:v>1.2960000000000001E-2</c:v>
                </c:pt>
                <c:pt idx="2">
                  <c:v>1.444E-2</c:v>
                </c:pt>
                <c:pt idx="3">
                  <c:v>1.8669999999999999E-2</c:v>
                </c:pt>
                <c:pt idx="4">
                  <c:v>2.5259999999999998E-2</c:v>
                </c:pt>
                <c:pt idx="5">
                  <c:v>3.5150000000000001E-2</c:v>
                </c:pt>
                <c:pt idx="6">
                  <c:v>4.258E-2</c:v>
                </c:pt>
                <c:pt idx="7">
                  <c:v>5.015E-2</c:v>
                </c:pt>
                <c:pt idx="8">
                  <c:v>6.5180000000000002E-2</c:v>
                </c:pt>
                <c:pt idx="9">
                  <c:v>0.08</c:v>
                </c:pt>
              </c:numCache>
            </c:numRef>
          </c:xVal>
          <c:yVal>
            <c:numRef>
              <c:f>Tables!$F$101:$F$110</c:f>
              <c:numCache>
                <c:formatCode>General</c:formatCode>
                <c:ptCount val="10"/>
                <c:pt idx="0">
                  <c:v>196</c:v>
                </c:pt>
                <c:pt idx="1">
                  <c:v>226</c:v>
                </c:pt>
                <c:pt idx="2">
                  <c:v>233</c:v>
                </c:pt>
                <c:pt idx="3">
                  <c:v>240</c:v>
                </c:pt>
                <c:pt idx="4">
                  <c:v>226</c:v>
                </c:pt>
                <c:pt idx="5">
                  <c:v>179</c:v>
                </c:pt>
                <c:pt idx="6">
                  <c:v>148</c:v>
                </c:pt>
                <c:pt idx="7">
                  <c:v>119</c:v>
                </c:pt>
                <c:pt idx="8">
                  <c:v>72</c:v>
                </c:pt>
                <c:pt idx="9">
                  <c:v>37</c:v>
                </c:pt>
              </c:numCache>
            </c:numRef>
          </c:yVal>
          <c:smooth val="0"/>
          <c:extLst>
            <c:ext xmlns:c16="http://schemas.microsoft.com/office/drawing/2014/chart" uri="{C3380CC4-5D6E-409C-BE32-E72D297353CC}">
              <c16:uniqueId val="{00000004-3EB8-46C4-906E-7191D40605E5}"/>
            </c:ext>
          </c:extLst>
        </c:ser>
        <c:dLbls>
          <c:showLegendKey val="0"/>
          <c:showVal val="0"/>
          <c:showCatName val="0"/>
          <c:showSerName val="0"/>
          <c:showPercent val="0"/>
          <c:showBubbleSize val="0"/>
        </c:dLbls>
        <c:axId val="2113893584"/>
        <c:axId val="2113900784"/>
      </c:scatterChart>
      <c:valAx>
        <c:axId val="21138935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tw/D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00784"/>
        <c:crosses val="autoZero"/>
        <c:crossBetween val="midCat"/>
      </c:valAx>
      <c:valAx>
        <c:axId val="2113900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9358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Geometry Factor for Cyclic Circumferential Stress (GHr)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Tables!$A$125:$A$134</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Tables!$B$125:$B$134</c:f>
              <c:numCache>
                <c:formatCode>General</c:formatCode>
                <c:ptCount val="10"/>
                <c:pt idx="0">
                  <c:v>1.006</c:v>
                </c:pt>
                <c:pt idx="1">
                  <c:v>1.0609999999999999</c:v>
                </c:pt>
                <c:pt idx="2">
                  <c:v>1.085</c:v>
                </c:pt>
                <c:pt idx="3">
                  <c:v>1.08</c:v>
                </c:pt>
                <c:pt idx="4">
                  <c:v>1.048</c:v>
                </c:pt>
                <c:pt idx="5">
                  <c:v>1</c:v>
                </c:pt>
                <c:pt idx="6">
                  <c:v>0.88200000000000001</c:v>
                </c:pt>
                <c:pt idx="7">
                  <c:v>0.78100000000000003</c:v>
                </c:pt>
                <c:pt idx="8">
                  <c:v>0.65300000000000002</c:v>
                </c:pt>
                <c:pt idx="9">
                  <c:v>0.57899999999999996</c:v>
                </c:pt>
              </c:numCache>
            </c:numRef>
          </c:yVal>
          <c:smooth val="0"/>
          <c:extLst>
            <c:ext xmlns:c16="http://schemas.microsoft.com/office/drawing/2014/chart" uri="{C3380CC4-5D6E-409C-BE32-E72D297353CC}">
              <c16:uniqueId val="{00000000-28D5-4812-B1D8-3391B85BDDDE}"/>
            </c:ext>
          </c:extLst>
        </c:ser>
        <c:ser>
          <c:idx val="4"/>
          <c:order val="1"/>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Tables!$A$125:$A$134</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Tables!$D$125:$D$134</c:f>
              <c:numCache>
                <c:formatCode>General</c:formatCode>
                <c:ptCount val="10"/>
                <c:pt idx="0">
                  <c:v>0.68100000000000005</c:v>
                </c:pt>
                <c:pt idx="1">
                  <c:v>0.72</c:v>
                </c:pt>
                <c:pt idx="2">
                  <c:v>0.73</c:v>
                </c:pt>
                <c:pt idx="3">
                  <c:v>0.72399999999999998</c:v>
                </c:pt>
                <c:pt idx="4">
                  <c:v>0.70599999999999996</c:v>
                </c:pt>
                <c:pt idx="5">
                  <c:v>0.68100000000000005</c:v>
                </c:pt>
                <c:pt idx="6">
                  <c:v>0.625</c:v>
                </c:pt>
                <c:pt idx="7">
                  <c:v>0.57299999999999995</c:v>
                </c:pt>
                <c:pt idx="8">
                  <c:v>0.501</c:v>
                </c:pt>
                <c:pt idx="9">
                  <c:v>0.45300000000000001</c:v>
                </c:pt>
              </c:numCache>
            </c:numRef>
          </c:yVal>
          <c:smooth val="0"/>
          <c:extLst>
            <c:ext xmlns:c16="http://schemas.microsoft.com/office/drawing/2014/chart" uri="{C3380CC4-5D6E-409C-BE32-E72D297353CC}">
              <c16:uniqueId val="{00000004-28D5-4812-B1D8-3391B85BDDDE}"/>
            </c:ext>
          </c:extLst>
        </c:ser>
        <c:ser>
          <c:idx val="3"/>
          <c:order val="2"/>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Tables!$A$125:$A$134</c:f>
              <c:numCache>
                <c:formatCode>General</c:formatCode>
                <c:ptCount val="10"/>
                <c:pt idx="0">
                  <c:v>2</c:v>
                </c:pt>
                <c:pt idx="1">
                  <c:v>4</c:v>
                </c:pt>
                <c:pt idx="2">
                  <c:v>6</c:v>
                </c:pt>
                <c:pt idx="3">
                  <c:v>8</c:v>
                </c:pt>
                <c:pt idx="4">
                  <c:v>10</c:v>
                </c:pt>
                <c:pt idx="5">
                  <c:v>12</c:v>
                </c:pt>
                <c:pt idx="6">
                  <c:v>18</c:v>
                </c:pt>
                <c:pt idx="7">
                  <c:v>24</c:v>
                </c:pt>
                <c:pt idx="8">
                  <c:v>34</c:v>
                </c:pt>
                <c:pt idx="9">
                  <c:v>42</c:v>
                </c:pt>
              </c:numCache>
            </c:numRef>
          </c:xVal>
          <c:yVal>
            <c:numRef>
              <c:f>Tables!$F$125:$F$134</c:f>
              <c:numCache>
                <c:formatCode>General</c:formatCode>
                <c:ptCount val="10"/>
                <c:pt idx="0">
                  <c:v>0.48599999999999999</c:v>
                </c:pt>
                <c:pt idx="1">
                  <c:v>0.51300000000000001</c:v>
                </c:pt>
                <c:pt idx="2">
                  <c:v>0.51300000000000001</c:v>
                </c:pt>
                <c:pt idx="3">
                  <c:v>0.50700000000000001</c:v>
                </c:pt>
                <c:pt idx="4">
                  <c:v>0.495</c:v>
                </c:pt>
                <c:pt idx="5">
                  <c:v>0.48299999999999998</c:v>
                </c:pt>
                <c:pt idx="6">
                  <c:v>0.45100000000000001</c:v>
                </c:pt>
                <c:pt idx="7">
                  <c:v>0.42099999999999999</c:v>
                </c:pt>
                <c:pt idx="8">
                  <c:v>0.374</c:v>
                </c:pt>
                <c:pt idx="9">
                  <c:v>0.34</c:v>
                </c:pt>
              </c:numCache>
            </c:numRef>
          </c:yVal>
          <c:smooth val="0"/>
          <c:extLst>
            <c:ext xmlns:c16="http://schemas.microsoft.com/office/drawing/2014/chart" uri="{C3380CC4-5D6E-409C-BE32-E72D297353CC}">
              <c16:uniqueId val="{00000006-28D5-4812-B1D8-3391B85BDDDE}"/>
            </c:ext>
          </c:extLst>
        </c:ser>
        <c:dLbls>
          <c:showLegendKey val="0"/>
          <c:showVal val="0"/>
          <c:showCatName val="0"/>
          <c:showSerName val="0"/>
          <c:showPercent val="0"/>
          <c:showBubbleSize val="0"/>
        </c:dLbls>
        <c:axId val="865968335"/>
        <c:axId val="865970255"/>
      </c:scatterChart>
      <c:valAx>
        <c:axId val="86596833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70255"/>
        <c:crosses val="autoZero"/>
        <c:crossBetween val="midCat"/>
      </c:valAx>
      <c:valAx>
        <c:axId val="8659702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59683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Double Track Factor for Circumferential Stress (NH)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Tables!$A$141:$A$142</c:f>
              <c:numCache>
                <c:formatCode>General</c:formatCode>
                <c:ptCount val="2"/>
                <c:pt idx="0">
                  <c:v>2</c:v>
                </c:pt>
                <c:pt idx="1">
                  <c:v>42</c:v>
                </c:pt>
              </c:numCache>
            </c:numRef>
          </c:xVal>
          <c:yVal>
            <c:numRef>
              <c:f>Tables!$B$141:$B$142</c:f>
              <c:numCache>
                <c:formatCode>General</c:formatCode>
                <c:ptCount val="2"/>
                <c:pt idx="0">
                  <c:v>1.0628</c:v>
                </c:pt>
                <c:pt idx="1">
                  <c:v>1.3495999999999999</c:v>
                </c:pt>
              </c:numCache>
            </c:numRef>
          </c:yVal>
          <c:smooth val="0"/>
          <c:extLst>
            <c:ext xmlns:c16="http://schemas.microsoft.com/office/drawing/2014/chart" uri="{C3380CC4-5D6E-409C-BE32-E72D297353CC}">
              <c16:uniqueId val="{00000000-DDCF-496E-A44A-9A6A9D4EE46E}"/>
            </c:ext>
          </c:extLst>
        </c:ser>
        <c:ser>
          <c:idx val="4"/>
          <c:order val="1"/>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Tables!$A$141:$A$142</c:f>
              <c:numCache>
                <c:formatCode>General</c:formatCode>
                <c:ptCount val="2"/>
                <c:pt idx="0">
                  <c:v>2</c:v>
                </c:pt>
                <c:pt idx="1">
                  <c:v>42</c:v>
                </c:pt>
              </c:numCache>
            </c:numRef>
          </c:xVal>
          <c:yVal>
            <c:numRef>
              <c:f>Tables!$D$141:$D$142</c:f>
              <c:numCache>
                <c:formatCode>General</c:formatCode>
                <c:ptCount val="2"/>
                <c:pt idx="0">
                  <c:v>1.2107000000000001</c:v>
                </c:pt>
                <c:pt idx="1">
                  <c:v>1.4106000000000001</c:v>
                </c:pt>
              </c:numCache>
            </c:numRef>
          </c:yVal>
          <c:smooth val="0"/>
          <c:extLst>
            <c:ext xmlns:c16="http://schemas.microsoft.com/office/drawing/2014/chart" uri="{C3380CC4-5D6E-409C-BE32-E72D297353CC}">
              <c16:uniqueId val="{00000004-DDCF-496E-A44A-9A6A9D4EE46E}"/>
            </c:ext>
          </c:extLst>
        </c:ser>
        <c:ser>
          <c:idx val="3"/>
          <c:order val="2"/>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Tables!$A$141:$A$142</c:f>
              <c:numCache>
                <c:formatCode>General</c:formatCode>
                <c:ptCount val="2"/>
                <c:pt idx="0">
                  <c:v>2</c:v>
                </c:pt>
                <c:pt idx="1">
                  <c:v>42</c:v>
                </c:pt>
              </c:numCache>
            </c:numRef>
          </c:xVal>
          <c:yVal>
            <c:numRef>
              <c:f>Tables!$F$141:$F$142</c:f>
              <c:numCache>
                <c:formatCode>General</c:formatCode>
                <c:ptCount val="2"/>
                <c:pt idx="0">
                  <c:v>1.3594999999999999</c:v>
                </c:pt>
                <c:pt idx="1">
                  <c:v>1.5620000000000001</c:v>
                </c:pt>
              </c:numCache>
            </c:numRef>
          </c:yVal>
          <c:smooth val="0"/>
          <c:extLst>
            <c:ext xmlns:c16="http://schemas.microsoft.com/office/drawing/2014/chart" uri="{C3380CC4-5D6E-409C-BE32-E72D297353CC}">
              <c16:uniqueId val="{00000006-DDCF-496E-A44A-9A6A9D4EE46E}"/>
            </c:ext>
          </c:extLst>
        </c:ser>
        <c:dLbls>
          <c:showLegendKey val="0"/>
          <c:showVal val="0"/>
          <c:showCatName val="0"/>
          <c:showSerName val="0"/>
          <c:showPercent val="0"/>
          <c:showBubbleSize val="0"/>
        </c:dLbls>
        <c:axId val="204800944"/>
        <c:axId val="204797104"/>
      </c:scatterChart>
      <c:valAx>
        <c:axId val="2048009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97104"/>
        <c:crosses val="autoZero"/>
        <c:crossBetween val="midCat"/>
      </c:valAx>
      <c:valAx>
        <c:axId val="2047971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00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Stiffness Factor for Cyclic Longitudinal Stress (KLr)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Tables!$A$247:$A$252</c:f>
              <c:numCache>
                <c:formatCode>General</c:formatCode>
                <c:ptCount val="6"/>
                <c:pt idx="0">
                  <c:v>1.03E-2</c:v>
                </c:pt>
                <c:pt idx="1">
                  <c:v>1.4999999999999999E-2</c:v>
                </c:pt>
                <c:pt idx="2">
                  <c:v>0.02</c:v>
                </c:pt>
                <c:pt idx="3">
                  <c:v>0.03</c:v>
                </c:pt>
                <c:pt idx="4">
                  <c:v>0.05</c:v>
                </c:pt>
                <c:pt idx="5">
                  <c:v>0.08</c:v>
                </c:pt>
              </c:numCache>
            </c:numRef>
          </c:xVal>
          <c:yVal>
            <c:numRef>
              <c:f>Tables!$B$247:$B$252</c:f>
              <c:numCache>
                <c:formatCode>General</c:formatCode>
                <c:ptCount val="6"/>
                <c:pt idx="0">
                  <c:v>550</c:v>
                </c:pt>
                <c:pt idx="1">
                  <c:v>500</c:v>
                </c:pt>
                <c:pt idx="2">
                  <c:v>462</c:v>
                </c:pt>
                <c:pt idx="3">
                  <c:v>412</c:v>
                </c:pt>
                <c:pt idx="4">
                  <c:v>318</c:v>
                </c:pt>
                <c:pt idx="5">
                  <c:v>228</c:v>
                </c:pt>
              </c:numCache>
            </c:numRef>
          </c:yVal>
          <c:smooth val="0"/>
          <c:extLst>
            <c:ext xmlns:c16="http://schemas.microsoft.com/office/drawing/2014/chart" uri="{C3380CC4-5D6E-409C-BE32-E72D297353CC}">
              <c16:uniqueId val="{00000000-9130-4E6D-958E-04F8769E17E0}"/>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Tables!$A$247:$A$252</c:f>
              <c:numCache>
                <c:formatCode>General</c:formatCode>
                <c:ptCount val="6"/>
                <c:pt idx="0">
                  <c:v>1.03E-2</c:v>
                </c:pt>
                <c:pt idx="1">
                  <c:v>1.4999999999999999E-2</c:v>
                </c:pt>
                <c:pt idx="2">
                  <c:v>0.02</c:v>
                </c:pt>
                <c:pt idx="3">
                  <c:v>0.03</c:v>
                </c:pt>
                <c:pt idx="4">
                  <c:v>0.05</c:v>
                </c:pt>
                <c:pt idx="5">
                  <c:v>0.08</c:v>
                </c:pt>
              </c:numCache>
            </c:numRef>
          </c:xVal>
          <c:yVal>
            <c:numRef>
              <c:f>Tables!$D$247:$D$252</c:f>
              <c:numCache>
                <c:formatCode>General</c:formatCode>
                <c:ptCount val="6"/>
                <c:pt idx="0">
                  <c:v>384</c:v>
                </c:pt>
                <c:pt idx="1">
                  <c:v>340</c:v>
                </c:pt>
                <c:pt idx="2">
                  <c:v>313</c:v>
                </c:pt>
                <c:pt idx="3">
                  <c:v>274</c:v>
                </c:pt>
                <c:pt idx="4">
                  <c:v>212</c:v>
                </c:pt>
                <c:pt idx="5">
                  <c:v>169</c:v>
                </c:pt>
              </c:numCache>
            </c:numRef>
          </c:yVal>
          <c:smooth val="0"/>
          <c:extLst>
            <c:ext xmlns:c16="http://schemas.microsoft.com/office/drawing/2014/chart" uri="{C3380CC4-5D6E-409C-BE32-E72D297353CC}">
              <c16:uniqueId val="{00000006-9130-4E6D-958E-04F8769E17E0}"/>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Tables!$A$247:$A$252</c:f>
              <c:numCache>
                <c:formatCode>General</c:formatCode>
                <c:ptCount val="6"/>
                <c:pt idx="0">
                  <c:v>1.03E-2</c:v>
                </c:pt>
                <c:pt idx="1">
                  <c:v>1.4999999999999999E-2</c:v>
                </c:pt>
                <c:pt idx="2">
                  <c:v>0.02</c:v>
                </c:pt>
                <c:pt idx="3">
                  <c:v>0.03</c:v>
                </c:pt>
                <c:pt idx="4">
                  <c:v>0.05</c:v>
                </c:pt>
                <c:pt idx="5">
                  <c:v>0.08</c:v>
                </c:pt>
              </c:numCache>
            </c:numRef>
          </c:xVal>
          <c:yVal>
            <c:numRef>
              <c:f>Tables!$F$247:$F$252</c:f>
              <c:numCache>
                <c:formatCode>General</c:formatCode>
                <c:ptCount val="6"/>
                <c:pt idx="0">
                  <c:v>258</c:v>
                </c:pt>
                <c:pt idx="1">
                  <c:v>232</c:v>
                </c:pt>
                <c:pt idx="2">
                  <c:v>216</c:v>
                </c:pt>
                <c:pt idx="3">
                  <c:v>192</c:v>
                </c:pt>
                <c:pt idx="4">
                  <c:v>152</c:v>
                </c:pt>
                <c:pt idx="5">
                  <c:v>126</c:v>
                </c:pt>
              </c:numCache>
            </c:numRef>
          </c:yVal>
          <c:smooth val="0"/>
          <c:extLst>
            <c:ext xmlns:c16="http://schemas.microsoft.com/office/drawing/2014/chart" uri="{C3380CC4-5D6E-409C-BE32-E72D297353CC}">
              <c16:uniqueId val="{00000008-9130-4E6D-958E-04F8769E17E0}"/>
            </c:ext>
          </c:extLst>
        </c:ser>
        <c:dLbls>
          <c:showLegendKey val="0"/>
          <c:showVal val="0"/>
          <c:showCatName val="0"/>
          <c:showSerName val="0"/>
          <c:showPercent val="0"/>
          <c:showBubbleSize val="0"/>
        </c:dLbls>
        <c:axId val="2113904144"/>
        <c:axId val="2113895984"/>
      </c:scatterChart>
      <c:valAx>
        <c:axId val="21139041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tw/D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895984"/>
        <c:crosses val="autoZero"/>
        <c:crossBetween val="midCat"/>
      </c:valAx>
      <c:valAx>
        <c:axId val="2113895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KLr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9041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Geometry Factor for Cyclic Longitudinal Stress (GLr)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Tables!$A$263:$A$270</c:f>
              <c:numCache>
                <c:formatCode>General</c:formatCode>
                <c:ptCount val="8"/>
                <c:pt idx="0">
                  <c:v>2</c:v>
                </c:pt>
                <c:pt idx="1">
                  <c:v>4</c:v>
                </c:pt>
                <c:pt idx="2">
                  <c:v>6</c:v>
                </c:pt>
                <c:pt idx="3">
                  <c:v>8</c:v>
                </c:pt>
                <c:pt idx="4">
                  <c:v>10</c:v>
                </c:pt>
                <c:pt idx="5">
                  <c:v>12</c:v>
                </c:pt>
                <c:pt idx="6">
                  <c:v>26</c:v>
                </c:pt>
                <c:pt idx="7">
                  <c:v>42</c:v>
                </c:pt>
              </c:numCache>
            </c:numRef>
          </c:xVal>
          <c:yVal>
            <c:numRef>
              <c:f>Tables!$B$263:$B$270</c:f>
              <c:numCache>
                <c:formatCode>General</c:formatCode>
                <c:ptCount val="8"/>
                <c:pt idx="0">
                  <c:v>2.2610000000000001</c:v>
                </c:pt>
                <c:pt idx="1">
                  <c:v>1.5309999999999999</c:v>
                </c:pt>
                <c:pt idx="2">
                  <c:v>1.2450000000000001</c:v>
                </c:pt>
                <c:pt idx="3">
                  <c:v>1.115</c:v>
                </c:pt>
                <c:pt idx="4">
                  <c:v>1.038</c:v>
                </c:pt>
                <c:pt idx="5">
                  <c:v>0.98699999999999999</c:v>
                </c:pt>
                <c:pt idx="6">
                  <c:v>0.7</c:v>
                </c:pt>
                <c:pt idx="7">
                  <c:v>0.40400000000000003</c:v>
                </c:pt>
              </c:numCache>
            </c:numRef>
          </c:yVal>
          <c:smooth val="0"/>
          <c:extLst>
            <c:ext xmlns:c16="http://schemas.microsoft.com/office/drawing/2014/chart" uri="{C3380CC4-5D6E-409C-BE32-E72D297353CC}">
              <c16:uniqueId val="{00000000-ADCB-48ED-9DC0-B52BDD751C35}"/>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Tables!$A$263:$A$270</c:f>
              <c:numCache>
                <c:formatCode>General</c:formatCode>
                <c:ptCount val="8"/>
                <c:pt idx="0">
                  <c:v>2</c:v>
                </c:pt>
                <c:pt idx="1">
                  <c:v>4</c:v>
                </c:pt>
                <c:pt idx="2">
                  <c:v>6</c:v>
                </c:pt>
                <c:pt idx="3">
                  <c:v>8</c:v>
                </c:pt>
                <c:pt idx="4">
                  <c:v>10</c:v>
                </c:pt>
                <c:pt idx="5">
                  <c:v>12</c:v>
                </c:pt>
                <c:pt idx="6">
                  <c:v>26</c:v>
                </c:pt>
                <c:pt idx="7">
                  <c:v>42</c:v>
                </c:pt>
              </c:numCache>
            </c:numRef>
          </c:xVal>
          <c:yVal>
            <c:numRef>
              <c:f>Tables!$D$263:$D$270</c:f>
              <c:numCache>
                <c:formatCode>General</c:formatCode>
                <c:ptCount val="8"/>
                <c:pt idx="0">
                  <c:v>1.7050000000000001</c:v>
                </c:pt>
                <c:pt idx="1">
                  <c:v>1.117</c:v>
                </c:pt>
                <c:pt idx="2">
                  <c:v>0.91600000000000004</c:v>
                </c:pt>
                <c:pt idx="3">
                  <c:v>0.81899999999999995</c:v>
                </c:pt>
                <c:pt idx="4">
                  <c:v>0.77300000000000002</c:v>
                </c:pt>
                <c:pt idx="5">
                  <c:v>0.74</c:v>
                </c:pt>
                <c:pt idx="6">
                  <c:v>0.53200000000000003</c:v>
                </c:pt>
                <c:pt idx="7">
                  <c:v>0.312</c:v>
                </c:pt>
              </c:numCache>
            </c:numRef>
          </c:yVal>
          <c:smooth val="0"/>
          <c:extLst>
            <c:ext xmlns:c16="http://schemas.microsoft.com/office/drawing/2014/chart" uri="{C3380CC4-5D6E-409C-BE32-E72D297353CC}">
              <c16:uniqueId val="{00000002-ADCB-48ED-9DC0-B52BDD751C35}"/>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Tables!$A$263:$A$270</c:f>
              <c:numCache>
                <c:formatCode>General</c:formatCode>
                <c:ptCount val="8"/>
                <c:pt idx="0">
                  <c:v>2</c:v>
                </c:pt>
                <c:pt idx="1">
                  <c:v>4</c:v>
                </c:pt>
                <c:pt idx="2">
                  <c:v>6</c:v>
                </c:pt>
                <c:pt idx="3">
                  <c:v>8</c:v>
                </c:pt>
                <c:pt idx="4">
                  <c:v>10</c:v>
                </c:pt>
                <c:pt idx="5">
                  <c:v>12</c:v>
                </c:pt>
                <c:pt idx="6">
                  <c:v>26</c:v>
                </c:pt>
                <c:pt idx="7">
                  <c:v>42</c:v>
                </c:pt>
              </c:numCache>
            </c:numRef>
          </c:xVal>
          <c:yVal>
            <c:numRef>
              <c:f>Tables!$F$263:$F$270</c:f>
              <c:numCache>
                <c:formatCode>General</c:formatCode>
                <c:ptCount val="8"/>
                <c:pt idx="0">
                  <c:v>1.2430000000000001</c:v>
                </c:pt>
                <c:pt idx="1">
                  <c:v>0.85199999999999998</c:v>
                </c:pt>
                <c:pt idx="2">
                  <c:v>0.67900000000000005</c:v>
                </c:pt>
                <c:pt idx="3">
                  <c:v>0.58199999999999996</c:v>
                </c:pt>
                <c:pt idx="4">
                  <c:v>0.54100000000000004</c:v>
                </c:pt>
                <c:pt idx="5">
                  <c:v>0.51600000000000001</c:v>
                </c:pt>
                <c:pt idx="6">
                  <c:v>0.38100000000000001</c:v>
                </c:pt>
                <c:pt idx="7">
                  <c:v>0.23100000000000001</c:v>
                </c:pt>
              </c:numCache>
            </c:numRef>
          </c:yVal>
          <c:smooth val="0"/>
          <c:extLst>
            <c:ext xmlns:c16="http://schemas.microsoft.com/office/drawing/2014/chart" uri="{C3380CC4-5D6E-409C-BE32-E72D297353CC}">
              <c16:uniqueId val="{00000004-ADCB-48ED-9DC0-B52BDD751C35}"/>
            </c:ext>
          </c:extLst>
        </c:ser>
        <c:dLbls>
          <c:showLegendKey val="0"/>
          <c:showVal val="0"/>
          <c:showCatName val="0"/>
          <c:showSerName val="0"/>
          <c:showPercent val="0"/>
          <c:showBubbleSize val="0"/>
        </c:dLbls>
        <c:axId val="205632416"/>
        <c:axId val="205633376"/>
      </c:scatterChart>
      <c:valAx>
        <c:axId val="2056324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3376"/>
        <c:crosses val="autoZero"/>
        <c:crossBetween val="midCat"/>
      </c:valAx>
      <c:valAx>
        <c:axId val="205633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GLr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241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Railroad Double Track Factor for Longitudinal Stress (NL)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Tables!$A$277:$A$280</c:f>
              <c:numCache>
                <c:formatCode>General</c:formatCode>
                <c:ptCount val="4"/>
                <c:pt idx="0">
                  <c:v>2.19</c:v>
                </c:pt>
                <c:pt idx="1">
                  <c:v>14.238</c:v>
                </c:pt>
                <c:pt idx="2">
                  <c:v>24.507000000000001</c:v>
                </c:pt>
                <c:pt idx="3">
                  <c:v>42</c:v>
                </c:pt>
              </c:numCache>
            </c:numRef>
          </c:xVal>
          <c:yVal>
            <c:numRef>
              <c:f>Tables!$B$277:$B$280</c:f>
              <c:numCache>
                <c:formatCode>General</c:formatCode>
                <c:ptCount val="4"/>
                <c:pt idx="0">
                  <c:v>1.0329999999999999</c:v>
                </c:pt>
                <c:pt idx="1">
                  <c:v>1.0189999999999999</c:v>
                </c:pt>
                <c:pt idx="2">
                  <c:v>1.008</c:v>
                </c:pt>
                <c:pt idx="3">
                  <c:v>1.29</c:v>
                </c:pt>
              </c:numCache>
            </c:numRef>
          </c:yVal>
          <c:smooth val="0"/>
          <c:extLst>
            <c:ext xmlns:c16="http://schemas.microsoft.com/office/drawing/2014/chart" uri="{C3380CC4-5D6E-409C-BE32-E72D297353CC}">
              <c16:uniqueId val="{00000000-1DDB-44C4-A1B2-F580588B4B5F}"/>
            </c:ext>
          </c:extLst>
        </c:ser>
        <c:ser>
          <c:idx val="2"/>
          <c:order val="1"/>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Tables!$A$277:$A$280</c:f>
              <c:numCache>
                <c:formatCode>General</c:formatCode>
                <c:ptCount val="4"/>
                <c:pt idx="0">
                  <c:v>2.19</c:v>
                </c:pt>
                <c:pt idx="1">
                  <c:v>14.238</c:v>
                </c:pt>
                <c:pt idx="2">
                  <c:v>24.507000000000001</c:v>
                </c:pt>
                <c:pt idx="3">
                  <c:v>42</c:v>
                </c:pt>
              </c:numCache>
            </c:numRef>
          </c:xVal>
          <c:yVal>
            <c:numRef>
              <c:f>Tables!$D$277:$D$280</c:f>
              <c:numCache>
                <c:formatCode>General</c:formatCode>
                <c:ptCount val="4"/>
                <c:pt idx="0">
                  <c:v>1.0329999999999999</c:v>
                </c:pt>
                <c:pt idx="1">
                  <c:v>1.07</c:v>
                </c:pt>
                <c:pt idx="2">
                  <c:v>1.1000000000000001</c:v>
                </c:pt>
                <c:pt idx="3">
                  <c:v>1.4530000000000001</c:v>
                </c:pt>
              </c:numCache>
            </c:numRef>
          </c:yVal>
          <c:smooth val="0"/>
          <c:extLst>
            <c:ext xmlns:c16="http://schemas.microsoft.com/office/drawing/2014/chart" uri="{C3380CC4-5D6E-409C-BE32-E72D297353CC}">
              <c16:uniqueId val="{00000002-1DDB-44C4-A1B2-F580588B4B5F}"/>
            </c:ext>
          </c:extLst>
        </c:ser>
        <c:ser>
          <c:idx val="4"/>
          <c:order val="2"/>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Tables!$A$277:$A$280</c:f>
              <c:numCache>
                <c:formatCode>General</c:formatCode>
                <c:ptCount val="4"/>
                <c:pt idx="0">
                  <c:v>2.19</c:v>
                </c:pt>
                <c:pt idx="1">
                  <c:v>14.238</c:v>
                </c:pt>
                <c:pt idx="2">
                  <c:v>24.507000000000001</c:v>
                </c:pt>
                <c:pt idx="3">
                  <c:v>42</c:v>
                </c:pt>
              </c:numCache>
            </c:numRef>
          </c:xVal>
          <c:yVal>
            <c:numRef>
              <c:f>Tables!$F$277:$F$280</c:f>
              <c:numCache>
                <c:formatCode>General</c:formatCode>
                <c:ptCount val="4"/>
                <c:pt idx="0">
                  <c:v>1.1319999999999999</c:v>
                </c:pt>
                <c:pt idx="1">
                  <c:v>1.32</c:v>
                </c:pt>
                <c:pt idx="2">
                  <c:v>1.3080000000000001</c:v>
                </c:pt>
                <c:pt idx="3">
                  <c:v>1.4970000000000001</c:v>
                </c:pt>
              </c:numCache>
            </c:numRef>
          </c:yVal>
          <c:smooth val="0"/>
          <c:extLst>
            <c:ext xmlns:c16="http://schemas.microsoft.com/office/drawing/2014/chart" uri="{C3380CC4-5D6E-409C-BE32-E72D297353CC}">
              <c16:uniqueId val="{00000004-1DDB-44C4-A1B2-F580588B4B5F}"/>
            </c:ext>
          </c:extLst>
        </c:ser>
        <c:dLbls>
          <c:showLegendKey val="0"/>
          <c:showVal val="0"/>
          <c:showCatName val="0"/>
          <c:showSerName val="0"/>
          <c:showPercent val="0"/>
          <c:showBubbleSize val="0"/>
        </c:dLbls>
        <c:axId val="205638176"/>
        <c:axId val="205633856"/>
      </c:scatterChart>
      <c:valAx>
        <c:axId val="20563817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 (in)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3856"/>
        <c:crosses val="autoZero"/>
        <c:crossBetween val="midCat"/>
      </c:valAx>
      <c:valAx>
        <c:axId val="2056338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6381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2.jpg"/></Relationships>
</file>

<file path=xl/drawings/_rels/drawing2.xml.rels><?xml version="1.0" encoding="UTF-8" standalone="yes"?>
<Relationships xmlns="http://schemas.openxmlformats.org/package/2006/relationships"><Relationship Id="rId1" Type="http://schemas.openxmlformats.org/officeDocument/2006/relationships/image" Target="../media/image13.png"/></Relationships>
</file>

<file path=xl/drawings/_rels/drawing3.xml.rels><?xml version="1.0" encoding="UTF-8" standalone="yes"?>
<Relationships xmlns="http://schemas.openxmlformats.org/package/2006/relationships"><Relationship Id="rId8" Type="http://schemas.openxmlformats.org/officeDocument/2006/relationships/image" Target="../media/image21.png"/><Relationship Id="rId13" Type="http://schemas.openxmlformats.org/officeDocument/2006/relationships/image" Target="../media/image26.png"/><Relationship Id="rId18" Type="http://schemas.openxmlformats.org/officeDocument/2006/relationships/image" Target="../media/image31.png"/><Relationship Id="rId3" Type="http://schemas.openxmlformats.org/officeDocument/2006/relationships/image" Target="../media/image16.png"/><Relationship Id="rId7" Type="http://schemas.openxmlformats.org/officeDocument/2006/relationships/image" Target="../media/image20.png"/><Relationship Id="rId12" Type="http://schemas.openxmlformats.org/officeDocument/2006/relationships/image" Target="../media/image25.png"/><Relationship Id="rId17" Type="http://schemas.openxmlformats.org/officeDocument/2006/relationships/image" Target="../media/image30.png"/><Relationship Id="rId2" Type="http://schemas.openxmlformats.org/officeDocument/2006/relationships/image" Target="../media/image15.png"/><Relationship Id="rId16" Type="http://schemas.openxmlformats.org/officeDocument/2006/relationships/image" Target="../media/image29.png"/><Relationship Id="rId1" Type="http://schemas.openxmlformats.org/officeDocument/2006/relationships/image" Target="../media/image14.png"/><Relationship Id="rId6" Type="http://schemas.openxmlformats.org/officeDocument/2006/relationships/image" Target="../media/image19.png"/><Relationship Id="rId11" Type="http://schemas.openxmlformats.org/officeDocument/2006/relationships/image" Target="../media/image24.png"/><Relationship Id="rId5" Type="http://schemas.openxmlformats.org/officeDocument/2006/relationships/image" Target="../media/image18.png"/><Relationship Id="rId15" Type="http://schemas.openxmlformats.org/officeDocument/2006/relationships/image" Target="../media/image28.png"/><Relationship Id="rId10" Type="http://schemas.openxmlformats.org/officeDocument/2006/relationships/image" Target="../media/image23.png"/><Relationship Id="rId4" Type="http://schemas.openxmlformats.org/officeDocument/2006/relationships/image" Target="../media/image17.png"/><Relationship Id="rId9" Type="http://schemas.openxmlformats.org/officeDocument/2006/relationships/image" Target="../media/image22.png"/><Relationship Id="rId14" Type="http://schemas.openxmlformats.org/officeDocument/2006/relationships/image" Target="../media/image27.png"/></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39.png"/><Relationship Id="rId13" Type="http://schemas.openxmlformats.org/officeDocument/2006/relationships/image" Target="../media/image44.png"/><Relationship Id="rId18" Type="http://schemas.openxmlformats.org/officeDocument/2006/relationships/image" Target="../media/image49.png"/><Relationship Id="rId3" Type="http://schemas.openxmlformats.org/officeDocument/2006/relationships/image" Target="../media/image34.png"/><Relationship Id="rId7" Type="http://schemas.openxmlformats.org/officeDocument/2006/relationships/image" Target="../media/image38.png"/><Relationship Id="rId12" Type="http://schemas.openxmlformats.org/officeDocument/2006/relationships/image" Target="../media/image43.png"/><Relationship Id="rId17" Type="http://schemas.openxmlformats.org/officeDocument/2006/relationships/image" Target="../media/image48.png"/><Relationship Id="rId2" Type="http://schemas.openxmlformats.org/officeDocument/2006/relationships/image" Target="../media/image33.png"/><Relationship Id="rId16" Type="http://schemas.openxmlformats.org/officeDocument/2006/relationships/image" Target="../media/image47.png"/><Relationship Id="rId1" Type="http://schemas.openxmlformats.org/officeDocument/2006/relationships/image" Target="../media/image32.png"/><Relationship Id="rId6" Type="http://schemas.openxmlformats.org/officeDocument/2006/relationships/image" Target="../media/image37.png"/><Relationship Id="rId11" Type="http://schemas.openxmlformats.org/officeDocument/2006/relationships/image" Target="../media/image42.png"/><Relationship Id="rId5" Type="http://schemas.openxmlformats.org/officeDocument/2006/relationships/image" Target="../media/image36.png"/><Relationship Id="rId15" Type="http://schemas.openxmlformats.org/officeDocument/2006/relationships/image" Target="../media/image46.png"/><Relationship Id="rId10" Type="http://schemas.openxmlformats.org/officeDocument/2006/relationships/image" Target="../media/image41.png"/><Relationship Id="rId19" Type="http://schemas.openxmlformats.org/officeDocument/2006/relationships/image" Target="../media/image50.png"/><Relationship Id="rId4" Type="http://schemas.openxmlformats.org/officeDocument/2006/relationships/image" Target="../media/image35.png"/><Relationship Id="rId9" Type="http://schemas.openxmlformats.org/officeDocument/2006/relationships/image" Target="../media/image40.png"/><Relationship Id="rId14" Type="http://schemas.openxmlformats.org/officeDocument/2006/relationships/image" Target="../media/image45.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2</xdr:row>
      <xdr:rowOff>22860</xdr:rowOff>
    </xdr:from>
    <xdr:to>
      <xdr:col>2</xdr:col>
      <xdr:colOff>192405</xdr:colOff>
      <xdr:row>4</xdr:row>
      <xdr:rowOff>118673</xdr:rowOff>
    </xdr:to>
    <xdr:pic>
      <xdr:nvPicPr>
        <xdr:cNvPr id="2" name="Picture 1">
          <a:extLst>
            <a:ext uri="{FF2B5EF4-FFF2-40B4-BE49-F238E27FC236}">
              <a16:creationId xmlns:a16="http://schemas.microsoft.com/office/drawing/2014/main" id="{6EB80C3A-CA72-4264-A2B3-169D967B29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40080" y="358140"/>
          <a:ext cx="794385" cy="4615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456228</xdr:colOff>
      <xdr:row>69</xdr:row>
      <xdr:rowOff>181280</xdr:rowOff>
    </xdr:to>
    <xdr:pic>
      <xdr:nvPicPr>
        <xdr:cNvPr id="3" name="Picture 2">
          <a:extLst>
            <a:ext uri="{FF2B5EF4-FFF2-40B4-BE49-F238E27FC236}">
              <a16:creationId xmlns:a16="http://schemas.microsoft.com/office/drawing/2014/main" id="{34C1EA32-5214-8F24-5FEB-8B041827D911}"/>
            </a:ext>
          </a:extLst>
        </xdr:cNvPr>
        <xdr:cNvPicPr>
          <a:picLocks noChangeAspect="1"/>
        </xdr:cNvPicPr>
      </xdr:nvPicPr>
      <xdr:blipFill>
        <a:blip xmlns:r="http://schemas.openxmlformats.org/officeDocument/2006/relationships" r:embed="rId1"/>
        <a:stretch>
          <a:fillRect/>
        </a:stretch>
      </xdr:blipFill>
      <xdr:spPr>
        <a:xfrm>
          <a:off x="0" y="0"/>
          <a:ext cx="7771428" cy="1280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12</xdr:col>
      <xdr:colOff>0</xdr:colOff>
      <xdr:row>33</xdr:row>
      <xdr:rowOff>0</xdr:rowOff>
    </xdr:from>
    <xdr:to>
      <xdr:col>23</xdr:col>
      <xdr:colOff>450200</xdr:colOff>
      <xdr:row>52</xdr:row>
      <xdr:rowOff>167956</xdr:rowOff>
    </xdr:to>
    <xdr:pic>
      <xdr:nvPicPr>
        <xdr:cNvPr id="27" name="Picture 26">
          <a:extLst>
            <a:ext uri="{FF2B5EF4-FFF2-40B4-BE49-F238E27FC236}">
              <a16:creationId xmlns:a16="http://schemas.microsoft.com/office/drawing/2014/main" id="{79EF5CC5-F482-8487-3D07-51090E56C8AD}"/>
            </a:ext>
          </a:extLst>
        </xdr:cNvPr>
        <xdr:cNvPicPr>
          <a:picLocks noChangeAspect="1"/>
          <a:extLst>
            <a:ext uri="{53484399-7A02-498B-ADA4-41CD10E50FAC}">
              <aif:imageFormula xmlns:aif="http://schemas.microsoft.com/office/drawing/2022/imageformula" formula="'Hand Calcs'!M34"/>
            </a:ext>
          </a:extLst>
        </xdr:cNvPicPr>
      </xdr:nvPicPr>
      <xdr:blipFill>
        <a:blip xmlns:r="http://schemas.openxmlformats.org/officeDocument/2006/relationships" r:embed="rId1"/>
        <a:stretch>
          <a:fillRect/>
        </a:stretch>
      </xdr:blipFill>
      <xdr:spPr>
        <a:xfrm>
          <a:off x="22692360" y="5852160"/>
          <a:ext cx="7155800" cy="3642676"/>
        </a:xfrm>
        <a:prstGeom prst="rect">
          <a:avLst/>
        </a:prstGeom>
      </xdr:spPr>
    </xdr:pic>
    <xdr:clientData/>
  </xdr:twoCellAnchor>
  <xdr:twoCellAnchor editAs="oneCell">
    <xdr:from>
      <xdr:col>6</xdr:col>
      <xdr:colOff>38100</xdr:colOff>
      <xdr:row>27</xdr:row>
      <xdr:rowOff>0</xdr:rowOff>
    </xdr:from>
    <xdr:to>
      <xdr:col>8</xdr:col>
      <xdr:colOff>438290</xdr:colOff>
      <xdr:row>28</xdr:row>
      <xdr:rowOff>19068</xdr:rowOff>
    </xdr:to>
    <xdr:pic>
      <xdr:nvPicPr>
        <xdr:cNvPr id="2" name="Picture 1">
          <a:extLst>
            <a:ext uri="{FF2B5EF4-FFF2-40B4-BE49-F238E27FC236}">
              <a16:creationId xmlns:a16="http://schemas.microsoft.com/office/drawing/2014/main" id="{B16357C4-C61F-4C22-B5B1-2987E95B42C2}"/>
            </a:ext>
          </a:extLst>
        </xdr:cNvPr>
        <xdr:cNvPicPr>
          <a:picLocks noChangeAspect="1"/>
        </xdr:cNvPicPr>
      </xdr:nvPicPr>
      <xdr:blipFill>
        <a:blip xmlns:r="http://schemas.openxmlformats.org/officeDocument/2006/relationships" r:embed="rId2"/>
        <a:stretch>
          <a:fillRect/>
        </a:stretch>
      </xdr:blipFill>
      <xdr:spPr>
        <a:xfrm>
          <a:off x="20764500" y="4754880"/>
          <a:ext cx="1619390" cy="201948"/>
        </a:xfrm>
        <a:prstGeom prst="rect">
          <a:avLst/>
        </a:prstGeom>
      </xdr:spPr>
    </xdr:pic>
    <xdr:clientData/>
  </xdr:twoCellAnchor>
  <xdr:twoCellAnchor editAs="oneCell">
    <xdr:from>
      <xdr:col>6</xdr:col>
      <xdr:colOff>45720</xdr:colOff>
      <xdr:row>28</xdr:row>
      <xdr:rowOff>15240</xdr:rowOff>
    </xdr:from>
    <xdr:to>
      <xdr:col>8</xdr:col>
      <xdr:colOff>64877</xdr:colOff>
      <xdr:row>29</xdr:row>
      <xdr:rowOff>3825</xdr:rowOff>
    </xdr:to>
    <xdr:pic>
      <xdr:nvPicPr>
        <xdr:cNvPr id="3" name="Picture 2">
          <a:extLst>
            <a:ext uri="{FF2B5EF4-FFF2-40B4-BE49-F238E27FC236}">
              <a16:creationId xmlns:a16="http://schemas.microsoft.com/office/drawing/2014/main" id="{5B8038CD-153F-41F9-B14F-22BBD51EE8F5}"/>
            </a:ext>
          </a:extLst>
        </xdr:cNvPr>
        <xdr:cNvPicPr>
          <a:picLocks noChangeAspect="1"/>
        </xdr:cNvPicPr>
      </xdr:nvPicPr>
      <xdr:blipFill>
        <a:blip xmlns:r="http://schemas.openxmlformats.org/officeDocument/2006/relationships" r:embed="rId3"/>
        <a:stretch>
          <a:fillRect/>
        </a:stretch>
      </xdr:blipFill>
      <xdr:spPr>
        <a:xfrm>
          <a:off x="20772120" y="4953000"/>
          <a:ext cx="1238357" cy="171465"/>
        </a:xfrm>
        <a:prstGeom prst="rect">
          <a:avLst/>
        </a:prstGeom>
      </xdr:spPr>
    </xdr:pic>
    <xdr:clientData/>
  </xdr:twoCellAnchor>
  <xdr:twoCellAnchor editAs="oneCell">
    <xdr:from>
      <xdr:col>6</xdr:col>
      <xdr:colOff>0</xdr:colOff>
      <xdr:row>33</xdr:row>
      <xdr:rowOff>0</xdr:rowOff>
    </xdr:from>
    <xdr:to>
      <xdr:col>8</xdr:col>
      <xdr:colOff>53450</xdr:colOff>
      <xdr:row>34</xdr:row>
      <xdr:rowOff>15257</xdr:rowOff>
    </xdr:to>
    <xdr:pic>
      <xdr:nvPicPr>
        <xdr:cNvPr id="4" name="Picture 3">
          <a:extLst>
            <a:ext uri="{FF2B5EF4-FFF2-40B4-BE49-F238E27FC236}">
              <a16:creationId xmlns:a16="http://schemas.microsoft.com/office/drawing/2014/main" id="{ECCFCA8A-4945-4E4F-BA13-7F51B4B7F899}"/>
            </a:ext>
          </a:extLst>
        </xdr:cNvPr>
        <xdr:cNvPicPr>
          <a:picLocks noChangeAspect="1"/>
        </xdr:cNvPicPr>
      </xdr:nvPicPr>
      <xdr:blipFill>
        <a:blip xmlns:r="http://schemas.openxmlformats.org/officeDocument/2006/relationships" r:embed="rId4"/>
        <a:stretch>
          <a:fillRect/>
        </a:stretch>
      </xdr:blipFill>
      <xdr:spPr>
        <a:xfrm>
          <a:off x="7056120" y="6217920"/>
          <a:ext cx="1272650" cy="198137"/>
        </a:xfrm>
        <a:prstGeom prst="rect">
          <a:avLst/>
        </a:prstGeom>
      </xdr:spPr>
    </xdr:pic>
    <xdr:clientData/>
  </xdr:twoCellAnchor>
  <xdr:twoCellAnchor editAs="oneCell">
    <xdr:from>
      <xdr:col>6</xdr:col>
      <xdr:colOff>0</xdr:colOff>
      <xdr:row>40</xdr:row>
      <xdr:rowOff>0</xdr:rowOff>
    </xdr:from>
    <xdr:to>
      <xdr:col>8</xdr:col>
      <xdr:colOff>285881</xdr:colOff>
      <xdr:row>41</xdr:row>
      <xdr:rowOff>16</xdr:rowOff>
    </xdr:to>
    <xdr:pic>
      <xdr:nvPicPr>
        <xdr:cNvPr id="5" name="Picture 4">
          <a:extLst>
            <a:ext uri="{FF2B5EF4-FFF2-40B4-BE49-F238E27FC236}">
              <a16:creationId xmlns:a16="http://schemas.microsoft.com/office/drawing/2014/main" id="{403BAA7D-E64E-4BE2-9DE2-BC43307BEC59}"/>
            </a:ext>
          </a:extLst>
        </xdr:cNvPr>
        <xdr:cNvPicPr>
          <a:picLocks noChangeAspect="1"/>
        </xdr:cNvPicPr>
      </xdr:nvPicPr>
      <xdr:blipFill>
        <a:blip xmlns:r="http://schemas.openxmlformats.org/officeDocument/2006/relationships" r:embed="rId5"/>
        <a:stretch>
          <a:fillRect/>
        </a:stretch>
      </xdr:blipFill>
      <xdr:spPr>
        <a:xfrm>
          <a:off x="7056120" y="7498080"/>
          <a:ext cx="1505081" cy="182896"/>
        </a:xfrm>
        <a:prstGeom prst="rect">
          <a:avLst/>
        </a:prstGeom>
      </xdr:spPr>
    </xdr:pic>
    <xdr:clientData/>
  </xdr:twoCellAnchor>
  <xdr:twoCellAnchor editAs="oneCell">
    <xdr:from>
      <xdr:col>6</xdr:col>
      <xdr:colOff>0</xdr:colOff>
      <xdr:row>44</xdr:row>
      <xdr:rowOff>0</xdr:rowOff>
    </xdr:from>
    <xdr:to>
      <xdr:col>8</xdr:col>
      <xdr:colOff>215390</xdr:colOff>
      <xdr:row>45</xdr:row>
      <xdr:rowOff>16</xdr:rowOff>
    </xdr:to>
    <xdr:pic>
      <xdr:nvPicPr>
        <xdr:cNvPr id="6" name="Picture 5">
          <a:extLst>
            <a:ext uri="{FF2B5EF4-FFF2-40B4-BE49-F238E27FC236}">
              <a16:creationId xmlns:a16="http://schemas.microsoft.com/office/drawing/2014/main" id="{1AA5992A-BA3A-406F-8346-C60C8A99271B}"/>
            </a:ext>
          </a:extLst>
        </xdr:cNvPr>
        <xdr:cNvPicPr>
          <a:picLocks noChangeAspect="1"/>
        </xdr:cNvPicPr>
      </xdr:nvPicPr>
      <xdr:blipFill>
        <a:blip xmlns:r="http://schemas.openxmlformats.org/officeDocument/2006/relationships" r:embed="rId6"/>
        <a:stretch>
          <a:fillRect/>
        </a:stretch>
      </xdr:blipFill>
      <xdr:spPr>
        <a:xfrm>
          <a:off x="7056120" y="8229600"/>
          <a:ext cx="1434590" cy="182896"/>
        </a:xfrm>
        <a:prstGeom prst="rect">
          <a:avLst/>
        </a:prstGeom>
      </xdr:spPr>
    </xdr:pic>
    <xdr:clientData/>
  </xdr:twoCellAnchor>
  <xdr:twoCellAnchor editAs="oneCell">
    <xdr:from>
      <xdr:col>6</xdr:col>
      <xdr:colOff>0</xdr:colOff>
      <xdr:row>46</xdr:row>
      <xdr:rowOff>0</xdr:rowOff>
    </xdr:from>
    <xdr:to>
      <xdr:col>8</xdr:col>
      <xdr:colOff>57260</xdr:colOff>
      <xdr:row>46</xdr:row>
      <xdr:rowOff>171465</xdr:rowOff>
    </xdr:to>
    <xdr:pic>
      <xdr:nvPicPr>
        <xdr:cNvPr id="7" name="Picture 6">
          <a:extLst>
            <a:ext uri="{FF2B5EF4-FFF2-40B4-BE49-F238E27FC236}">
              <a16:creationId xmlns:a16="http://schemas.microsoft.com/office/drawing/2014/main" id="{9BBEDF46-942D-4C3A-A72F-A9754603776C}"/>
            </a:ext>
          </a:extLst>
        </xdr:cNvPr>
        <xdr:cNvPicPr>
          <a:picLocks noChangeAspect="1"/>
        </xdr:cNvPicPr>
      </xdr:nvPicPr>
      <xdr:blipFill>
        <a:blip xmlns:r="http://schemas.openxmlformats.org/officeDocument/2006/relationships" r:embed="rId7"/>
        <a:stretch>
          <a:fillRect/>
        </a:stretch>
      </xdr:blipFill>
      <xdr:spPr>
        <a:xfrm>
          <a:off x="7056120" y="8595360"/>
          <a:ext cx="1276460" cy="171465"/>
        </a:xfrm>
        <a:prstGeom prst="rect">
          <a:avLst/>
        </a:prstGeom>
      </xdr:spPr>
    </xdr:pic>
    <xdr:clientData/>
  </xdr:twoCellAnchor>
  <xdr:twoCellAnchor editAs="oneCell">
    <xdr:from>
      <xdr:col>6</xdr:col>
      <xdr:colOff>0</xdr:colOff>
      <xdr:row>47</xdr:row>
      <xdr:rowOff>0</xdr:rowOff>
    </xdr:from>
    <xdr:to>
      <xdr:col>8</xdr:col>
      <xdr:colOff>114416</xdr:colOff>
      <xdr:row>47</xdr:row>
      <xdr:rowOff>171465</xdr:rowOff>
    </xdr:to>
    <xdr:pic>
      <xdr:nvPicPr>
        <xdr:cNvPr id="8" name="Picture 7">
          <a:extLst>
            <a:ext uri="{FF2B5EF4-FFF2-40B4-BE49-F238E27FC236}">
              <a16:creationId xmlns:a16="http://schemas.microsoft.com/office/drawing/2014/main" id="{7974F56E-3883-48C6-9804-26883FD209BC}"/>
            </a:ext>
          </a:extLst>
        </xdr:cNvPr>
        <xdr:cNvPicPr>
          <a:picLocks noChangeAspect="1"/>
        </xdr:cNvPicPr>
      </xdr:nvPicPr>
      <xdr:blipFill>
        <a:blip xmlns:r="http://schemas.openxmlformats.org/officeDocument/2006/relationships" r:embed="rId8"/>
        <a:stretch>
          <a:fillRect/>
        </a:stretch>
      </xdr:blipFill>
      <xdr:spPr>
        <a:xfrm>
          <a:off x="7056120" y="8778240"/>
          <a:ext cx="1333616" cy="171465"/>
        </a:xfrm>
        <a:prstGeom prst="rect">
          <a:avLst/>
        </a:prstGeom>
      </xdr:spPr>
    </xdr:pic>
    <xdr:clientData/>
  </xdr:twoCellAnchor>
  <xdr:twoCellAnchor editAs="oneCell">
    <xdr:from>
      <xdr:col>6</xdr:col>
      <xdr:colOff>0</xdr:colOff>
      <xdr:row>48</xdr:row>
      <xdr:rowOff>0</xdr:rowOff>
    </xdr:from>
    <xdr:to>
      <xdr:col>10</xdr:col>
      <xdr:colOff>114521</xdr:colOff>
      <xdr:row>49</xdr:row>
      <xdr:rowOff>16</xdr:rowOff>
    </xdr:to>
    <xdr:pic>
      <xdr:nvPicPr>
        <xdr:cNvPr id="9" name="Picture 8">
          <a:extLst>
            <a:ext uri="{FF2B5EF4-FFF2-40B4-BE49-F238E27FC236}">
              <a16:creationId xmlns:a16="http://schemas.microsoft.com/office/drawing/2014/main" id="{A39F66B3-769E-42BA-91C3-4F1013C8BD2D}"/>
            </a:ext>
          </a:extLst>
        </xdr:cNvPr>
        <xdr:cNvPicPr>
          <a:picLocks noChangeAspect="1"/>
        </xdr:cNvPicPr>
      </xdr:nvPicPr>
      <xdr:blipFill>
        <a:blip xmlns:r="http://schemas.openxmlformats.org/officeDocument/2006/relationships" r:embed="rId9"/>
        <a:stretch>
          <a:fillRect/>
        </a:stretch>
      </xdr:blipFill>
      <xdr:spPr>
        <a:xfrm>
          <a:off x="7056120" y="8961120"/>
          <a:ext cx="2552921" cy="182896"/>
        </a:xfrm>
        <a:prstGeom prst="rect">
          <a:avLst/>
        </a:prstGeom>
      </xdr:spPr>
    </xdr:pic>
    <xdr:clientData/>
  </xdr:twoCellAnchor>
  <xdr:twoCellAnchor editAs="oneCell">
    <xdr:from>
      <xdr:col>6</xdr:col>
      <xdr:colOff>0</xdr:colOff>
      <xdr:row>49</xdr:row>
      <xdr:rowOff>0</xdr:rowOff>
    </xdr:from>
    <xdr:to>
      <xdr:col>9</xdr:col>
      <xdr:colOff>63029</xdr:colOff>
      <xdr:row>49</xdr:row>
      <xdr:rowOff>171465</xdr:rowOff>
    </xdr:to>
    <xdr:pic>
      <xdr:nvPicPr>
        <xdr:cNvPr id="10" name="Picture 9">
          <a:extLst>
            <a:ext uri="{FF2B5EF4-FFF2-40B4-BE49-F238E27FC236}">
              <a16:creationId xmlns:a16="http://schemas.microsoft.com/office/drawing/2014/main" id="{6F00CEF6-B685-425B-9C54-1543AE990C10}"/>
            </a:ext>
          </a:extLst>
        </xdr:cNvPr>
        <xdr:cNvPicPr>
          <a:picLocks noChangeAspect="1"/>
        </xdr:cNvPicPr>
      </xdr:nvPicPr>
      <xdr:blipFill>
        <a:blip xmlns:r="http://schemas.openxmlformats.org/officeDocument/2006/relationships" r:embed="rId10"/>
        <a:stretch>
          <a:fillRect/>
        </a:stretch>
      </xdr:blipFill>
      <xdr:spPr>
        <a:xfrm>
          <a:off x="7056120" y="9144000"/>
          <a:ext cx="1891829" cy="171465"/>
        </a:xfrm>
        <a:prstGeom prst="rect">
          <a:avLst/>
        </a:prstGeom>
      </xdr:spPr>
    </xdr:pic>
    <xdr:clientData/>
  </xdr:twoCellAnchor>
  <xdr:twoCellAnchor editAs="oneCell">
    <xdr:from>
      <xdr:col>6</xdr:col>
      <xdr:colOff>0</xdr:colOff>
      <xdr:row>50</xdr:row>
      <xdr:rowOff>0</xdr:rowOff>
    </xdr:from>
    <xdr:to>
      <xdr:col>10</xdr:col>
      <xdr:colOff>434588</xdr:colOff>
      <xdr:row>52</xdr:row>
      <xdr:rowOff>91479</xdr:rowOff>
    </xdr:to>
    <xdr:pic>
      <xdr:nvPicPr>
        <xdr:cNvPr id="11" name="Picture 10">
          <a:extLst>
            <a:ext uri="{FF2B5EF4-FFF2-40B4-BE49-F238E27FC236}">
              <a16:creationId xmlns:a16="http://schemas.microsoft.com/office/drawing/2014/main" id="{A315A59B-EBDC-42EF-A188-0335905E81D0}"/>
            </a:ext>
          </a:extLst>
        </xdr:cNvPr>
        <xdr:cNvPicPr>
          <a:picLocks noChangeAspect="1"/>
        </xdr:cNvPicPr>
      </xdr:nvPicPr>
      <xdr:blipFill>
        <a:blip xmlns:r="http://schemas.openxmlformats.org/officeDocument/2006/relationships" r:embed="rId11"/>
        <a:stretch>
          <a:fillRect/>
        </a:stretch>
      </xdr:blipFill>
      <xdr:spPr>
        <a:xfrm>
          <a:off x="7056120" y="9326880"/>
          <a:ext cx="2872988" cy="457239"/>
        </a:xfrm>
        <a:prstGeom prst="rect">
          <a:avLst/>
        </a:prstGeom>
      </xdr:spPr>
    </xdr:pic>
    <xdr:clientData/>
  </xdr:twoCellAnchor>
  <xdr:twoCellAnchor editAs="oneCell">
    <xdr:from>
      <xdr:col>6</xdr:col>
      <xdr:colOff>0</xdr:colOff>
      <xdr:row>53</xdr:row>
      <xdr:rowOff>0</xdr:rowOff>
    </xdr:from>
    <xdr:to>
      <xdr:col>7</xdr:col>
      <xdr:colOff>438241</xdr:colOff>
      <xdr:row>53</xdr:row>
      <xdr:rowOff>152413</xdr:rowOff>
    </xdr:to>
    <xdr:pic>
      <xdr:nvPicPr>
        <xdr:cNvPr id="12" name="Picture 11">
          <a:extLst>
            <a:ext uri="{FF2B5EF4-FFF2-40B4-BE49-F238E27FC236}">
              <a16:creationId xmlns:a16="http://schemas.microsoft.com/office/drawing/2014/main" id="{6AB23CF3-294C-45BA-8620-0F027D05B04C}"/>
            </a:ext>
          </a:extLst>
        </xdr:cNvPr>
        <xdr:cNvPicPr>
          <a:picLocks noChangeAspect="1"/>
        </xdr:cNvPicPr>
      </xdr:nvPicPr>
      <xdr:blipFill>
        <a:blip xmlns:r="http://schemas.openxmlformats.org/officeDocument/2006/relationships" r:embed="rId12"/>
        <a:stretch>
          <a:fillRect/>
        </a:stretch>
      </xdr:blipFill>
      <xdr:spPr>
        <a:xfrm>
          <a:off x="7056120" y="9875520"/>
          <a:ext cx="1047841" cy="152413"/>
        </a:xfrm>
        <a:prstGeom prst="rect">
          <a:avLst/>
        </a:prstGeom>
      </xdr:spPr>
    </xdr:pic>
    <xdr:clientData/>
  </xdr:twoCellAnchor>
  <xdr:twoCellAnchor editAs="oneCell">
    <xdr:from>
      <xdr:col>6</xdr:col>
      <xdr:colOff>1</xdr:colOff>
      <xdr:row>64</xdr:row>
      <xdr:rowOff>1</xdr:rowOff>
    </xdr:from>
    <xdr:to>
      <xdr:col>8</xdr:col>
      <xdr:colOff>177165</xdr:colOff>
      <xdr:row>65</xdr:row>
      <xdr:rowOff>20252</xdr:rowOff>
    </xdr:to>
    <xdr:pic>
      <xdr:nvPicPr>
        <xdr:cNvPr id="13" name="Picture 12">
          <a:extLst>
            <a:ext uri="{FF2B5EF4-FFF2-40B4-BE49-F238E27FC236}">
              <a16:creationId xmlns:a16="http://schemas.microsoft.com/office/drawing/2014/main" id="{195576A3-64F2-46F9-A437-F7E1EA19945B}"/>
            </a:ext>
          </a:extLst>
        </xdr:cNvPr>
        <xdr:cNvPicPr>
          <a:picLocks noChangeAspect="1"/>
        </xdr:cNvPicPr>
      </xdr:nvPicPr>
      <xdr:blipFill>
        <a:blip xmlns:r="http://schemas.openxmlformats.org/officeDocument/2006/relationships" r:embed="rId13"/>
        <a:stretch>
          <a:fillRect/>
        </a:stretch>
      </xdr:blipFill>
      <xdr:spPr>
        <a:xfrm>
          <a:off x="7056121" y="11521441"/>
          <a:ext cx="1396364" cy="203131"/>
        </a:xfrm>
        <a:prstGeom prst="rect">
          <a:avLst/>
        </a:prstGeom>
      </xdr:spPr>
    </xdr:pic>
    <xdr:clientData/>
  </xdr:twoCellAnchor>
  <xdr:twoCellAnchor editAs="oneCell">
    <xdr:from>
      <xdr:col>6</xdr:col>
      <xdr:colOff>1</xdr:colOff>
      <xdr:row>65</xdr:row>
      <xdr:rowOff>0</xdr:rowOff>
    </xdr:from>
    <xdr:to>
      <xdr:col>8</xdr:col>
      <xdr:colOff>152401</xdr:colOff>
      <xdr:row>65</xdr:row>
      <xdr:rowOff>170218</xdr:rowOff>
    </xdr:to>
    <xdr:pic>
      <xdr:nvPicPr>
        <xdr:cNvPr id="14" name="Picture 13">
          <a:extLst>
            <a:ext uri="{FF2B5EF4-FFF2-40B4-BE49-F238E27FC236}">
              <a16:creationId xmlns:a16="http://schemas.microsoft.com/office/drawing/2014/main" id="{DADAEEC5-C9D1-470C-B346-0A3DF8FA56B0}"/>
            </a:ext>
          </a:extLst>
        </xdr:cNvPr>
        <xdr:cNvPicPr>
          <a:picLocks noChangeAspect="1"/>
        </xdr:cNvPicPr>
      </xdr:nvPicPr>
      <xdr:blipFill>
        <a:blip xmlns:r="http://schemas.openxmlformats.org/officeDocument/2006/relationships" r:embed="rId14"/>
        <a:stretch>
          <a:fillRect/>
        </a:stretch>
      </xdr:blipFill>
      <xdr:spPr>
        <a:xfrm>
          <a:off x="7056121" y="11704320"/>
          <a:ext cx="1371600" cy="170218"/>
        </a:xfrm>
        <a:prstGeom prst="rect">
          <a:avLst/>
        </a:prstGeom>
      </xdr:spPr>
    </xdr:pic>
    <xdr:clientData/>
  </xdr:twoCellAnchor>
  <xdr:twoCellAnchor editAs="oneCell">
    <xdr:from>
      <xdr:col>6</xdr:col>
      <xdr:colOff>1</xdr:colOff>
      <xdr:row>58</xdr:row>
      <xdr:rowOff>1</xdr:rowOff>
    </xdr:from>
    <xdr:to>
      <xdr:col>6</xdr:col>
      <xdr:colOff>552451</xdr:colOff>
      <xdr:row>59</xdr:row>
      <xdr:rowOff>11822</xdr:rowOff>
    </xdr:to>
    <xdr:pic>
      <xdr:nvPicPr>
        <xdr:cNvPr id="15" name="Picture 14">
          <a:extLst>
            <a:ext uri="{FF2B5EF4-FFF2-40B4-BE49-F238E27FC236}">
              <a16:creationId xmlns:a16="http://schemas.microsoft.com/office/drawing/2014/main" id="{D6D9242F-3DC5-45DC-AE65-3676D95CDB63}"/>
            </a:ext>
          </a:extLst>
        </xdr:cNvPr>
        <xdr:cNvPicPr>
          <a:picLocks noChangeAspect="1"/>
        </xdr:cNvPicPr>
      </xdr:nvPicPr>
      <xdr:blipFill>
        <a:blip xmlns:r="http://schemas.openxmlformats.org/officeDocument/2006/relationships" r:embed="rId15"/>
        <a:stretch>
          <a:fillRect/>
        </a:stretch>
      </xdr:blipFill>
      <xdr:spPr>
        <a:xfrm>
          <a:off x="7056121" y="10424161"/>
          <a:ext cx="552450" cy="194701"/>
        </a:xfrm>
        <a:prstGeom prst="rect">
          <a:avLst/>
        </a:prstGeom>
      </xdr:spPr>
    </xdr:pic>
    <xdr:clientData/>
  </xdr:twoCellAnchor>
  <xdr:twoCellAnchor editAs="oneCell">
    <xdr:from>
      <xdr:col>6</xdr:col>
      <xdr:colOff>0</xdr:colOff>
      <xdr:row>57</xdr:row>
      <xdr:rowOff>0</xdr:rowOff>
    </xdr:from>
    <xdr:to>
      <xdr:col>6</xdr:col>
      <xdr:colOff>586740</xdr:colOff>
      <xdr:row>58</xdr:row>
      <xdr:rowOff>19051</xdr:rowOff>
    </xdr:to>
    <xdr:pic>
      <xdr:nvPicPr>
        <xdr:cNvPr id="16" name="Picture 15">
          <a:extLst>
            <a:ext uri="{FF2B5EF4-FFF2-40B4-BE49-F238E27FC236}">
              <a16:creationId xmlns:a16="http://schemas.microsoft.com/office/drawing/2014/main" id="{EB404CE2-E581-4C3C-B0DA-AE43216689D8}"/>
            </a:ext>
          </a:extLst>
        </xdr:cNvPr>
        <xdr:cNvPicPr>
          <a:picLocks noChangeAspect="1"/>
        </xdr:cNvPicPr>
      </xdr:nvPicPr>
      <xdr:blipFill>
        <a:blip xmlns:r="http://schemas.openxmlformats.org/officeDocument/2006/relationships" r:embed="rId16"/>
        <a:stretch>
          <a:fillRect/>
        </a:stretch>
      </xdr:blipFill>
      <xdr:spPr>
        <a:xfrm>
          <a:off x="7056120" y="10241280"/>
          <a:ext cx="586740" cy="201931"/>
        </a:xfrm>
        <a:prstGeom prst="rect">
          <a:avLst/>
        </a:prstGeom>
      </xdr:spPr>
    </xdr:pic>
    <xdr:clientData/>
  </xdr:twoCellAnchor>
  <xdr:twoCellAnchor editAs="oneCell">
    <xdr:from>
      <xdr:col>6</xdr:col>
      <xdr:colOff>0</xdr:colOff>
      <xdr:row>63</xdr:row>
      <xdr:rowOff>0</xdr:rowOff>
    </xdr:from>
    <xdr:to>
      <xdr:col>8</xdr:col>
      <xdr:colOff>22858</xdr:colOff>
      <xdr:row>63</xdr:row>
      <xdr:rowOff>171450</xdr:rowOff>
    </xdr:to>
    <xdr:pic>
      <xdr:nvPicPr>
        <xdr:cNvPr id="17" name="Picture 16">
          <a:extLst>
            <a:ext uri="{FF2B5EF4-FFF2-40B4-BE49-F238E27FC236}">
              <a16:creationId xmlns:a16="http://schemas.microsoft.com/office/drawing/2014/main" id="{6465FE6E-22A5-4ADD-8B71-74AF9ADA0394}"/>
            </a:ext>
          </a:extLst>
        </xdr:cNvPr>
        <xdr:cNvPicPr>
          <a:picLocks noChangeAspect="1"/>
        </xdr:cNvPicPr>
      </xdr:nvPicPr>
      <xdr:blipFill>
        <a:blip xmlns:r="http://schemas.openxmlformats.org/officeDocument/2006/relationships" r:embed="rId17"/>
        <a:stretch>
          <a:fillRect/>
        </a:stretch>
      </xdr:blipFill>
      <xdr:spPr>
        <a:xfrm>
          <a:off x="7056120" y="11338560"/>
          <a:ext cx="1242058" cy="171450"/>
        </a:xfrm>
        <a:prstGeom prst="rect">
          <a:avLst/>
        </a:prstGeom>
      </xdr:spPr>
    </xdr:pic>
    <xdr:clientData/>
  </xdr:twoCellAnchor>
  <xdr:twoCellAnchor editAs="oneCell">
    <xdr:from>
      <xdr:col>6</xdr:col>
      <xdr:colOff>1</xdr:colOff>
      <xdr:row>62</xdr:row>
      <xdr:rowOff>1</xdr:rowOff>
    </xdr:from>
    <xdr:to>
      <xdr:col>11</xdr:col>
      <xdr:colOff>135527</xdr:colOff>
      <xdr:row>62</xdr:row>
      <xdr:rowOff>174254</xdr:rowOff>
    </xdr:to>
    <xdr:pic>
      <xdr:nvPicPr>
        <xdr:cNvPr id="18" name="Picture 17">
          <a:extLst>
            <a:ext uri="{FF2B5EF4-FFF2-40B4-BE49-F238E27FC236}">
              <a16:creationId xmlns:a16="http://schemas.microsoft.com/office/drawing/2014/main" id="{2C40CA04-0BBF-427C-A140-D2190756F051}"/>
            </a:ext>
          </a:extLst>
        </xdr:cNvPr>
        <xdr:cNvPicPr>
          <a:picLocks noChangeAspect="1"/>
        </xdr:cNvPicPr>
      </xdr:nvPicPr>
      <xdr:blipFill>
        <a:blip xmlns:r="http://schemas.openxmlformats.org/officeDocument/2006/relationships" r:embed="rId18"/>
        <a:stretch>
          <a:fillRect/>
        </a:stretch>
      </xdr:blipFill>
      <xdr:spPr>
        <a:xfrm>
          <a:off x="7056121" y="11155681"/>
          <a:ext cx="3183526" cy="174253"/>
        </a:xfrm>
        <a:prstGeom prst="rect">
          <a:avLst/>
        </a:prstGeom>
      </xdr:spPr>
    </xdr:pic>
    <xdr:clientData/>
  </xdr:twoCellAnchor>
  <xdr:twoCellAnchor>
    <xdr:from>
      <xdr:col>14</xdr:col>
      <xdr:colOff>449580</xdr:colOff>
      <xdr:row>33</xdr:row>
      <xdr:rowOff>76200</xdr:rowOff>
    </xdr:from>
    <xdr:to>
      <xdr:col>14</xdr:col>
      <xdr:colOff>449580</xdr:colOff>
      <xdr:row>52</xdr:row>
      <xdr:rowOff>99060</xdr:rowOff>
    </xdr:to>
    <xdr:cxnSp macro="">
      <xdr:nvCxnSpPr>
        <xdr:cNvPr id="20" name="Straight Connector 19">
          <a:extLst>
            <a:ext uri="{FF2B5EF4-FFF2-40B4-BE49-F238E27FC236}">
              <a16:creationId xmlns:a16="http://schemas.microsoft.com/office/drawing/2014/main" id="{63DCBB5D-A33B-4584-8F97-70CD6F44CD86}"/>
            </a:ext>
          </a:extLst>
        </xdr:cNvPr>
        <xdr:cNvCxnSpPr/>
      </xdr:nvCxnSpPr>
      <xdr:spPr>
        <a:xfrm flipV="1">
          <a:off x="12382500" y="6294120"/>
          <a:ext cx="0" cy="3497580"/>
        </a:xfrm>
        <a:prstGeom prst="line">
          <a:avLst/>
        </a:prstGeom>
        <a:ln w="38100">
          <a:solidFill>
            <a:srgbClr val="FFFF00"/>
          </a:solidFill>
        </a:ln>
      </xdr:spPr>
      <xdr:style>
        <a:lnRef idx="3">
          <a:schemeClr val="accent4"/>
        </a:lnRef>
        <a:fillRef idx="0">
          <a:schemeClr val="accent4"/>
        </a:fillRef>
        <a:effectRef idx="2">
          <a:schemeClr val="accent4"/>
        </a:effectRef>
        <a:fontRef idx="minor">
          <a:schemeClr val="tx1"/>
        </a:fontRef>
      </xdr:style>
    </xdr:cxnSp>
    <xdr:clientData/>
  </xdr:twoCellAnchor>
  <xdr:twoCellAnchor>
    <xdr:from>
      <xdr:col>13</xdr:col>
      <xdr:colOff>160020</xdr:colOff>
      <xdr:row>44</xdr:row>
      <xdr:rowOff>167640</xdr:rowOff>
    </xdr:from>
    <xdr:to>
      <xdr:col>24</xdr:col>
      <xdr:colOff>243840</xdr:colOff>
      <xdr:row>44</xdr:row>
      <xdr:rowOff>167640</xdr:rowOff>
    </xdr:to>
    <xdr:cxnSp macro="">
      <xdr:nvCxnSpPr>
        <xdr:cNvPr id="21" name="Straight Connector 20">
          <a:extLst>
            <a:ext uri="{FF2B5EF4-FFF2-40B4-BE49-F238E27FC236}">
              <a16:creationId xmlns:a16="http://schemas.microsoft.com/office/drawing/2014/main" id="{73C5D516-719F-4889-A883-EFE04C5F043F}"/>
            </a:ext>
          </a:extLst>
        </xdr:cNvPr>
        <xdr:cNvCxnSpPr/>
      </xdr:nvCxnSpPr>
      <xdr:spPr>
        <a:xfrm>
          <a:off x="11483340" y="8397240"/>
          <a:ext cx="6789420" cy="0"/>
        </a:xfrm>
        <a:prstGeom prst="line">
          <a:avLst/>
        </a:prstGeom>
        <a:ln w="3810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1</xdr:colOff>
      <xdr:row>70</xdr:row>
      <xdr:rowOff>0</xdr:rowOff>
    </xdr:from>
    <xdr:to>
      <xdr:col>3</xdr:col>
      <xdr:colOff>1396365</xdr:colOff>
      <xdr:row>71</xdr:row>
      <xdr:rowOff>20251</xdr:rowOff>
    </xdr:to>
    <xdr:pic>
      <xdr:nvPicPr>
        <xdr:cNvPr id="23" name="Picture 22">
          <a:extLst>
            <a:ext uri="{FF2B5EF4-FFF2-40B4-BE49-F238E27FC236}">
              <a16:creationId xmlns:a16="http://schemas.microsoft.com/office/drawing/2014/main" id="{05A2A875-0E0E-4AE9-AC5F-44E08214CB92}"/>
            </a:ext>
          </a:extLst>
        </xdr:cNvPr>
        <xdr:cNvPicPr>
          <a:picLocks noChangeAspect="1"/>
        </xdr:cNvPicPr>
      </xdr:nvPicPr>
      <xdr:blipFill>
        <a:blip xmlns:r="http://schemas.openxmlformats.org/officeDocument/2006/relationships" r:embed="rId13"/>
        <a:stretch>
          <a:fillRect/>
        </a:stretch>
      </xdr:blipFill>
      <xdr:spPr>
        <a:xfrm>
          <a:off x="11750041" y="12618720"/>
          <a:ext cx="1396364" cy="203131"/>
        </a:xfrm>
        <a:prstGeom prst="rect">
          <a:avLst/>
        </a:prstGeom>
      </xdr:spPr>
    </xdr:pic>
    <xdr:clientData/>
  </xdr:twoCellAnchor>
  <xdr:twoCellAnchor editAs="oneCell">
    <xdr:from>
      <xdr:col>3</xdr:col>
      <xdr:colOff>1</xdr:colOff>
      <xdr:row>70</xdr:row>
      <xdr:rowOff>182879</xdr:rowOff>
    </xdr:from>
    <xdr:to>
      <xdr:col>3</xdr:col>
      <xdr:colOff>1371601</xdr:colOff>
      <xdr:row>71</xdr:row>
      <xdr:rowOff>170217</xdr:rowOff>
    </xdr:to>
    <xdr:pic>
      <xdr:nvPicPr>
        <xdr:cNvPr id="24" name="Picture 23">
          <a:extLst>
            <a:ext uri="{FF2B5EF4-FFF2-40B4-BE49-F238E27FC236}">
              <a16:creationId xmlns:a16="http://schemas.microsoft.com/office/drawing/2014/main" id="{34458E2F-CCE9-4C33-BD19-964BBAF8F2EC}"/>
            </a:ext>
          </a:extLst>
        </xdr:cNvPr>
        <xdr:cNvPicPr>
          <a:picLocks noChangeAspect="1"/>
        </xdr:cNvPicPr>
      </xdr:nvPicPr>
      <xdr:blipFill>
        <a:blip xmlns:r="http://schemas.openxmlformats.org/officeDocument/2006/relationships" r:embed="rId14"/>
        <a:stretch>
          <a:fillRect/>
        </a:stretch>
      </xdr:blipFill>
      <xdr:spPr>
        <a:xfrm>
          <a:off x="11750041" y="12801599"/>
          <a:ext cx="1371600" cy="170218"/>
        </a:xfrm>
        <a:prstGeom prst="rect">
          <a:avLst/>
        </a:prstGeom>
      </xdr:spPr>
    </xdr:pic>
    <xdr:clientData/>
  </xdr:twoCellAnchor>
  <xdr:twoCellAnchor editAs="oneCell">
    <xdr:from>
      <xdr:col>3</xdr:col>
      <xdr:colOff>0</xdr:colOff>
      <xdr:row>68</xdr:row>
      <xdr:rowOff>182879</xdr:rowOff>
    </xdr:from>
    <xdr:to>
      <xdr:col>3</xdr:col>
      <xdr:colOff>1242058</xdr:colOff>
      <xdr:row>69</xdr:row>
      <xdr:rowOff>171449</xdr:rowOff>
    </xdr:to>
    <xdr:pic>
      <xdr:nvPicPr>
        <xdr:cNvPr id="25" name="Picture 24">
          <a:extLst>
            <a:ext uri="{FF2B5EF4-FFF2-40B4-BE49-F238E27FC236}">
              <a16:creationId xmlns:a16="http://schemas.microsoft.com/office/drawing/2014/main" id="{DE927207-D5D8-4E1C-BB8B-457AF37FB6AF}"/>
            </a:ext>
          </a:extLst>
        </xdr:cNvPr>
        <xdr:cNvPicPr>
          <a:picLocks noChangeAspect="1"/>
        </xdr:cNvPicPr>
      </xdr:nvPicPr>
      <xdr:blipFill>
        <a:blip xmlns:r="http://schemas.openxmlformats.org/officeDocument/2006/relationships" r:embed="rId17"/>
        <a:stretch>
          <a:fillRect/>
        </a:stretch>
      </xdr:blipFill>
      <xdr:spPr>
        <a:xfrm>
          <a:off x="11750040" y="12435839"/>
          <a:ext cx="1242058" cy="171450"/>
        </a:xfrm>
        <a:prstGeom prst="rect">
          <a:avLst/>
        </a:prstGeom>
      </xdr:spPr>
    </xdr:pic>
    <xdr:clientData/>
  </xdr:twoCellAnchor>
  <xdr:twoCellAnchor editAs="oneCell">
    <xdr:from>
      <xdr:col>3</xdr:col>
      <xdr:colOff>1</xdr:colOff>
      <xdr:row>68</xdr:row>
      <xdr:rowOff>0</xdr:rowOff>
    </xdr:from>
    <xdr:to>
      <xdr:col>3</xdr:col>
      <xdr:colOff>3183527</xdr:colOff>
      <xdr:row>68</xdr:row>
      <xdr:rowOff>174253</xdr:rowOff>
    </xdr:to>
    <xdr:pic>
      <xdr:nvPicPr>
        <xdr:cNvPr id="26" name="Picture 25">
          <a:extLst>
            <a:ext uri="{FF2B5EF4-FFF2-40B4-BE49-F238E27FC236}">
              <a16:creationId xmlns:a16="http://schemas.microsoft.com/office/drawing/2014/main" id="{AB884C21-5212-437B-9C13-D60AB47BA88F}"/>
            </a:ext>
          </a:extLst>
        </xdr:cNvPr>
        <xdr:cNvPicPr>
          <a:picLocks noChangeAspect="1"/>
        </xdr:cNvPicPr>
      </xdr:nvPicPr>
      <xdr:blipFill>
        <a:blip xmlns:r="http://schemas.openxmlformats.org/officeDocument/2006/relationships" r:embed="rId18"/>
        <a:stretch>
          <a:fillRect/>
        </a:stretch>
      </xdr:blipFill>
      <xdr:spPr>
        <a:xfrm>
          <a:off x="11750041" y="12252960"/>
          <a:ext cx="3183526" cy="17425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609599</xdr:colOff>
      <xdr:row>14</xdr:row>
      <xdr:rowOff>190498</xdr:rowOff>
    </xdr:from>
    <xdr:to>
      <xdr:col>18</xdr:col>
      <xdr:colOff>228599</xdr:colOff>
      <xdr:row>34</xdr:row>
      <xdr:rowOff>66038</xdr:rowOff>
    </xdr:to>
    <xdr:graphicFrame macro="">
      <xdr:nvGraphicFramePr>
        <xdr:cNvPr id="2" name="Chart 1">
          <a:extLst>
            <a:ext uri="{FF2B5EF4-FFF2-40B4-BE49-F238E27FC236}">
              <a16:creationId xmlns:a16="http://schemas.microsoft.com/office/drawing/2014/main" id="{21237E0E-7C78-4E26-5370-DB2FC8BDBE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577401</xdr:colOff>
      <xdr:row>45</xdr:row>
      <xdr:rowOff>136836</xdr:rowOff>
    </xdr:from>
    <xdr:to>
      <xdr:col>13</xdr:col>
      <xdr:colOff>95875</xdr:colOff>
      <xdr:row>63</xdr:row>
      <xdr:rowOff>26220</xdr:rowOff>
    </xdr:to>
    <xdr:graphicFrame macro="">
      <xdr:nvGraphicFramePr>
        <xdr:cNvPr id="3" name="Chart 2">
          <a:extLst>
            <a:ext uri="{FF2B5EF4-FFF2-40B4-BE49-F238E27FC236}">
              <a16:creationId xmlns:a16="http://schemas.microsoft.com/office/drawing/2014/main" id="{ADB3EA7E-E266-F998-D461-DB7819013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1062508</xdr:colOff>
      <xdr:row>78</xdr:row>
      <xdr:rowOff>83175</xdr:rowOff>
    </xdr:from>
    <xdr:to>
      <xdr:col>6</xdr:col>
      <xdr:colOff>326981</xdr:colOff>
      <xdr:row>93</xdr:row>
      <xdr:rowOff>98558</xdr:rowOff>
    </xdr:to>
    <xdr:graphicFrame macro="">
      <xdr:nvGraphicFramePr>
        <xdr:cNvPr id="4" name="Chart 3">
          <a:extLst>
            <a:ext uri="{FF2B5EF4-FFF2-40B4-BE49-F238E27FC236}">
              <a16:creationId xmlns:a16="http://schemas.microsoft.com/office/drawing/2014/main" id="{1FAF1167-62B3-5F5C-6B81-DB2E5064D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472226</xdr:colOff>
      <xdr:row>78</xdr:row>
      <xdr:rowOff>29512</xdr:rowOff>
    </xdr:from>
    <xdr:to>
      <xdr:col>15</xdr:col>
      <xdr:colOff>37206</xdr:colOff>
      <xdr:row>93</xdr:row>
      <xdr:rowOff>44895</xdr:rowOff>
    </xdr:to>
    <xdr:graphicFrame macro="">
      <xdr:nvGraphicFramePr>
        <xdr:cNvPr id="5" name="Chart 4">
          <a:extLst>
            <a:ext uri="{FF2B5EF4-FFF2-40B4-BE49-F238E27FC236}">
              <a16:creationId xmlns:a16="http://schemas.microsoft.com/office/drawing/2014/main" id="{D9AA88FE-FB59-8845-800F-6DC3C0526B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0</xdr:colOff>
      <xdr:row>96</xdr:row>
      <xdr:rowOff>190499</xdr:rowOff>
    </xdr:from>
    <xdr:to>
      <xdr:col>16</xdr:col>
      <xdr:colOff>228600</xdr:colOff>
      <xdr:row>116</xdr:row>
      <xdr:rowOff>66039</xdr:rowOff>
    </xdr:to>
    <xdr:graphicFrame macro="">
      <xdr:nvGraphicFramePr>
        <xdr:cNvPr id="6" name="Chart 5">
          <a:extLst>
            <a:ext uri="{FF2B5EF4-FFF2-40B4-BE49-F238E27FC236}">
              <a16:creationId xmlns:a16="http://schemas.microsoft.com/office/drawing/2014/main" id="{C5ECBD43-C7D9-DFDD-9903-0DC7DB71A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609599</xdr:colOff>
      <xdr:row>118</xdr:row>
      <xdr:rowOff>1</xdr:rowOff>
    </xdr:from>
    <xdr:to>
      <xdr:col>16</xdr:col>
      <xdr:colOff>228599</xdr:colOff>
      <xdr:row>137</xdr:row>
      <xdr:rowOff>35561</xdr:rowOff>
    </xdr:to>
    <xdr:graphicFrame macro="">
      <xdr:nvGraphicFramePr>
        <xdr:cNvPr id="7" name="Chart 6">
          <a:extLst>
            <a:ext uri="{FF2B5EF4-FFF2-40B4-BE49-F238E27FC236}">
              <a16:creationId xmlns:a16="http://schemas.microsoft.com/office/drawing/2014/main" id="{07C10093-5292-961D-17BF-C1C34F0AE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609600</xdr:colOff>
      <xdr:row>138</xdr:row>
      <xdr:rowOff>32624</xdr:rowOff>
    </xdr:from>
    <xdr:to>
      <xdr:col>15</xdr:col>
      <xdr:colOff>203200</xdr:colOff>
      <xdr:row>155</xdr:row>
      <xdr:rowOff>99951</xdr:rowOff>
    </xdr:to>
    <xdr:graphicFrame macro="">
      <xdr:nvGraphicFramePr>
        <xdr:cNvPr id="8" name="Chart 7">
          <a:extLst>
            <a:ext uri="{FF2B5EF4-FFF2-40B4-BE49-F238E27FC236}">
              <a16:creationId xmlns:a16="http://schemas.microsoft.com/office/drawing/2014/main" id="{2A5AC03F-88D9-86C0-02F2-2FF914C2C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590282</xdr:colOff>
      <xdr:row>237</xdr:row>
      <xdr:rowOff>118057</xdr:rowOff>
    </xdr:from>
    <xdr:to>
      <xdr:col>16</xdr:col>
      <xdr:colOff>207135</xdr:colOff>
      <xdr:row>256</xdr:row>
      <xdr:rowOff>178195</xdr:rowOff>
    </xdr:to>
    <xdr:graphicFrame macro="">
      <xdr:nvGraphicFramePr>
        <xdr:cNvPr id="9" name="Chart 8">
          <a:extLst>
            <a:ext uri="{FF2B5EF4-FFF2-40B4-BE49-F238E27FC236}">
              <a16:creationId xmlns:a16="http://schemas.microsoft.com/office/drawing/2014/main" id="{C3AABFEE-A76F-BDB6-BEE2-EBE86A24C7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0</xdr:colOff>
      <xdr:row>257</xdr:row>
      <xdr:rowOff>190498</xdr:rowOff>
    </xdr:from>
    <xdr:to>
      <xdr:col>16</xdr:col>
      <xdr:colOff>228600</xdr:colOff>
      <xdr:row>277</xdr:row>
      <xdr:rowOff>27938</xdr:rowOff>
    </xdr:to>
    <xdr:graphicFrame macro="">
      <xdr:nvGraphicFramePr>
        <xdr:cNvPr id="10" name="Chart 9">
          <a:extLst>
            <a:ext uri="{FF2B5EF4-FFF2-40B4-BE49-F238E27FC236}">
              <a16:creationId xmlns:a16="http://schemas.microsoft.com/office/drawing/2014/main" id="{FA655888-BEDF-51BB-DE29-4899D1BF2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xdr:colOff>
      <xdr:row>277</xdr:row>
      <xdr:rowOff>158302</xdr:rowOff>
    </xdr:from>
    <xdr:to>
      <xdr:col>15</xdr:col>
      <xdr:colOff>203201</xdr:colOff>
      <xdr:row>295</xdr:row>
      <xdr:rowOff>50799</xdr:rowOff>
    </xdr:to>
    <xdr:graphicFrame macro="">
      <xdr:nvGraphicFramePr>
        <xdr:cNvPr id="11" name="Chart 10">
          <a:extLst>
            <a:ext uri="{FF2B5EF4-FFF2-40B4-BE49-F238E27FC236}">
              <a16:creationId xmlns:a16="http://schemas.microsoft.com/office/drawing/2014/main" id="{5D200606-0533-0C6F-2A59-DEFAA91710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45720</xdr:colOff>
      <xdr:row>57</xdr:row>
      <xdr:rowOff>121920</xdr:rowOff>
    </xdr:from>
    <xdr:to>
      <xdr:col>20</xdr:col>
      <xdr:colOff>481154</xdr:colOff>
      <xdr:row>91</xdr:row>
      <xdr:rowOff>15770</xdr:rowOff>
    </xdr:to>
    <xdr:pic>
      <xdr:nvPicPr>
        <xdr:cNvPr id="2" name="Picture 1">
          <a:extLst>
            <a:ext uri="{FF2B5EF4-FFF2-40B4-BE49-F238E27FC236}">
              <a16:creationId xmlns:a16="http://schemas.microsoft.com/office/drawing/2014/main" id="{7036112B-14AF-432A-8B86-D74AA8AC0027}"/>
            </a:ext>
          </a:extLst>
        </xdr:cNvPr>
        <xdr:cNvPicPr>
          <a:picLocks noChangeAspect="1"/>
        </xdr:cNvPicPr>
      </xdr:nvPicPr>
      <xdr:blipFill>
        <a:blip xmlns:r="http://schemas.openxmlformats.org/officeDocument/2006/relationships" r:embed="rId1"/>
        <a:stretch>
          <a:fillRect/>
        </a:stretch>
      </xdr:blipFill>
      <xdr:spPr>
        <a:xfrm>
          <a:off x="45720" y="10546080"/>
          <a:ext cx="12627434" cy="6111770"/>
        </a:xfrm>
        <a:prstGeom prst="rect">
          <a:avLst/>
        </a:prstGeom>
      </xdr:spPr>
    </xdr:pic>
    <xdr:clientData/>
  </xdr:twoCellAnchor>
  <xdr:twoCellAnchor editAs="oneCell">
    <xdr:from>
      <xdr:col>0</xdr:col>
      <xdr:colOff>0</xdr:colOff>
      <xdr:row>5</xdr:row>
      <xdr:rowOff>0</xdr:rowOff>
    </xdr:from>
    <xdr:to>
      <xdr:col>16</xdr:col>
      <xdr:colOff>244706</xdr:colOff>
      <xdr:row>26</xdr:row>
      <xdr:rowOff>84160</xdr:rowOff>
    </xdr:to>
    <xdr:pic>
      <xdr:nvPicPr>
        <xdr:cNvPr id="3" name="Picture 2">
          <a:extLst>
            <a:ext uri="{FF2B5EF4-FFF2-40B4-BE49-F238E27FC236}">
              <a16:creationId xmlns:a16="http://schemas.microsoft.com/office/drawing/2014/main" id="{58654826-DCEB-BC24-EED8-1309F20A2F9B}"/>
            </a:ext>
          </a:extLst>
        </xdr:cNvPr>
        <xdr:cNvPicPr>
          <a:picLocks noChangeAspect="1"/>
        </xdr:cNvPicPr>
      </xdr:nvPicPr>
      <xdr:blipFill>
        <a:blip xmlns:r="http://schemas.openxmlformats.org/officeDocument/2006/relationships" r:embed="rId2"/>
        <a:stretch>
          <a:fillRect/>
        </a:stretch>
      </xdr:blipFill>
      <xdr:spPr>
        <a:xfrm>
          <a:off x="0" y="914400"/>
          <a:ext cx="9998306" cy="3924640"/>
        </a:xfrm>
        <a:prstGeom prst="rect">
          <a:avLst/>
        </a:prstGeom>
      </xdr:spPr>
    </xdr:pic>
    <xdr:clientData/>
  </xdr:twoCellAnchor>
  <xdr:twoCellAnchor editAs="oneCell">
    <xdr:from>
      <xdr:col>0</xdr:col>
      <xdr:colOff>0</xdr:colOff>
      <xdr:row>29</xdr:row>
      <xdr:rowOff>0</xdr:rowOff>
    </xdr:from>
    <xdr:to>
      <xdr:col>6</xdr:col>
      <xdr:colOff>419453</xdr:colOff>
      <xdr:row>54</xdr:row>
      <xdr:rowOff>91844</xdr:rowOff>
    </xdr:to>
    <xdr:pic>
      <xdr:nvPicPr>
        <xdr:cNvPr id="4" name="Picture 3">
          <a:extLst>
            <a:ext uri="{FF2B5EF4-FFF2-40B4-BE49-F238E27FC236}">
              <a16:creationId xmlns:a16="http://schemas.microsoft.com/office/drawing/2014/main" id="{86619813-27E9-8F9F-DF32-42985264C6C4}"/>
            </a:ext>
          </a:extLst>
        </xdr:cNvPr>
        <xdr:cNvPicPr>
          <a:picLocks noChangeAspect="1"/>
        </xdr:cNvPicPr>
      </xdr:nvPicPr>
      <xdr:blipFill>
        <a:blip xmlns:r="http://schemas.openxmlformats.org/officeDocument/2006/relationships" r:embed="rId3"/>
        <a:stretch>
          <a:fillRect/>
        </a:stretch>
      </xdr:blipFill>
      <xdr:spPr>
        <a:xfrm>
          <a:off x="0" y="5303520"/>
          <a:ext cx="4077053" cy="4663844"/>
        </a:xfrm>
        <a:prstGeom prst="rect">
          <a:avLst/>
        </a:prstGeom>
      </xdr:spPr>
    </xdr:pic>
    <xdr:clientData/>
  </xdr:twoCellAnchor>
  <xdr:twoCellAnchor editAs="oneCell">
    <xdr:from>
      <xdr:col>0</xdr:col>
      <xdr:colOff>0</xdr:colOff>
      <xdr:row>93</xdr:row>
      <xdr:rowOff>121920</xdr:rowOff>
    </xdr:from>
    <xdr:to>
      <xdr:col>14</xdr:col>
      <xdr:colOff>541807</xdr:colOff>
      <xdr:row>109</xdr:row>
      <xdr:rowOff>243</xdr:rowOff>
    </xdr:to>
    <xdr:pic>
      <xdr:nvPicPr>
        <xdr:cNvPr id="5" name="Picture 4">
          <a:extLst>
            <a:ext uri="{FF2B5EF4-FFF2-40B4-BE49-F238E27FC236}">
              <a16:creationId xmlns:a16="http://schemas.microsoft.com/office/drawing/2014/main" id="{D2054473-FD4E-D12F-3D2E-3A28EC8E0A48}"/>
            </a:ext>
          </a:extLst>
        </xdr:cNvPr>
        <xdr:cNvPicPr>
          <a:picLocks noChangeAspect="1"/>
        </xdr:cNvPicPr>
      </xdr:nvPicPr>
      <xdr:blipFill>
        <a:blip xmlns:r="http://schemas.openxmlformats.org/officeDocument/2006/relationships" r:embed="rId4"/>
        <a:stretch>
          <a:fillRect/>
        </a:stretch>
      </xdr:blipFill>
      <xdr:spPr>
        <a:xfrm>
          <a:off x="0" y="17129760"/>
          <a:ext cx="9076207" cy="2804403"/>
        </a:xfrm>
        <a:prstGeom prst="rect">
          <a:avLst/>
        </a:prstGeom>
      </xdr:spPr>
    </xdr:pic>
    <xdr:clientData/>
  </xdr:twoCellAnchor>
  <xdr:twoCellAnchor editAs="oneCell">
    <xdr:from>
      <xdr:col>0</xdr:col>
      <xdr:colOff>0</xdr:colOff>
      <xdr:row>109</xdr:row>
      <xdr:rowOff>76200</xdr:rowOff>
    </xdr:from>
    <xdr:to>
      <xdr:col>15</xdr:col>
      <xdr:colOff>2324</xdr:colOff>
      <xdr:row>123</xdr:row>
      <xdr:rowOff>30480</xdr:rowOff>
    </xdr:to>
    <xdr:pic>
      <xdr:nvPicPr>
        <xdr:cNvPr id="6" name="Picture 5">
          <a:extLst>
            <a:ext uri="{FF2B5EF4-FFF2-40B4-BE49-F238E27FC236}">
              <a16:creationId xmlns:a16="http://schemas.microsoft.com/office/drawing/2014/main" id="{32D4F51F-DAEC-3858-E35D-25088E3FBEAF}"/>
            </a:ext>
          </a:extLst>
        </xdr:cNvPr>
        <xdr:cNvPicPr>
          <a:picLocks noChangeAspect="1"/>
        </xdr:cNvPicPr>
      </xdr:nvPicPr>
      <xdr:blipFill>
        <a:blip xmlns:r="http://schemas.openxmlformats.org/officeDocument/2006/relationships" r:embed="rId5"/>
        <a:stretch>
          <a:fillRect/>
        </a:stretch>
      </xdr:blipFill>
      <xdr:spPr>
        <a:xfrm>
          <a:off x="0" y="20010120"/>
          <a:ext cx="9146324" cy="2514600"/>
        </a:xfrm>
        <a:prstGeom prst="rect">
          <a:avLst/>
        </a:prstGeom>
      </xdr:spPr>
    </xdr:pic>
    <xdr:clientData/>
  </xdr:twoCellAnchor>
  <xdr:twoCellAnchor editAs="oneCell">
    <xdr:from>
      <xdr:col>0</xdr:col>
      <xdr:colOff>0</xdr:colOff>
      <xdr:row>124</xdr:row>
      <xdr:rowOff>0</xdr:rowOff>
    </xdr:from>
    <xdr:to>
      <xdr:col>6</xdr:col>
      <xdr:colOff>526143</xdr:colOff>
      <xdr:row>156</xdr:row>
      <xdr:rowOff>91955</xdr:rowOff>
    </xdr:to>
    <xdr:pic>
      <xdr:nvPicPr>
        <xdr:cNvPr id="7" name="Picture 6">
          <a:extLst>
            <a:ext uri="{FF2B5EF4-FFF2-40B4-BE49-F238E27FC236}">
              <a16:creationId xmlns:a16="http://schemas.microsoft.com/office/drawing/2014/main" id="{52643506-2824-13A5-E77F-AF6FCCF72A0C}"/>
            </a:ext>
          </a:extLst>
        </xdr:cNvPr>
        <xdr:cNvPicPr>
          <a:picLocks noChangeAspect="1"/>
        </xdr:cNvPicPr>
      </xdr:nvPicPr>
      <xdr:blipFill>
        <a:blip xmlns:r="http://schemas.openxmlformats.org/officeDocument/2006/relationships" r:embed="rId6"/>
        <a:stretch>
          <a:fillRect/>
        </a:stretch>
      </xdr:blipFill>
      <xdr:spPr>
        <a:xfrm>
          <a:off x="0" y="22677120"/>
          <a:ext cx="4183743" cy="5944115"/>
        </a:xfrm>
        <a:prstGeom prst="rect">
          <a:avLst/>
        </a:prstGeom>
      </xdr:spPr>
    </xdr:pic>
    <xdr:clientData/>
  </xdr:twoCellAnchor>
  <xdr:twoCellAnchor editAs="oneCell">
    <xdr:from>
      <xdr:col>0</xdr:col>
      <xdr:colOff>0</xdr:colOff>
      <xdr:row>159</xdr:row>
      <xdr:rowOff>0</xdr:rowOff>
    </xdr:from>
    <xdr:to>
      <xdr:col>6</xdr:col>
      <xdr:colOff>518522</xdr:colOff>
      <xdr:row>191</xdr:row>
      <xdr:rowOff>69093</xdr:rowOff>
    </xdr:to>
    <xdr:pic>
      <xdr:nvPicPr>
        <xdr:cNvPr id="8" name="Picture 7">
          <a:extLst>
            <a:ext uri="{FF2B5EF4-FFF2-40B4-BE49-F238E27FC236}">
              <a16:creationId xmlns:a16="http://schemas.microsoft.com/office/drawing/2014/main" id="{8993DD79-8EE1-9F10-791F-730AC4B989DA}"/>
            </a:ext>
          </a:extLst>
        </xdr:cNvPr>
        <xdr:cNvPicPr>
          <a:picLocks noChangeAspect="1"/>
        </xdr:cNvPicPr>
      </xdr:nvPicPr>
      <xdr:blipFill>
        <a:blip xmlns:r="http://schemas.openxmlformats.org/officeDocument/2006/relationships" r:embed="rId7"/>
        <a:stretch>
          <a:fillRect/>
        </a:stretch>
      </xdr:blipFill>
      <xdr:spPr>
        <a:xfrm>
          <a:off x="0" y="29077920"/>
          <a:ext cx="4176122" cy="5921253"/>
        </a:xfrm>
        <a:prstGeom prst="rect">
          <a:avLst/>
        </a:prstGeom>
      </xdr:spPr>
    </xdr:pic>
    <xdr:clientData/>
  </xdr:twoCellAnchor>
  <xdr:twoCellAnchor editAs="oneCell">
    <xdr:from>
      <xdr:col>0</xdr:col>
      <xdr:colOff>0</xdr:colOff>
      <xdr:row>195</xdr:row>
      <xdr:rowOff>0</xdr:rowOff>
    </xdr:from>
    <xdr:to>
      <xdr:col>6</xdr:col>
      <xdr:colOff>518522</xdr:colOff>
      <xdr:row>227</xdr:row>
      <xdr:rowOff>15748</xdr:rowOff>
    </xdr:to>
    <xdr:pic>
      <xdr:nvPicPr>
        <xdr:cNvPr id="9" name="Picture 8">
          <a:extLst>
            <a:ext uri="{FF2B5EF4-FFF2-40B4-BE49-F238E27FC236}">
              <a16:creationId xmlns:a16="http://schemas.microsoft.com/office/drawing/2014/main" id="{06144758-859F-F893-69D1-268FBBFFBCFB}"/>
            </a:ext>
          </a:extLst>
        </xdr:cNvPr>
        <xdr:cNvPicPr>
          <a:picLocks noChangeAspect="1"/>
        </xdr:cNvPicPr>
      </xdr:nvPicPr>
      <xdr:blipFill>
        <a:blip xmlns:r="http://schemas.openxmlformats.org/officeDocument/2006/relationships" r:embed="rId8"/>
        <a:stretch>
          <a:fillRect/>
        </a:stretch>
      </xdr:blipFill>
      <xdr:spPr>
        <a:xfrm>
          <a:off x="0" y="35661600"/>
          <a:ext cx="4176122" cy="5867908"/>
        </a:xfrm>
        <a:prstGeom prst="rect">
          <a:avLst/>
        </a:prstGeom>
      </xdr:spPr>
    </xdr:pic>
    <xdr:clientData/>
  </xdr:twoCellAnchor>
  <xdr:twoCellAnchor editAs="oneCell">
    <xdr:from>
      <xdr:col>0</xdr:col>
      <xdr:colOff>0</xdr:colOff>
      <xdr:row>229</xdr:row>
      <xdr:rowOff>0</xdr:rowOff>
    </xdr:from>
    <xdr:to>
      <xdr:col>10</xdr:col>
      <xdr:colOff>152942</xdr:colOff>
      <xdr:row>249</xdr:row>
      <xdr:rowOff>137489</xdr:rowOff>
    </xdr:to>
    <xdr:pic>
      <xdr:nvPicPr>
        <xdr:cNvPr id="10" name="Picture 9">
          <a:extLst>
            <a:ext uri="{FF2B5EF4-FFF2-40B4-BE49-F238E27FC236}">
              <a16:creationId xmlns:a16="http://schemas.microsoft.com/office/drawing/2014/main" id="{CE1F4EAB-6672-6E9E-BB01-DD8F89220B22}"/>
            </a:ext>
          </a:extLst>
        </xdr:cNvPr>
        <xdr:cNvPicPr>
          <a:picLocks noChangeAspect="1"/>
        </xdr:cNvPicPr>
      </xdr:nvPicPr>
      <xdr:blipFill>
        <a:blip xmlns:r="http://schemas.openxmlformats.org/officeDocument/2006/relationships" r:embed="rId9"/>
        <a:stretch>
          <a:fillRect/>
        </a:stretch>
      </xdr:blipFill>
      <xdr:spPr>
        <a:xfrm>
          <a:off x="0" y="41879520"/>
          <a:ext cx="6248942" cy="3795089"/>
        </a:xfrm>
        <a:prstGeom prst="rect">
          <a:avLst/>
        </a:prstGeom>
      </xdr:spPr>
    </xdr:pic>
    <xdr:clientData/>
  </xdr:twoCellAnchor>
  <xdr:twoCellAnchor editAs="oneCell">
    <xdr:from>
      <xdr:col>0</xdr:col>
      <xdr:colOff>0</xdr:colOff>
      <xdr:row>252</xdr:row>
      <xdr:rowOff>0</xdr:rowOff>
    </xdr:from>
    <xdr:to>
      <xdr:col>10</xdr:col>
      <xdr:colOff>206286</xdr:colOff>
      <xdr:row>280</xdr:row>
      <xdr:rowOff>23306</xdr:rowOff>
    </xdr:to>
    <xdr:pic>
      <xdr:nvPicPr>
        <xdr:cNvPr id="11" name="Picture 10">
          <a:extLst>
            <a:ext uri="{FF2B5EF4-FFF2-40B4-BE49-F238E27FC236}">
              <a16:creationId xmlns:a16="http://schemas.microsoft.com/office/drawing/2014/main" id="{062B4984-B218-086C-FDFA-81D9E779BA2B}"/>
            </a:ext>
          </a:extLst>
        </xdr:cNvPr>
        <xdr:cNvPicPr>
          <a:picLocks noChangeAspect="1"/>
        </xdr:cNvPicPr>
      </xdr:nvPicPr>
      <xdr:blipFill>
        <a:blip xmlns:r="http://schemas.openxmlformats.org/officeDocument/2006/relationships" r:embed="rId10"/>
        <a:stretch>
          <a:fillRect/>
        </a:stretch>
      </xdr:blipFill>
      <xdr:spPr>
        <a:xfrm>
          <a:off x="0" y="46085760"/>
          <a:ext cx="6302286" cy="5143946"/>
        </a:xfrm>
        <a:prstGeom prst="rect">
          <a:avLst/>
        </a:prstGeom>
      </xdr:spPr>
    </xdr:pic>
    <xdr:clientData/>
  </xdr:twoCellAnchor>
  <xdr:twoCellAnchor editAs="oneCell">
    <xdr:from>
      <xdr:col>0</xdr:col>
      <xdr:colOff>7620</xdr:colOff>
      <xdr:row>283</xdr:row>
      <xdr:rowOff>45720</xdr:rowOff>
    </xdr:from>
    <xdr:to>
      <xdr:col>10</xdr:col>
      <xdr:colOff>267251</xdr:colOff>
      <xdr:row>309</xdr:row>
      <xdr:rowOff>23270</xdr:rowOff>
    </xdr:to>
    <xdr:pic>
      <xdr:nvPicPr>
        <xdr:cNvPr id="12" name="Picture 11">
          <a:extLst>
            <a:ext uri="{FF2B5EF4-FFF2-40B4-BE49-F238E27FC236}">
              <a16:creationId xmlns:a16="http://schemas.microsoft.com/office/drawing/2014/main" id="{68AF52CB-6FF4-DB87-7812-33AA1B813DA2}"/>
            </a:ext>
          </a:extLst>
        </xdr:cNvPr>
        <xdr:cNvPicPr>
          <a:picLocks noChangeAspect="1"/>
        </xdr:cNvPicPr>
      </xdr:nvPicPr>
      <xdr:blipFill>
        <a:blip xmlns:r="http://schemas.openxmlformats.org/officeDocument/2006/relationships" r:embed="rId11"/>
        <a:stretch>
          <a:fillRect/>
        </a:stretch>
      </xdr:blipFill>
      <xdr:spPr>
        <a:xfrm>
          <a:off x="7620" y="51800760"/>
          <a:ext cx="6355631" cy="4732430"/>
        </a:xfrm>
        <a:prstGeom prst="rect">
          <a:avLst/>
        </a:prstGeom>
      </xdr:spPr>
    </xdr:pic>
    <xdr:clientData/>
  </xdr:twoCellAnchor>
  <xdr:twoCellAnchor editAs="oneCell">
    <xdr:from>
      <xdr:col>0</xdr:col>
      <xdr:colOff>0</xdr:colOff>
      <xdr:row>312</xdr:row>
      <xdr:rowOff>0</xdr:rowOff>
    </xdr:from>
    <xdr:to>
      <xdr:col>6</xdr:col>
      <xdr:colOff>510901</xdr:colOff>
      <xdr:row>344</xdr:row>
      <xdr:rowOff>38610</xdr:rowOff>
    </xdr:to>
    <xdr:pic>
      <xdr:nvPicPr>
        <xdr:cNvPr id="14" name="Picture 13">
          <a:extLst>
            <a:ext uri="{FF2B5EF4-FFF2-40B4-BE49-F238E27FC236}">
              <a16:creationId xmlns:a16="http://schemas.microsoft.com/office/drawing/2014/main" id="{95628B5F-A7E9-2E1D-91FA-B3B5637195AE}"/>
            </a:ext>
          </a:extLst>
        </xdr:cNvPr>
        <xdr:cNvPicPr>
          <a:picLocks noChangeAspect="1"/>
        </xdr:cNvPicPr>
      </xdr:nvPicPr>
      <xdr:blipFill>
        <a:blip xmlns:r="http://schemas.openxmlformats.org/officeDocument/2006/relationships" r:embed="rId12"/>
        <a:stretch>
          <a:fillRect/>
        </a:stretch>
      </xdr:blipFill>
      <xdr:spPr>
        <a:xfrm>
          <a:off x="0" y="57058560"/>
          <a:ext cx="4168501" cy="5890770"/>
        </a:xfrm>
        <a:prstGeom prst="rect">
          <a:avLst/>
        </a:prstGeom>
      </xdr:spPr>
    </xdr:pic>
    <xdr:clientData/>
  </xdr:twoCellAnchor>
  <xdr:twoCellAnchor editAs="oneCell">
    <xdr:from>
      <xdr:col>0</xdr:col>
      <xdr:colOff>0</xdr:colOff>
      <xdr:row>346</xdr:row>
      <xdr:rowOff>0</xdr:rowOff>
    </xdr:from>
    <xdr:to>
      <xdr:col>9</xdr:col>
      <xdr:colOff>579646</xdr:colOff>
      <xdr:row>371</xdr:row>
      <xdr:rowOff>84223</xdr:rowOff>
    </xdr:to>
    <xdr:pic>
      <xdr:nvPicPr>
        <xdr:cNvPr id="15" name="Picture 14">
          <a:extLst>
            <a:ext uri="{FF2B5EF4-FFF2-40B4-BE49-F238E27FC236}">
              <a16:creationId xmlns:a16="http://schemas.microsoft.com/office/drawing/2014/main" id="{01355709-3A48-0F6F-3B13-0991F4CEA894}"/>
            </a:ext>
          </a:extLst>
        </xdr:cNvPr>
        <xdr:cNvPicPr>
          <a:picLocks noChangeAspect="1"/>
        </xdr:cNvPicPr>
      </xdr:nvPicPr>
      <xdr:blipFill>
        <a:blip xmlns:r="http://schemas.openxmlformats.org/officeDocument/2006/relationships" r:embed="rId13"/>
        <a:stretch>
          <a:fillRect/>
        </a:stretch>
      </xdr:blipFill>
      <xdr:spPr>
        <a:xfrm>
          <a:off x="0" y="63276480"/>
          <a:ext cx="6066046" cy="4656223"/>
        </a:xfrm>
        <a:prstGeom prst="rect">
          <a:avLst/>
        </a:prstGeom>
      </xdr:spPr>
    </xdr:pic>
    <xdr:clientData/>
  </xdr:twoCellAnchor>
  <xdr:twoCellAnchor editAs="oneCell">
    <xdr:from>
      <xdr:col>0</xdr:col>
      <xdr:colOff>0</xdr:colOff>
      <xdr:row>374</xdr:row>
      <xdr:rowOff>0</xdr:rowOff>
    </xdr:from>
    <xdr:to>
      <xdr:col>10</xdr:col>
      <xdr:colOff>213907</xdr:colOff>
      <xdr:row>402</xdr:row>
      <xdr:rowOff>91892</xdr:rowOff>
    </xdr:to>
    <xdr:pic>
      <xdr:nvPicPr>
        <xdr:cNvPr id="16" name="Picture 15">
          <a:extLst>
            <a:ext uri="{FF2B5EF4-FFF2-40B4-BE49-F238E27FC236}">
              <a16:creationId xmlns:a16="http://schemas.microsoft.com/office/drawing/2014/main" id="{27447BE4-75F5-678A-EE7A-65F69E8ADBD0}"/>
            </a:ext>
          </a:extLst>
        </xdr:cNvPr>
        <xdr:cNvPicPr>
          <a:picLocks noChangeAspect="1"/>
        </xdr:cNvPicPr>
      </xdr:nvPicPr>
      <xdr:blipFill>
        <a:blip xmlns:r="http://schemas.openxmlformats.org/officeDocument/2006/relationships" r:embed="rId14"/>
        <a:stretch>
          <a:fillRect/>
        </a:stretch>
      </xdr:blipFill>
      <xdr:spPr>
        <a:xfrm>
          <a:off x="0" y="68397120"/>
          <a:ext cx="6309907" cy="5212532"/>
        </a:xfrm>
        <a:prstGeom prst="rect">
          <a:avLst/>
        </a:prstGeom>
      </xdr:spPr>
    </xdr:pic>
    <xdr:clientData/>
  </xdr:twoCellAnchor>
  <xdr:twoCellAnchor editAs="oneCell">
    <xdr:from>
      <xdr:col>0</xdr:col>
      <xdr:colOff>0</xdr:colOff>
      <xdr:row>439</xdr:row>
      <xdr:rowOff>18142</xdr:rowOff>
    </xdr:from>
    <xdr:to>
      <xdr:col>10</xdr:col>
      <xdr:colOff>259631</xdr:colOff>
      <xdr:row>468</xdr:row>
      <xdr:rowOff>87189</xdr:rowOff>
    </xdr:to>
    <xdr:pic>
      <xdr:nvPicPr>
        <xdr:cNvPr id="17" name="Picture 16">
          <a:extLst>
            <a:ext uri="{FF2B5EF4-FFF2-40B4-BE49-F238E27FC236}">
              <a16:creationId xmlns:a16="http://schemas.microsoft.com/office/drawing/2014/main" id="{8C1A9C94-EB5E-078C-2E58-C7EF10F76DA8}"/>
            </a:ext>
          </a:extLst>
        </xdr:cNvPr>
        <xdr:cNvPicPr>
          <a:picLocks noChangeAspect="1"/>
        </xdr:cNvPicPr>
      </xdr:nvPicPr>
      <xdr:blipFill>
        <a:blip xmlns:r="http://schemas.openxmlformats.org/officeDocument/2006/relationships" r:embed="rId15"/>
        <a:stretch>
          <a:fillRect/>
        </a:stretch>
      </xdr:blipFill>
      <xdr:spPr>
        <a:xfrm>
          <a:off x="0" y="79665285"/>
          <a:ext cx="6428202" cy="5330475"/>
        </a:xfrm>
        <a:prstGeom prst="rect">
          <a:avLst/>
        </a:prstGeom>
      </xdr:spPr>
    </xdr:pic>
    <xdr:clientData/>
  </xdr:twoCellAnchor>
  <xdr:twoCellAnchor editAs="oneCell">
    <xdr:from>
      <xdr:col>0</xdr:col>
      <xdr:colOff>0</xdr:colOff>
      <xdr:row>472</xdr:row>
      <xdr:rowOff>18142</xdr:rowOff>
    </xdr:from>
    <xdr:to>
      <xdr:col>10</xdr:col>
      <xdr:colOff>130080</xdr:colOff>
      <xdr:row>500</xdr:row>
      <xdr:rowOff>155758</xdr:rowOff>
    </xdr:to>
    <xdr:pic>
      <xdr:nvPicPr>
        <xdr:cNvPr id="18" name="Picture 17">
          <a:extLst>
            <a:ext uri="{FF2B5EF4-FFF2-40B4-BE49-F238E27FC236}">
              <a16:creationId xmlns:a16="http://schemas.microsoft.com/office/drawing/2014/main" id="{D56E7BB7-93AD-70D4-08C9-270D96B0954C}"/>
            </a:ext>
          </a:extLst>
        </xdr:cNvPr>
        <xdr:cNvPicPr>
          <a:picLocks noChangeAspect="1"/>
        </xdr:cNvPicPr>
      </xdr:nvPicPr>
      <xdr:blipFill>
        <a:blip xmlns:r="http://schemas.openxmlformats.org/officeDocument/2006/relationships" r:embed="rId16"/>
        <a:stretch>
          <a:fillRect/>
        </a:stretch>
      </xdr:blipFill>
      <xdr:spPr>
        <a:xfrm>
          <a:off x="0" y="85652428"/>
          <a:ext cx="6298651" cy="5217616"/>
        </a:xfrm>
        <a:prstGeom prst="rect">
          <a:avLst/>
        </a:prstGeom>
      </xdr:spPr>
    </xdr:pic>
    <xdr:clientData/>
  </xdr:twoCellAnchor>
  <xdr:twoCellAnchor editAs="oneCell">
    <xdr:from>
      <xdr:col>0</xdr:col>
      <xdr:colOff>0</xdr:colOff>
      <xdr:row>504</xdr:row>
      <xdr:rowOff>18143</xdr:rowOff>
    </xdr:from>
    <xdr:to>
      <xdr:col>10</xdr:col>
      <xdr:colOff>244389</xdr:colOff>
      <xdr:row>534</xdr:row>
      <xdr:rowOff>110066</xdr:rowOff>
    </xdr:to>
    <xdr:pic>
      <xdr:nvPicPr>
        <xdr:cNvPr id="19" name="Picture 18">
          <a:extLst>
            <a:ext uri="{FF2B5EF4-FFF2-40B4-BE49-F238E27FC236}">
              <a16:creationId xmlns:a16="http://schemas.microsoft.com/office/drawing/2014/main" id="{628E5114-9A64-C91F-4D08-B0560CB1631F}"/>
            </a:ext>
          </a:extLst>
        </xdr:cNvPr>
        <xdr:cNvPicPr>
          <a:picLocks noChangeAspect="1"/>
        </xdr:cNvPicPr>
      </xdr:nvPicPr>
      <xdr:blipFill>
        <a:blip xmlns:r="http://schemas.openxmlformats.org/officeDocument/2006/relationships" r:embed="rId17"/>
        <a:stretch>
          <a:fillRect/>
        </a:stretch>
      </xdr:blipFill>
      <xdr:spPr>
        <a:xfrm>
          <a:off x="0" y="91458143"/>
          <a:ext cx="6412960" cy="5534780"/>
        </a:xfrm>
        <a:prstGeom prst="rect">
          <a:avLst/>
        </a:prstGeom>
      </xdr:spPr>
    </xdr:pic>
    <xdr:clientData/>
  </xdr:twoCellAnchor>
  <xdr:twoCellAnchor editAs="oneCell">
    <xdr:from>
      <xdr:col>0</xdr:col>
      <xdr:colOff>0</xdr:colOff>
      <xdr:row>538</xdr:row>
      <xdr:rowOff>18143</xdr:rowOff>
    </xdr:from>
    <xdr:to>
      <xdr:col>10</xdr:col>
      <xdr:colOff>114838</xdr:colOff>
      <xdr:row>556</xdr:row>
      <xdr:rowOff>18427</xdr:rowOff>
    </xdr:to>
    <xdr:pic>
      <xdr:nvPicPr>
        <xdr:cNvPr id="20" name="Picture 19">
          <a:extLst>
            <a:ext uri="{FF2B5EF4-FFF2-40B4-BE49-F238E27FC236}">
              <a16:creationId xmlns:a16="http://schemas.microsoft.com/office/drawing/2014/main" id="{E6FDE5CC-6D52-7486-B700-7CE025009AE2}"/>
            </a:ext>
          </a:extLst>
        </xdr:cNvPr>
        <xdr:cNvPicPr>
          <a:picLocks noChangeAspect="1"/>
        </xdr:cNvPicPr>
      </xdr:nvPicPr>
      <xdr:blipFill>
        <a:blip xmlns:r="http://schemas.openxmlformats.org/officeDocument/2006/relationships" r:embed="rId18"/>
        <a:stretch>
          <a:fillRect/>
        </a:stretch>
      </xdr:blipFill>
      <xdr:spPr>
        <a:xfrm>
          <a:off x="0" y="97626714"/>
          <a:ext cx="6283409" cy="3265999"/>
        </a:xfrm>
        <a:prstGeom prst="rect">
          <a:avLst/>
        </a:prstGeom>
      </xdr:spPr>
    </xdr:pic>
    <xdr:clientData/>
  </xdr:twoCellAnchor>
  <xdr:twoCellAnchor editAs="oneCell">
    <xdr:from>
      <xdr:col>0</xdr:col>
      <xdr:colOff>326571</xdr:colOff>
      <xdr:row>404</xdr:row>
      <xdr:rowOff>145143</xdr:rowOff>
    </xdr:from>
    <xdr:to>
      <xdr:col>11</xdr:col>
      <xdr:colOff>460702</xdr:colOff>
      <xdr:row>435</xdr:row>
      <xdr:rowOff>112</xdr:rowOff>
    </xdr:to>
    <xdr:pic>
      <xdr:nvPicPr>
        <xdr:cNvPr id="13" name="Picture 12">
          <a:extLst>
            <a:ext uri="{FF2B5EF4-FFF2-40B4-BE49-F238E27FC236}">
              <a16:creationId xmlns:a16="http://schemas.microsoft.com/office/drawing/2014/main" id="{7E70F275-FB47-9521-CA90-1B57E11025FF}"/>
            </a:ext>
          </a:extLst>
        </xdr:cNvPr>
        <xdr:cNvPicPr>
          <a:picLocks noChangeAspect="1"/>
        </xdr:cNvPicPr>
      </xdr:nvPicPr>
      <xdr:blipFill>
        <a:blip xmlns:r="http://schemas.openxmlformats.org/officeDocument/2006/relationships" r:embed="rId19"/>
        <a:stretch>
          <a:fillRect/>
        </a:stretch>
      </xdr:blipFill>
      <xdr:spPr>
        <a:xfrm>
          <a:off x="326571" y="73442286"/>
          <a:ext cx="6919560" cy="547925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rookins, Barry" id="{42665CE0-4383-4B5C-987C-6B85AF69216B}" userId="S::BBROOKINS@hdrinc.com::d0dc275e-3e8f-4a18-ad67-9a06b9850b76"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2">
  <rv s="0">
    <v>0</v>
    <v>4</v>
  </rv>
  <rv s="0">
    <v>1</v>
    <v>5</v>
  </rv>
  <rv s="0">
    <v>0</v>
    <v>5</v>
  </rv>
  <rv s="0">
    <v>2</v>
    <v>5</v>
  </rv>
  <rv s="0">
    <v>3</v>
    <v>5</v>
  </rv>
  <rv s="0">
    <v>4</v>
    <v>5</v>
  </rv>
  <rv s="0">
    <v>5</v>
    <v>5</v>
  </rv>
  <rv s="0">
    <v>6</v>
    <v>5</v>
  </rv>
  <rv s="0">
    <v>7</v>
    <v>5</v>
  </rv>
  <rv s="0">
    <v>8</v>
    <v>5</v>
  </rv>
  <rv s="0">
    <v>9</v>
    <v>5</v>
  </rv>
  <rv s="0">
    <v>10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1" dT="2025-07-28T23:15:56.96" personId="{42665CE0-4383-4B5C-987C-6B85AF69216B}" id="{81A5F285-E1C3-4745-B1A0-EC43997CC05C}">
    <text>Note this is different from “Highway Loading” tab</text>
  </threadedComment>
</ThreadedComment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barry.brookins@hdrinc.com" TargetMode="External"/><Relationship Id="rId1" Type="http://schemas.openxmlformats.org/officeDocument/2006/relationships/hyperlink" Target="mailto:Jonathan.Liechti@hdrinc.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ecfr.gov/current/title-49/subtitle-B/chapter-I/subchapter-D/part-192/subpart-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41979-43D1-4C9A-97C5-EA62F718E2EE}">
  <sheetPr codeName="Sheet1"/>
  <dimension ref="B3:G33"/>
  <sheetViews>
    <sheetView workbookViewId="0">
      <selection activeCell="J10" sqref="J10"/>
    </sheetView>
  </sheetViews>
  <sheetFormatPr defaultColWidth="9.33203125" defaultRowHeight="13.2"/>
  <cols>
    <col min="1" max="2" width="9.33203125" style="13"/>
    <col min="3" max="3" width="12.33203125" style="13" bestFit="1" customWidth="1"/>
    <col min="4" max="4" width="9.33203125" style="13"/>
    <col min="5" max="5" width="10.33203125" style="13" customWidth="1"/>
    <col min="6" max="6" width="11.6640625" style="13" customWidth="1"/>
    <col min="7" max="7" width="14.44140625" style="13" customWidth="1"/>
    <col min="8" max="16384" width="9.33203125" style="13"/>
  </cols>
  <sheetData>
    <row r="3" spans="2:7">
      <c r="D3" s="191" t="s">
        <v>0</v>
      </c>
      <c r="E3" s="191"/>
      <c r="F3" s="191"/>
      <c r="G3" s="191"/>
    </row>
    <row r="4" spans="2:7">
      <c r="D4" s="191" t="s">
        <v>1</v>
      </c>
      <c r="E4" s="191"/>
      <c r="F4" s="191"/>
      <c r="G4" s="191"/>
    </row>
    <row r="5" spans="2:7">
      <c r="D5" s="191" t="s">
        <v>2</v>
      </c>
      <c r="E5" s="191"/>
      <c r="F5" s="191"/>
      <c r="G5" s="191"/>
    </row>
    <row r="8" spans="2:7">
      <c r="B8" s="14" t="s">
        <v>3</v>
      </c>
      <c r="C8" s="15"/>
      <c r="D8" s="16" t="s">
        <v>4</v>
      </c>
      <c r="E8" s="17"/>
      <c r="F8" s="14" t="s">
        <v>5</v>
      </c>
      <c r="G8" s="15"/>
    </row>
    <row r="9" spans="2:7" ht="15.6">
      <c r="B9" s="192" t="s">
        <v>6</v>
      </c>
      <c r="C9" s="193"/>
      <c r="D9" s="18"/>
      <c r="E9" s="19"/>
      <c r="F9" s="20" t="s">
        <v>7</v>
      </c>
      <c r="G9" s="21">
        <v>45665</v>
      </c>
    </row>
    <row r="10" spans="2:7">
      <c r="B10" s="14"/>
      <c r="C10" s="22" t="s">
        <v>8</v>
      </c>
      <c r="D10" s="15" t="s">
        <v>9</v>
      </c>
      <c r="E10" s="15"/>
      <c r="F10" s="20" t="s">
        <v>10</v>
      </c>
      <c r="G10" s="15" t="s">
        <v>9</v>
      </c>
    </row>
    <row r="13" spans="2:7">
      <c r="B13" s="23" t="s">
        <v>11</v>
      </c>
    </row>
    <row r="14" spans="2:7">
      <c r="B14" s="24" t="s">
        <v>12</v>
      </c>
      <c r="C14" s="194" t="s">
        <v>13</v>
      </c>
      <c r="D14" s="195"/>
      <c r="E14" s="195"/>
      <c r="F14" s="196"/>
      <c r="G14" s="28" t="s">
        <v>14</v>
      </c>
    </row>
    <row r="15" spans="2:7">
      <c r="B15" s="24"/>
      <c r="C15" s="25"/>
      <c r="D15" s="26" t="s">
        <v>15</v>
      </c>
      <c r="E15" s="26" t="s">
        <v>16</v>
      </c>
      <c r="F15" s="27" t="s">
        <v>17</v>
      </c>
      <c r="G15" s="28"/>
    </row>
    <row r="16" spans="2:7">
      <c r="B16" s="29">
        <v>0</v>
      </c>
      <c r="C16" s="14" t="s">
        <v>18</v>
      </c>
      <c r="D16" s="30" t="s">
        <v>19</v>
      </c>
      <c r="E16" s="30" t="s">
        <v>20</v>
      </c>
      <c r="F16" s="15"/>
      <c r="G16" s="31">
        <v>45665</v>
      </c>
    </row>
    <row r="17" spans="2:7">
      <c r="B17" s="29">
        <v>1</v>
      </c>
      <c r="C17" s="32"/>
      <c r="F17" s="33"/>
      <c r="G17" s="34"/>
    </row>
    <row r="18" spans="2:7">
      <c r="B18" s="29"/>
      <c r="C18" s="14"/>
      <c r="D18" s="30"/>
      <c r="E18" s="30"/>
      <c r="F18" s="15"/>
      <c r="G18" s="34"/>
    </row>
    <row r="19" spans="2:7">
      <c r="B19" s="29"/>
      <c r="C19" s="18"/>
      <c r="D19" s="35"/>
      <c r="E19" s="35"/>
      <c r="F19" s="19"/>
      <c r="G19" s="34"/>
    </row>
    <row r="20" spans="2:7">
      <c r="B20" s="36"/>
    </row>
    <row r="22" spans="2:7">
      <c r="B22" s="37" t="s">
        <v>21</v>
      </c>
    </row>
    <row r="24" spans="2:7">
      <c r="B24" s="37" t="s">
        <v>9</v>
      </c>
    </row>
    <row r="25" spans="2:7">
      <c r="B25" s="38" t="s">
        <v>22</v>
      </c>
    </row>
    <row r="26" spans="2:7" ht="14.4">
      <c r="B26" s="39" t="s">
        <v>23</v>
      </c>
    </row>
    <row r="27" spans="2:7">
      <c r="B27" s="40"/>
    </row>
    <row r="28" spans="2:7">
      <c r="B28" s="13" t="s">
        <v>24</v>
      </c>
    </row>
    <row r="30" spans="2:7">
      <c r="B30" s="37" t="s">
        <v>25</v>
      </c>
    </row>
    <row r="31" spans="2:7">
      <c r="B31" s="13" t="s">
        <v>26</v>
      </c>
    </row>
    <row r="32" spans="2:7">
      <c r="B32" s="38" t="s">
        <v>27</v>
      </c>
    </row>
    <row r="33" spans="2:2" ht="14.4">
      <c r="B33" s="41" t="s">
        <v>28</v>
      </c>
    </row>
  </sheetData>
  <mergeCells count="5">
    <mergeCell ref="D3:G3"/>
    <mergeCell ref="D4:G4"/>
    <mergeCell ref="D5:G5"/>
    <mergeCell ref="B9:C9"/>
    <mergeCell ref="C14:F14"/>
  </mergeCells>
  <hyperlinks>
    <hyperlink ref="B33" r:id="rId1" xr:uid="{A18FFA9E-3CDB-4D18-86FC-958E6B0A3492}"/>
    <hyperlink ref="B26" r:id="rId2" xr:uid="{C6B2E4CB-B1FE-4970-99F0-FAC7D4A368CD}"/>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16466-DD0E-4F27-96E3-B003A03FFAA4}">
  <sheetPr codeName="Sheet2"/>
  <dimension ref="A1"/>
  <sheetViews>
    <sheetView workbookViewId="0">
      <selection activeCell="O10" sqref="O10"/>
    </sheetView>
  </sheetViews>
  <sheetFormatPr defaultRowHeight="14.4"/>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6CBB4-B948-4BDB-81AE-B3F3CC540D4E}">
  <sheetPr codeName="Sheet3"/>
  <dimension ref="A1:C13"/>
  <sheetViews>
    <sheetView workbookViewId="0">
      <selection activeCell="B23" sqref="B23"/>
    </sheetView>
  </sheetViews>
  <sheetFormatPr defaultColWidth="9.33203125" defaultRowHeight="13.2"/>
  <cols>
    <col min="1" max="1" width="13.6640625" style="42" bestFit="1" customWidth="1"/>
    <col min="2" max="2" width="35.6640625" style="42" bestFit="1" customWidth="1"/>
    <col min="3" max="9" width="9.33203125" style="42"/>
    <col min="10" max="10" width="1.6640625" style="42" customWidth="1"/>
    <col min="11" max="16384" width="9.33203125" style="42"/>
  </cols>
  <sheetData>
    <row r="1" spans="1:3" ht="15.6">
      <c r="A1" s="197" t="s">
        <v>29</v>
      </c>
      <c r="B1" s="198"/>
    </row>
    <row r="2" spans="1:3">
      <c r="A2" s="43" t="s">
        <v>30</v>
      </c>
      <c r="B2" s="44" t="s">
        <v>31</v>
      </c>
    </row>
    <row r="3" spans="1:3">
      <c r="A3" s="45" t="s">
        <v>32</v>
      </c>
      <c r="B3" s="46" t="s">
        <v>33</v>
      </c>
    </row>
    <row r="4" spans="1:3">
      <c r="A4" s="47" t="s">
        <v>34</v>
      </c>
      <c r="B4" s="48" t="s">
        <v>35</v>
      </c>
    </row>
    <row r="5" spans="1:3">
      <c r="A5" s="49"/>
      <c r="B5" s="49"/>
      <c r="C5" s="49"/>
    </row>
    <row r="6" spans="1:3">
      <c r="A6" s="50"/>
    </row>
    <row r="8" spans="1:3" ht="15.6">
      <c r="A8" s="51"/>
    </row>
    <row r="10" spans="1:3">
      <c r="A10" s="49"/>
    </row>
    <row r="11" spans="1:3">
      <c r="A11" s="52"/>
    </row>
    <row r="13" spans="1:3">
      <c r="A13" s="53"/>
    </row>
  </sheetData>
  <mergeCells count="1">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B064B-82E1-4FC6-A177-E412EE3CBCE6}">
  <sheetPr codeName="Sheet4"/>
  <dimension ref="A2:D29"/>
  <sheetViews>
    <sheetView workbookViewId="0">
      <selection activeCell="I34" sqref="I34"/>
    </sheetView>
  </sheetViews>
  <sheetFormatPr defaultColWidth="9.33203125" defaultRowHeight="13.2"/>
  <cols>
    <col min="1" max="1" width="4.33203125" style="57" customWidth="1"/>
    <col min="2" max="2" width="27.33203125" style="57" bestFit="1" customWidth="1"/>
    <col min="3" max="3" width="117.44140625" style="57" customWidth="1"/>
    <col min="4" max="16384" width="9.33203125" style="57"/>
  </cols>
  <sheetData>
    <row r="2" spans="1:4" s="54" customFormat="1" ht="15.6">
      <c r="B2" s="55" t="s">
        <v>36</v>
      </c>
    </row>
    <row r="3" spans="1:4" s="54" customFormat="1" ht="15.6">
      <c r="B3" s="56"/>
    </row>
    <row r="4" spans="1:4">
      <c r="B4" s="58" t="s">
        <v>37</v>
      </c>
      <c r="C4" s="58" t="s">
        <v>38</v>
      </c>
    </row>
    <row r="5" spans="1:4">
      <c r="B5" s="59" t="s">
        <v>39</v>
      </c>
      <c r="C5" s="60" t="s">
        <v>40</v>
      </c>
    </row>
    <row r="6" spans="1:4">
      <c r="A6" s="61">
        <v>1</v>
      </c>
      <c r="B6" s="59" t="s">
        <v>41</v>
      </c>
      <c r="C6" s="60" t="s">
        <v>42</v>
      </c>
      <c r="D6" s="61"/>
    </row>
    <row r="7" spans="1:4">
      <c r="A7" s="61">
        <f t="shared" ref="A7:A29" si="0">1+A6</f>
        <v>2</v>
      </c>
      <c r="B7" s="59" t="s">
        <v>38</v>
      </c>
      <c r="C7" s="62" t="s">
        <v>36</v>
      </c>
      <c r="D7" s="61"/>
    </row>
    <row r="8" spans="1:4">
      <c r="A8" s="61">
        <f t="shared" si="0"/>
        <v>3</v>
      </c>
      <c r="B8" s="59" t="s">
        <v>43</v>
      </c>
      <c r="C8" s="62" t="s">
        <v>44</v>
      </c>
      <c r="D8" s="61"/>
    </row>
    <row r="9" spans="1:4">
      <c r="A9" s="61">
        <f t="shared" si="0"/>
        <v>4</v>
      </c>
      <c r="B9" s="59" t="s">
        <v>45</v>
      </c>
      <c r="C9" s="60" t="s">
        <v>494</v>
      </c>
      <c r="D9" s="61"/>
    </row>
    <row r="10" spans="1:4">
      <c r="A10" s="61">
        <f t="shared" si="0"/>
        <v>5</v>
      </c>
      <c r="B10" s="59" t="s">
        <v>46</v>
      </c>
      <c r="C10" s="60" t="s">
        <v>495</v>
      </c>
      <c r="D10" s="61"/>
    </row>
    <row r="11" spans="1:4">
      <c r="A11" s="61">
        <f t="shared" si="0"/>
        <v>6</v>
      </c>
      <c r="B11" s="59" t="s">
        <v>47</v>
      </c>
      <c r="C11" s="60" t="s">
        <v>48</v>
      </c>
      <c r="D11" s="61"/>
    </row>
    <row r="12" spans="1:4">
      <c r="A12" s="61">
        <f t="shared" si="0"/>
        <v>7</v>
      </c>
      <c r="B12" s="59" t="s">
        <v>49</v>
      </c>
      <c r="C12" s="60" t="s">
        <v>50</v>
      </c>
      <c r="D12" s="61"/>
    </row>
    <row r="13" spans="1:4">
      <c r="A13" s="61">
        <f t="shared" si="0"/>
        <v>8</v>
      </c>
      <c r="B13" s="59"/>
      <c r="C13" s="60"/>
      <c r="D13" s="61"/>
    </row>
    <row r="14" spans="1:4">
      <c r="A14" s="61">
        <f t="shared" si="0"/>
        <v>9</v>
      </c>
      <c r="B14" s="59"/>
      <c r="C14" s="60"/>
      <c r="D14" s="61"/>
    </row>
    <row r="15" spans="1:4">
      <c r="A15" s="61">
        <f t="shared" si="0"/>
        <v>10</v>
      </c>
      <c r="B15" s="59"/>
      <c r="C15" s="60"/>
      <c r="D15" s="61"/>
    </row>
    <row r="16" spans="1:4">
      <c r="A16" s="61">
        <f t="shared" si="0"/>
        <v>11</v>
      </c>
      <c r="B16" s="59"/>
      <c r="C16" s="60"/>
      <c r="D16" s="61"/>
    </row>
    <row r="17" spans="1:4">
      <c r="A17" s="61">
        <f t="shared" si="0"/>
        <v>12</v>
      </c>
      <c r="B17" s="59"/>
      <c r="C17" s="60"/>
      <c r="D17" s="61"/>
    </row>
    <row r="18" spans="1:4">
      <c r="A18" s="61">
        <f t="shared" si="0"/>
        <v>13</v>
      </c>
      <c r="B18" s="59"/>
      <c r="C18" s="60"/>
      <c r="D18" s="61"/>
    </row>
    <row r="19" spans="1:4">
      <c r="A19" s="61">
        <f t="shared" si="0"/>
        <v>14</v>
      </c>
      <c r="B19" s="59"/>
      <c r="C19" s="60"/>
      <c r="D19" s="61"/>
    </row>
    <row r="20" spans="1:4">
      <c r="A20" s="61">
        <f t="shared" si="0"/>
        <v>15</v>
      </c>
      <c r="B20" s="59"/>
      <c r="C20" s="60"/>
      <c r="D20" s="61"/>
    </row>
    <row r="21" spans="1:4">
      <c r="A21" s="61">
        <f t="shared" si="0"/>
        <v>16</v>
      </c>
      <c r="B21" s="59"/>
      <c r="C21" s="60"/>
      <c r="D21" s="61"/>
    </row>
    <row r="22" spans="1:4">
      <c r="A22" s="61">
        <f t="shared" si="0"/>
        <v>17</v>
      </c>
      <c r="B22" s="59"/>
      <c r="C22" s="60"/>
      <c r="D22" s="61"/>
    </row>
    <row r="23" spans="1:4">
      <c r="A23" s="61">
        <f t="shared" si="0"/>
        <v>18</v>
      </c>
      <c r="B23" s="59"/>
      <c r="C23" s="60"/>
      <c r="D23" s="61"/>
    </row>
    <row r="24" spans="1:4">
      <c r="A24" s="61">
        <f t="shared" si="0"/>
        <v>19</v>
      </c>
      <c r="B24" s="59"/>
      <c r="C24" s="60"/>
      <c r="D24" s="61"/>
    </row>
    <row r="25" spans="1:4">
      <c r="A25" s="61">
        <f t="shared" si="0"/>
        <v>20</v>
      </c>
      <c r="B25" s="59"/>
      <c r="C25" s="60"/>
      <c r="D25" s="61"/>
    </row>
    <row r="26" spans="1:4">
      <c r="A26" s="61">
        <f t="shared" si="0"/>
        <v>21</v>
      </c>
      <c r="B26" s="59"/>
      <c r="C26" s="60"/>
      <c r="D26" s="61"/>
    </row>
    <row r="27" spans="1:4">
      <c r="A27" s="61">
        <f t="shared" si="0"/>
        <v>22</v>
      </c>
      <c r="B27" s="59"/>
      <c r="C27" s="60"/>
      <c r="D27" s="61"/>
    </row>
    <row r="28" spans="1:4">
      <c r="A28" s="61">
        <f t="shared" si="0"/>
        <v>23</v>
      </c>
      <c r="B28" s="59"/>
      <c r="C28" s="60"/>
      <c r="D28" s="61"/>
    </row>
    <row r="29" spans="1:4">
      <c r="A29" s="61">
        <f t="shared" si="0"/>
        <v>24</v>
      </c>
      <c r="B29" s="59"/>
      <c r="C29" s="60"/>
      <c r="D29" s="6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4CAB-C4D4-44E8-8DED-5D5C462B3BFA}">
  <sheetPr codeName="Sheet5"/>
  <dimension ref="A1:G50"/>
  <sheetViews>
    <sheetView topLeftCell="A27" workbookViewId="0">
      <selection activeCell="A34" sqref="A34"/>
    </sheetView>
  </sheetViews>
  <sheetFormatPr defaultColWidth="9.33203125" defaultRowHeight="13.2"/>
  <cols>
    <col min="1" max="1" width="108.44140625" style="69" customWidth="1"/>
    <col min="2" max="3" width="9.33203125" style="57"/>
    <col min="4" max="4" width="66.88671875" style="57" customWidth="1"/>
    <col min="5" max="16384" width="9.33203125" style="57"/>
  </cols>
  <sheetData>
    <row r="1" spans="1:7">
      <c r="A1" s="63" t="s">
        <v>51</v>
      </c>
    </row>
    <row r="3" spans="1:7" ht="15.6">
      <c r="A3" s="64" t="s">
        <v>52</v>
      </c>
    </row>
    <row r="4" spans="1:7" ht="30">
      <c r="A4" s="65" t="s">
        <v>53</v>
      </c>
    </row>
    <row r="5" spans="1:7" ht="15">
      <c r="A5" s="66"/>
    </row>
    <row r="6" spans="1:7" ht="15.6">
      <c r="A6" s="67" t="s">
        <v>54</v>
      </c>
    </row>
    <row r="7" spans="1:7" ht="15">
      <c r="A7" s="65"/>
    </row>
    <row r="8" spans="1:7" ht="15">
      <c r="A8" s="66"/>
    </row>
    <row r="9" spans="1:7" ht="15.6">
      <c r="A9" s="68" t="s">
        <v>55</v>
      </c>
    </row>
    <row r="10" spans="1:7" ht="75.599999999999994">
      <c r="A10" s="65" t="s">
        <v>497</v>
      </c>
      <c r="D10" s="190"/>
      <c r="E10" s="190"/>
      <c r="F10" s="190"/>
      <c r="G10" s="190"/>
    </row>
    <row r="11" spans="1:7" ht="15.6">
      <c r="A11" s="67" t="s">
        <v>56</v>
      </c>
    </row>
    <row r="12" spans="1:7" ht="15">
      <c r="A12" s="66" t="s">
        <v>57</v>
      </c>
    </row>
    <row r="13" spans="1:7" ht="15.6">
      <c r="A13" s="67" t="s">
        <v>58</v>
      </c>
    </row>
    <row r="14" spans="1:7" ht="15">
      <c r="A14" s="66" t="s">
        <v>59</v>
      </c>
    </row>
    <row r="15" spans="1:7" ht="15.6">
      <c r="A15" s="67" t="s">
        <v>60</v>
      </c>
    </row>
    <row r="16" spans="1:7" ht="45">
      <c r="A16" s="66" t="s">
        <v>61</v>
      </c>
    </row>
    <row r="17" spans="1:1" ht="15.6">
      <c r="A17" s="67" t="s">
        <v>62</v>
      </c>
    </row>
    <row r="18" spans="1:1" ht="45">
      <c r="A18" s="66" t="s">
        <v>508</v>
      </c>
    </row>
    <row r="19" spans="1:1" ht="15.6">
      <c r="A19" s="67" t="s">
        <v>63</v>
      </c>
    </row>
    <row r="20" spans="1:1" ht="45">
      <c r="A20" s="66" t="s">
        <v>507</v>
      </c>
    </row>
    <row r="21" spans="1:1" ht="15.6">
      <c r="A21" s="67" t="s">
        <v>64</v>
      </c>
    </row>
    <row r="22" spans="1:1" ht="30">
      <c r="A22" s="66" t="s">
        <v>65</v>
      </c>
    </row>
    <row r="23" spans="1:1" ht="15.6">
      <c r="A23" s="67" t="s">
        <v>66</v>
      </c>
    </row>
    <row r="24" spans="1:1" ht="30">
      <c r="A24" s="66" t="s">
        <v>67</v>
      </c>
    </row>
    <row r="25" spans="1:1" ht="15.6">
      <c r="A25" s="67" t="s">
        <v>68</v>
      </c>
    </row>
    <row r="26" spans="1:1" ht="45">
      <c r="A26" s="66" t="s">
        <v>496</v>
      </c>
    </row>
    <row r="27" spans="1:1" ht="15.6">
      <c r="A27" s="67" t="s">
        <v>69</v>
      </c>
    </row>
    <row r="28" spans="1:1" ht="15">
      <c r="A28" s="66" t="s">
        <v>70</v>
      </c>
    </row>
    <row r="29" spans="1:1" ht="15.6">
      <c r="A29" s="67" t="s">
        <v>71</v>
      </c>
    </row>
    <row r="30" spans="1:1" ht="45">
      <c r="A30" s="66" t="s">
        <v>72</v>
      </c>
    </row>
    <row r="31" spans="1:1" ht="15.6">
      <c r="A31" s="67" t="s">
        <v>73</v>
      </c>
    </row>
    <row r="32" spans="1:1" ht="15">
      <c r="A32" s="66" t="s">
        <v>74</v>
      </c>
    </row>
    <row r="33" spans="1:1" ht="15.6">
      <c r="A33" s="67" t="s">
        <v>75</v>
      </c>
    </row>
    <row r="34" spans="1:1" ht="15">
      <c r="A34" s="66" t="s">
        <v>76</v>
      </c>
    </row>
    <row r="35" spans="1:1" ht="15.6">
      <c r="A35" s="67" t="s">
        <v>77</v>
      </c>
    </row>
    <row r="36" spans="1:1" ht="15">
      <c r="A36" s="66" t="s">
        <v>78</v>
      </c>
    </row>
    <row r="37" spans="1:1" ht="15.6">
      <c r="A37" s="67"/>
    </row>
    <row r="38" spans="1:1" ht="15.6">
      <c r="A38" s="68" t="s">
        <v>505</v>
      </c>
    </row>
    <row r="39" spans="1:1" ht="45">
      <c r="A39" s="65" t="s">
        <v>491</v>
      </c>
    </row>
    <row r="40" spans="1:1" ht="15">
      <c r="A40" s="188"/>
    </row>
    <row r="41" spans="1:1" ht="15.6">
      <c r="A41" s="189" t="s">
        <v>492</v>
      </c>
    </row>
    <row r="42" spans="1:1" ht="15">
      <c r="A42" s="188" t="s">
        <v>499</v>
      </c>
    </row>
    <row r="43" spans="1:1" ht="15">
      <c r="A43" s="188" t="s">
        <v>500</v>
      </c>
    </row>
    <row r="44" spans="1:1" ht="15">
      <c r="A44" s="188" t="s">
        <v>504</v>
      </c>
    </row>
    <row r="45" spans="1:1" ht="15">
      <c r="A45" s="188" t="s">
        <v>501</v>
      </c>
    </row>
    <row r="46" spans="1:1" ht="15">
      <c r="A46" s="188" t="s">
        <v>502</v>
      </c>
    </row>
    <row r="47" spans="1:1" ht="15">
      <c r="A47" s="188" t="s">
        <v>503</v>
      </c>
    </row>
    <row r="48" spans="1:1" ht="15">
      <c r="A48" s="188"/>
    </row>
    <row r="49" spans="1:1" ht="15">
      <c r="A49" s="188"/>
    </row>
    <row r="50" spans="1:1" ht="15">
      <c r="A50" s="188" t="s">
        <v>498</v>
      </c>
    </row>
  </sheetData>
  <mergeCells count="1">
    <mergeCell ref="D10:G1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G371"/>
  <sheetViews>
    <sheetView topLeftCell="A249" zoomScale="64" zoomScaleNormal="55" workbookViewId="0">
      <selection activeCell="B271" sqref="B271:G371"/>
    </sheetView>
  </sheetViews>
  <sheetFormatPr defaultRowHeight="14.4"/>
  <cols>
    <col min="1" max="1" width="11.6640625" bestFit="1" customWidth="1"/>
    <col min="2" max="2" width="52.33203125" bestFit="1" customWidth="1"/>
    <col min="3" max="3" width="24.44140625" bestFit="1" customWidth="1"/>
    <col min="4" max="4" width="13.44140625" bestFit="1" customWidth="1"/>
    <col min="5" max="5" width="60.5546875" customWidth="1"/>
    <col min="8" max="8" width="53.33203125" bestFit="1" customWidth="1"/>
    <col min="9" max="9" width="15.21875" bestFit="1" customWidth="1"/>
    <col min="11" max="12" width="51.44140625" bestFit="1" customWidth="1"/>
    <col min="14" max="14" width="7.21875" bestFit="1" customWidth="1"/>
    <col min="15" max="15" width="51.44140625" bestFit="1" customWidth="1"/>
  </cols>
  <sheetData>
    <row r="1" spans="1:5">
      <c r="A1" s="203" t="s">
        <v>79</v>
      </c>
      <c r="B1" s="203"/>
      <c r="C1" s="203"/>
      <c r="D1" s="203"/>
      <c r="E1" s="203"/>
    </row>
    <row r="3" spans="1:5" ht="14.4" customHeight="1">
      <c r="A3" s="70" t="s">
        <v>80</v>
      </c>
      <c r="B3" s="208" t="s">
        <v>53</v>
      </c>
      <c r="C3" s="208"/>
      <c r="D3" s="208"/>
      <c r="E3" s="209"/>
    </row>
    <row r="5" spans="1:5">
      <c r="A5" s="71" t="s">
        <v>81</v>
      </c>
      <c r="B5" s="72" t="s">
        <v>82</v>
      </c>
      <c r="C5" s="72" t="s">
        <v>83</v>
      </c>
      <c r="D5" s="72" t="s">
        <v>84</v>
      </c>
      <c r="E5" s="73" t="s">
        <v>85</v>
      </c>
    </row>
    <row r="6" spans="1:5">
      <c r="A6" s="74"/>
      <c r="B6" t="s">
        <v>86</v>
      </c>
      <c r="C6" t="s">
        <v>87</v>
      </c>
      <c r="D6" t="s">
        <v>88</v>
      </c>
      <c r="E6" s="75"/>
    </row>
    <row r="7" spans="1:5">
      <c r="A7" s="74"/>
      <c r="B7" t="s">
        <v>89</v>
      </c>
      <c r="C7" t="s">
        <v>90</v>
      </c>
      <c r="D7" t="s">
        <v>88</v>
      </c>
      <c r="E7" s="75"/>
    </row>
    <row r="8" spans="1:5">
      <c r="A8" s="74"/>
      <c r="B8" t="s">
        <v>91</v>
      </c>
      <c r="C8" t="s">
        <v>92</v>
      </c>
      <c r="D8" t="s">
        <v>88</v>
      </c>
      <c r="E8" s="75"/>
    </row>
    <row r="9" spans="1:5">
      <c r="A9" s="76"/>
      <c r="B9" s="77" t="s">
        <v>93</v>
      </c>
      <c r="C9" s="77" t="s">
        <v>94</v>
      </c>
      <c r="D9" s="77" t="s">
        <v>88</v>
      </c>
      <c r="E9" s="78"/>
    </row>
    <row r="11" spans="1:5">
      <c r="A11" s="71" t="s">
        <v>95</v>
      </c>
      <c r="B11" s="72" t="s">
        <v>82</v>
      </c>
      <c r="C11" s="72" t="s">
        <v>96</v>
      </c>
      <c r="D11" s="72" t="s">
        <v>84</v>
      </c>
      <c r="E11" s="73" t="s">
        <v>85</v>
      </c>
    </row>
    <row r="12" spans="1:5">
      <c r="A12" s="74"/>
      <c r="B12" t="s">
        <v>97</v>
      </c>
      <c r="C12" s="3">
        <v>12</v>
      </c>
      <c r="D12" t="s">
        <v>98</v>
      </c>
      <c r="E12" s="75"/>
    </row>
    <row r="13" spans="1:5">
      <c r="A13" s="74"/>
      <c r="B13" t="s">
        <v>99</v>
      </c>
      <c r="C13">
        <f>IFERROR(VLOOKUP(C12, 'Railroad Loading'!B312:C347, 2, FALSE), C12)</f>
        <v>12.75</v>
      </c>
      <c r="D13" t="s">
        <v>98</v>
      </c>
      <c r="E13" s="75"/>
    </row>
    <row r="14" spans="1:5">
      <c r="A14" s="74"/>
      <c r="B14" t="s">
        <v>100</v>
      </c>
      <c r="C14" s="3">
        <v>0.25</v>
      </c>
      <c r="D14" t="s">
        <v>98</v>
      </c>
      <c r="E14" s="75"/>
    </row>
    <row r="15" spans="1:5">
      <c r="A15" s="74"/>
      <c r="B15" t="s">
        <v>326</v>
      </c>
      <c r="C15" s="180" t="s">
        <v>412</v>
      </c>
      <c r="E15" s="75"/>
    </row>
    <row r="16" spans="1:5">
      <c r="A16" s="74"/>
      <c r="B16" t="s">
        <v>465</v>
      </c>
      <c r="C16" s="180" t="s">
        <v>413</v>
      </c>
      <c r="E16" s="75"/>
    </row>
    <row r="17" spans="1:5">
      <c r="A17" s="74"/>
      <c r="B17" t="s">
        <v>101</v>
      </c>
      <c r="C17" s="181">
        <f>IF(ISBLANK($C$16)=TRUE,"",INDEX('Railroad Loading'!$C$232:$AG$232,MATCH($C$16,'Railroad Loading'!$C$231:$AG$231,0)))</f>
        <v>42000</v>
      </c>
      <c r="D17" t="s">
        <v>88</v>
      </c>
      <c r="E17" s="75"/>
    </row>
    <row r="18" spans="1:5" ht="28.8">
      <c r="A18" s="74"/>
      <c r="B18" t="s">
        <v>466</v>
      </c>
      <c r="C18" s="6" t="s">
        <v>456</v>
      </c>
      <c r="E18" s="75"/>
    </row>
    <row r="19" spans="1:5">
      <c r="A19" s="74"/>
      <c r="B19" t="s">
        <v>102</v>
      </c>
      <c r="C19" s="3">
        <v>1</v>
      </c>
      <c r="E19" s="75" t="s">
        <v>103</v>
      </c>
    </row>
    <row r="20" spans="1:5">
      <c r="A20" s="74"/>
      <c r="B20" t="s">
        <v>104</v>
      </c>
      <c r="C20">
        <f>INDEX('Railroad Loading'!I261:L269,MATCH(C18,'Railroad Loading'!H261:H269,0),MATCH(C19,'Railroad Loading'!I260:L260,0))</f>
        <v>0.72</v>
      </c>
      <c r="E20" s="75"/>
    </row>
    <row r="21" spans="1:5">
      <c r="A21" s="74"/>
      <c r="B21" t="s">
        <v>105</v>
      </c>
      <c r="C21" s="3" t="s">
        <v>106</v>
      </c>
      <c r="E21" s="75"/>
    </row>
    <row r="22" spans="1:5">
      <c r="A22" s="74"/>
      <c r="B22" t="s">
        <v>107</v>
      </c>
      <c r="C22">
        <f>IF(ISBLANK($C$21),"",IF(OR($C$21="SEAMLESS",$C$21="ELECTRIC RESISTANCE WELDED",$C$21="SUBMERGED ARC WELDED",$C$21="COMBINATION WELDED"),1,IF($C$21="FURNACE BUTT WELDED",0.6,IF($C$21="ELECTRIC FUSION WELDED, EVEN CLASS",1,IF($C$21="ELECTRIC FUSION WELDED, ODD CLASS",0.8,IF($C$13&gt;4.5,0.8,0.6))))))</f>
        <v>1</v>
      </c>
      <c r="E22" s="75"/>
    </row>
    <row r="23" spans="1:5">
      <c r="A23" s="74"/>
      <c r="B23" t="s">
        <v>108</v>
      </c>
      <c r="C23" s="3" t="s">
        <v>109</v>
      </c>
      <c r="E23" s="75"/>
    </row>
    <row r="24" spans="1:5">
      <c r="A24" s="74"/>
      <c r="B24" t="s">
        <v>110</v>
      </c>
      <c r="C24" s="181">
        <f>(VLOOKUP(C23,'Railroad Loading'!B299:E308,2, FALSE))</f>
        <v>29000000</v>
      </c>
      <c r="D24" t="s">
        <v>88</v>
      </c>
      <c r="E24" s="75" t="str">
        <f>_xlfn.CONCAT("Typically ", (VLOOKUP(C23,'Railroad Loading'!B299:E308,2, FALSE)), " psi")</f>
        <v>Typically 29000000 psi</v>
      </c>
    </row>
    <row r="25" spans="1:5">
      <c r="A25" s="74"/>
      <c r="B25" t="s">
        <v>111</v>
      </c>
      <c r="C25">
        <f>(VLOOKUP(C23,'Railroad Loading'!B299:E308,3, FALSE))</f>
        <v>0.3</v>
      </c>
      <c r="E25" s="75"/>
    </row>
    <row r="26" spans="1:5">
      <c r="A26" s="74"/>
      <c r="B26" t="s">
        <v>112</v>
      </c>
      <c r="C26">
        <f>(VLOOKUP(C23,'Railroad Loading'!B299:E308,4, FALSE))</f>
        <v>6.4999999999999996E-6</v>
      </c>
      <c r="D26" t="s">
        <v>113</v>
      </c>
      <c r="E26" s="75"/>
    </row>
    <row r="27" spans="1:5">
      <c r="A27" s="74"/>
      <c r="B27" t="s">
        <v>116</v>
      </c>
      <c r="C27" s="3">
        <v>70</v>
      </c>
      <c r="D27" t="s">
        <v>117</v>
      </c>
      <c r="E27" s="79" t="s">
        <v>467</v>
      </c>
    </row>
    <row r="28" spans="1:5">
      <c r="A28" s="74"/>
      <c r="B28" t="s">
        <v>114</v>
      </c>
      <c r="C28">
        <f>IF(C27&gt;250, 1-(1/30/50*(C27-250)), 1)</f>
        <v>1</v>
      </c>
      <c r="E28" s="75" t="s">
        <v>115</v>
      </c>
    </row>
    <row r="29" spans="1:5">
      <c r="A29" s="74"/>
      <c r="B29" t="s">
        <v>118</v>
      </c>
      <c r="C29" s="3">
        <v>800</v>
      </c>
      <c r="D29" t="s">
        <v>88</v>
      </c>
      <c r="E29" s="75" t="s">
        <v>468</v>
      </c>
    </row>
    <row r="30" spans="1:5" ht="28.8">
      <c r="A30" s="74"/>
      <c r="B30" t="s">
        <v>119</v>
      </c>
      <c r="C30" s="6" t="s">
        <v>207</v>
      </c>
      <c r="E30" s="75"/>
    </row>
    <row r="31" spans="1:5">
      <c r="A31" s="74"/>
      <c r="B31" t="s">
        <v>121</v>
      </c>
      <c r="C31">
        <f>VLOOKUP(C30, 'Railroad Loading'!B272:D277,2, FALSE)</f>
        <v>200</v>
      </c>
      <c r="D31" t="s">
        <v>88</v>
      </c>
      <c r="E31" s="75"/>
    </row>
    <row r="32" spans="1:5">
      <c r="A32" s="74"/>
      <c r="B32" t="s">
        <v>122</v>
      </c>
      <c r="C32">
        <f>VLOOKUP(C30, 'Railroad Loading'!B272:D277,3, FALSE)</f>
        <v>5000</v>
      </c>
      <c r="D32" t="s">
        <v>88</v>
      </c>
      <c r="E32" s="75"/>
    </row>
    <row r="33" spans="1:9">
      <c r="A33" s="74"/>
      <c r="B33" t="s">
        <v>123</v>
      </c>
      <c r="C33" s="3">
        <v>120</v>
      </c>
      <c r="D33" t="s">
        <v>124</v>
      </c>
      <c r="E33" s="75" t="s">
        <v>469</v>
      </c>
    </row>
    <row r="34" spans="1:9">
      <c r="A34" s="74"/>
      <c r="B34" t="s">
        <v>126</v>
      </c>
      <c r="C34" s="3">
        <v>6</v>
      </c>
      <c r="D34" t="s">
        <v>127</v>
      </c>
      <c r="E34" s="75" t="s">
        <v>470</v>
      </c>
    </row>
    <row r="35" spans="1:9" ht="43.2">
      <c r="A35" s="74"/>
      <c r="B35" t="s">
        <v>128</v>
      </c>
      <c r="C35" s="3">
        <v>14.75</v>
      </c>
      <c r="D35" t="s">
        <v>129</v>
      </c>
      <c r="E35" s="79" t="s">
        <v>130</v>
      </c>
    </row>
    <row r="36" spans="1:9">
      <c r="A36" s="74"/>
      <c r="B36" t="s">
        <v>131</v>
      </c>
      <c r="C36" s="3">
        <v>70</v>
      </c>
      <c r="D36" t="s">
        <v>117</v>
      </c>
      <c r="E36" s="79" t="s">
        <v>471</v>
      </c>
    </row>
    <row r="37" spans="1:9">
      <c r="A37" s="74"/>
      <c r="B37" t="s">
        <v>132</v>
      </c>
      <c r="C37" s="3">
        <v>2</v>
      </c>
      <c r="E37" s="75" t="s">
        <v>472</v>
      </c>
    </row>
    <row r="38" spans="1:9">
      <c r="A38" s="76"/>
      <c r="B38" s="77" t="s">
        <v>133</v>
      </c>
      <c r="C38" s="81">
        <v>13.9</v>
      </c>
      <c r="D38" s="77" t="s">
        <v>88</v>
      </c>
      <c r="E38" s="78" t="s">
        <v>473</v>
      </c>
    </row>
    <row r="40" spans="1:9" ht="253.95" customHeight="1">
      <c r="A40" s="80" t="s">
        <v>135</v>
      </c>
      <c r="B40" s="210" t="s">
        <v>506</v>
      </c>
      <c r="C40" s="210"/>
      <c r="D40" s="210"/>
      <c r="E40" s="211"/>
    </row>
    <row r="42" spans="1:9">
      <c r="A42" s="71" t="s">
        <v>136</v>
      </c>
      <c r="B42" s="72" t="s">
        <v>82</v>
      </c>
      <c r="C42" s="72" t="s">
        <v>96</v>
      </c>
      <c r="D42" s="72" t="s">
        <v>84</v>
      </c>
      <c r="E42" s="73" t="s">
        <v>85</v>
      </c>
    </row>
    <row r="43" spans="1:9">
      <c r="A43" s="74"/>
      <c r="B43" t="s">
        <v>137</v>
      </c>
      <c r="C43">
        <f>C29*C13/(2*C14)</f>
        <v>20400</v>
      </c>
      <c r="D43" t="s">
        <v>88</v>
      </c>
      <c r="E43" s="75"/>
    </row>
    <row r="44" spans="1:9">
      <c r="A44" s="74"/>
      <c r="B44" t="s">
        <v>138</v>
      </c>
      <c r="C44">
        <f>C20*C22*C28*C17</f>
        <v>30240</v>
      </c>
      <c r="D44" t="s">
        <v>88</v>
      </c>
      <c r="E44" s="75"/>
    </row>
    <row r="45" spans="1:9">
      <c r="A45" s="74"/>
      <c r="E45" s="75"/>
      <c r="H45" s="1"/>
      <c r="I45" s="1"/>
    </row>
    <row r="46" spans="1:9">
      <c r="A46" s="74"/>
      <c r="B46" t="s">
        <v>139</v>
      </c>
      <c r="C46">
        <f>VLOOKUP(C31, N92:O95, 2, FALSE)</f>
        <v>3141.176470588237</v>
      </c>
      <c r="E46" s="75"/>
    </row>
    <row r="47" spans="1:9">
      <c r="A47" s="74"/>
      <c r="B47" t="s">
        <v>140</v>
      </c>
      <c r="C47">
        <f>IF(C31&lt;1000, C103, F103)</f>
        <v>1.0658474576271186</v>
      </c>
      <c r="E47" s="75"/>
    </row>
    <row r="48" spans="1:9">
      <c r="A48" s="74"/>
      <c r="B48" t="s">
        <v>141</v>
      </c>
      <c r="C48">
        <f>C110</f>
        <v>1.104107843137256</v>
      </c>
      <c r="E48" s="75"/>
    </row>
    <row r="49" spans="1:5">
      <c r="A49" s="74"/>
      <c r="B49" t="s">
        <v>142</v>
      </c>
      <c r="C49">
        <f>C46*C47*C48*(C33/(12^3))*C13</f>
        <v>3273.0043075720805</v>
      </c>
      <c r="D49" t="s">
        <v>88</v>
      </c>
      <c r="E49" s="75"/>
    </row>
    <row r="50" spans="1:5">
      <c r="A50" s="74"/>
      <c r="E50" s="75"/>
    </row>
    <row r="51" spans="1:5">
      <c r="A51" s="74"/>
      <c r="B51" t="s">
        <v>143</v>
      </c>
      <c r="C51">
        <f>C117</f>
        <v>1.7263922518159807</v>
      </c>
      <c r="E51" s="75"/>
    </row>
    <row r="52" spans="1:5">
      <c r="A52" s="74"/>
      <c r="E52" s="75"/>
    </row>
    <row r="53" spans="1:5">
      <c r="A53" s="74"/>
      <c r="B53" t="s">
        <v>144</v>
      </c>
      <c r="C53">
        <f>IF(C34&lt;=6, C155, IF(C34&lt;=10, F155, I155))</f>
        <v>1.1398774999999999</v>
      </c>
      <c r="E53" s="75"/>
    </row>
    <row r="54" spans="1:5">
      <c r="A54" s="74"/>
      <c r="B54" t="s">
        <v>145</v>
      </c>
      <c r="C54">
        <f>VLOOKUP(C32, K120:L122, 2, FALSE)</f>
        <v>441.03808503674605</v>
      </c>
      <c r="E54" s="75"/>
    </row>
    <row r="55" spans="1:5">
      <c r="A55" s="74"/>
      <c r="B55" t="s">
        <v>146</v>
      </c>
      <c r="C55">
        <f>IF(C34&lt;=6, C131, IF(C34&lt;=8, F131, I131))</f>
        <v>0.98524999999999996</v>
      </c>
      <c r="E55" s="75"/>
    </row>
    <row r="56" spans="1:5">
      <c r="A56" s="74"/>
      <c r="B56" t="s">
        <v>147</v>
      </c>
      <c r="C56">
        <f>C53*C54*C55*C51*C38</f>
        <v>11885.980050483402</v>
      </c>
      <c r="D56" t="s">
        <v>88</v>
      </c>
      <c r="E56" s="75"/>
    </row>
    <row r="57" spans="1:5">
      <c r="A57" s="74"/>
      <c r="B57" t="s">
        <v>148</v>
      </c>
      <c r="C57">
        <f>IF(C34&lt;=6,C162,IF(C34&lt;=10,F162,I162))</f>
        <v>1.0207290836653387</v>
      </c>
      <c r="E57" s="75"/>
    </row>
    <row r="58" spans="1:5">
      <c r="A58" s="74"/>
      <c r="B58" t="s">
        <v>149</v>
      </c>
      <c r="C58">
        <f>VLOOKUP(C32, K135:L137, 2, FALSE)</f>
        <v>464.98039215686276</v>
      </c>
      <c r="E58" s="75"/>
    </row>
    <row r="59" spans="1:5">
      <c r="A59" s="74"/>
      <c r="B59" t="s">
        <v>150</v>
      </c>
      <c r="C59">
        <f>IF(C34&lt;=6,C148,IF(C34&lt;=8,F148,I148))</f>
        <v>1.1100000000000001</v>
      </c>
      <c r="E59" s="75"/>
    </row>
    <row r="60" spans="1:5">
      <c r="A60" s="74"/>
      <c r="B60" t="s">
        <v>151</v>
      </c>
      <c r="C60">
        <f>C58*C59*C57*C51*C38</f>
        <v>12642.192122436551</v>
      </c>
      <c r="D60" t="s">
        <v>88</v>
      </c>
      <c r="E60" s="75"/>
    </row>
    <row r="61" spans="1:5">
      <c r="A61" s="74"/>
      <c r="E61" s="75"/>
    </row>
    <row r="62" spans="1:5">
      <c r="A62" s="74"/>
      <c r="B62" t="s">
        <v>152</v>
      </c>
      <c r="C62">
        <f>C29*(C13-C14)/(2*C14)</f>
        <v>20000</v>
      </c>
      <c r="D62" t="s">
        <v>88</v>
      </c>
      <c r="E62" s="75"/>
    </row>
    <row r="63" spans="1:5">
      <c r="A63" s="74"/>
      <c r="B63" t="s">
        <v>153</v>
      </c>
      <c r="C63">
        <f>C49+C56+C62</f>
        <v>35158.984358055481</v>
      </c>
      <c r="D63" t="s">
        <v>88</v>
      </c>
      <c r="E63" s="75"/>
    </row>
    <row r="64" spans="1:5">
      <c r="A64" s="74"/>
      <c r="B64" t="s">
        <v>154</v>
      </c>
      <c r="C64">
        <f>C60-(C24)*(C26)*(C27-C36)+((C25)*(C49+C62))</f>
        <v>19624.093414708175</v>
      </c>
      <c r="D64" t="s">
        <v>88</v>
      </c>
      <c r="E64" s="75"/>
    </row>
    <row r="65" spans="1:10">
      <c r="A65" s="74"/>
      <c r="B65" t="s">
        <v>155</v>
      </c>
      <c r="C65">
        <f>-C29</f>
        <v>-800</v>
      </c>
      <c r="D65" t="s">
        <v>88</v>
      </c>
      <c r="E65" s="75"/>
    </row>
    <row r="66" spans="1:10">
      <c r="A66" s="74"/>
      <c r="B66" t="s">
        <v>156</v>
      </c>
      <c r="C66">
        <f>SQRT(0.5*((C63-C64)^2+(C64-C65)^2+(C65-C63)^2))</f>
        <v>31237.197253413266</v>
      </c>
      <c r="D66" t="s">
        <v>88</v>
      </c>
      <c r="E66" s="75"/>
    </row>
    <row r="67" spans="1:10">
      <c r="A67" s="74"/>
      <c r="E67" s="75"/>
    </row>
    <row r="68" spans="1:10">
      <c r="A68" s="74"/>
      <c r="E68" s="75"/>
    </row>
    <row r="69" spans="1:10">
      <c r="A69" s="74"/>
      <c r="B69" t="s">
        <v>157</v>
      </c>
      <c r="C69">
        <f>C17*C20</f>
        <v>30240</v>
      </c>
      <c r="D69" t="s">
        <v>88</v>
      </c>
      <c r="E69" s="75"/>
      <c r="G69" s="207"/>
      <c r="H69" s="207"/>
      <c r="I69" s="207"/>
      <c r="J69" s="207"/>
    </row>
    <row r="70" spans="1:10">
      <c r="A70" s="74"/>
      <c r="E70" s="75"/>
    </row>
    <row r="71" spans="1:10">
      <c r="A71" s="74"/>
      <c r="B71" t="s">
        <v>158</v>
      </c>
      <c r="C71">
        <f>VLOOKUP(_xlfn.CONCAT(C17, " ", C21), Tables!A154:E241, 4, FALSE)</f>
        <v>12000</v>
      </c>
      <c r="D71" t="s">
        <v>88</v>
      </c>
      <c r="E71" s="75"/>
    </row>
    <row r="72" spans="1:10">
      <c r="A72" s="74"/>
      <c r="B72" t="s">
        <v>159</v>
      </c>
      <c r="C72">
        <f>VLOOKUP(_xlfn.CONCAT(C17, " ", C21), Tables!A154:E241, 5, FALSE)</f>
        <v>21000</v>
      </c>
      <c r="D72" t="s">
        <v>88</v>
      </c>
      <c r="E72" s="75"/>
    </row>
    <row r="73" spans="1:10">
      <c r="A73" s="74"/>
      <c r="B73" t="s">
        <v>160</v>
      </c>
      <c r="C73">
        <f>C71*C20</f>
        <v>8640</v>
      </c>
      <c r="D73" t="s">
        <v>88</v>
      </c>
      <c r="E73" s="75"/>
    </row>
    <row r="74" spans="1:10">
      <c r="A74" s="76"/>
      <c r="B74" s="77" t="s">
        <v>161</v>
      </c>
      <c r="C74" s="77">
        <f>C72*C20</f>
        <v>15120</v>
      </c>
      <c r="D74" s="77" t="s">
        <v>88</v>
      </c>
      <c r="E74" s="78"/>
    </row>
    <row r="77" spans="1:10">
      <c r="A77" s="204" t="s">
        <v>162</v>
      </c>
      <c r="B77" s="72" t="s">
        <v>163</v>
      </c>
      <c r="C77" s="72" t="s">
        <v>164</v>
      </c>
      <c r="D77" s="72" t="s">
        <v>165</v>
      </c>
      <c r="E77" s="73" t="s">
        <v>166</v>
      </c>
    </row>
    <row r="78" spans="1:10">
      <c r="A78" s="205"/>
      <c r="B78" t="s">
        <v>86</v>
      </c>
      <c r="C78">
        <f>C43</f>
        <v>20400</v>
      </c>
      <c r="D78">
        <f>C44</f>
        <v>30240</v>
      </c>
      <c r="E78" s="75" t="str">
        <f>IF(C78&gt;D78, "Fail", "Pass")</f>
        <v>Pass</v>
      </c>
    </row>
    <row r="79" spans="1:10">
      <c r="A79" s="205"/>
      <c r="B79" t="s">
        <v>89</v>
      </c>
      <c r="C79">
        <f>C66</f>
        <v>31237.197253413266</v>
      </c>
      <c r="D79">
        <f>C69</f>
        <v>30240</v>
      </c>
      <c r="E79" s="75" t="str">
        <f>IF(C79&gt;D79, "Fail", "Pass")</f>
        <v>Fail</v>
      </c>
    </row>
    <row r="80" spans="1:10">
      <c r="A80" s="205"/>
      <c r="B80" t="s">
        <v>167</v>
      </c>
      <c r="C80">
        <f>C60/C57</f>
        <v>12385.453030337561</v>
      </c>
      <c r="D80">
        <f>C73</f>
        <v>8640</v>
      </c>
      <c r="E80" s="75" t="str">
        <f>IF(C80&gt;D80, "Fail", "Pass")</f>
        <v>Fail</v>
      </c>
    </row>
    <row r="81" spans="1:15">
      <c r="A81" s="206"/>
      <c r="B81" s="77" t="s">
        <v>168</v>
      </c>
      <c r="C81" s="77">
        <f>C56/C53</f>
        <v>10427.418780073651</v>
      </c>
      <c r="D81" s="77">
        <f>C74</f>
        <v>15120</v>
      </c>
      <c r="E81" s="78" t="str">
        <f>IF(C81&gt;D81, "Fail", "Pass")</f>
        <v>Pass</v>
      </c>
    </row>
    <row r="84" spans="1:15" ht="15" thickBot="1"/>
    <row r="85" spans="1:15" ht="15" thickBot="1">
      <c r="B85" s="201" t="s">
        <v>169</v>
      </c>
      <c r="C85" s="202"/>
    </row>
    <row r="86" spans="1:15">
      <c r="B86" s="11" t="s">
        <v>170</v>
      </c>
      <c r="C86" s="11">
        <f>C14/C13</f>
        <v>1.9607843137254902E-2</v>
      </c>
    </row>
    <row r="87" spans="1:15">
      <c r="B87" s="10" t="s">
        <v>171</v>
      </c>
      <c r="C87" s="10">
        <f>C34*12/C35</f>
        <v>4.8813559322033901</v>
      </c>
    </row>
    <row r="88" spans="1:15">
      <c r="B88" s="10" t="s">
        <v>172</v>
      </c>
      <c r="C88" s="10">
        <f>C35/C13</f>
        <v>1.1568627450980393</v>
      </c>
    </row>
    <row r="90" spans="1:15" ht="15" thickBot="1"/>
    <row r="91" spans="1:15" ht="15" thickBot="1">
      <c r="B91" s="199" t="s">
        <v>173</v>
      </c>
      <c r="C91" s="200"/>
      <c r="E91" s="199" t="s">
        <v>174</v>
      </c>
      <c r="F91" s="200"/>
      <c r="H91" s="199" t="s">
        <v>175</v>
      </c>
      <c r="I91" s="200"/>
      <c r="K91" s="199" t="s">
        <v>176</v>
      </c>
      <c r="L91" s="200"/>
      <c r="N91" s="186" t="s">
        <v>177</v>
      </c>
      <c r="O91" s="187" t="s">
        <v>178</v>
      </c>
    </row>
    <row r="92" spans="1:15">
      <c r="B92" s="85" t="s">
        <v>179</v>
      </c>
      <c r="C92" s="86">
        <f>_xlfn.XLOOKUP($C$86,Tables!$A$18:$A$39,Tables!$A$18:$A$39,,-1,1)</f>
        <v>1.7500000000000002E-2</v>
      </c>
      <c r="E92" s="85" t="s">
        <v>179</v>
      </c>
      <c r="F92" s="86">
        <f>_xlfn.XLOOKUP($C$86,Tables!$C$18:$C$39,Tables!$C$18:$C$39,,-1,1)</f>
        <v>1.7500000000000002E-2</v>
      </c>
      <c r="H92" s="85" t="s">
        <v>179</v>
      </c>
      <c r="I92" s="86">
        <f>_xlfn.XLOOKUP($C$86,Tables!$E$18:$E$39,Tables!$E$18:$E$39,,-1,1)</f>
        <v>1.7500000000000002E-2</v>
      </c>
      <c r="K92" s="85" t="s">
        <v>179</v>
      </c>
      <c r="L92" s="86">
        <f>_xlfn.XLOOKUP($C$86,Tables!$G$18:$G$39,Tables!$G$18:$G$39,,-1,1)</f>
        <v>1.7500000000000002E-2</v>
      </c>
      <c r="N92" s="172">
        <v>200</v>
      </c>
      <c r="O92" s="177">
        <f>C96</f>
        <v>3141.176470588237</v>
      </c>
    </row>
    <row r="93" spans="1:15">
      <c r="B93" s="87" t="s">
        <v>180</v>
      </c>
      <c r="C93" s="88">
        <f>_xlfn.XLOOKUP($C$86,Tables!$A$18:$A$39,Tables!$A$18:$A$39,,1,1)</f>
        <v>0.02</v>
      </c>
      <c r="E93" s="87" t="s">
        <v>180</v>
      </c>
      <c r="F93" s="88">
        <f>_xlfn.XLOOKUP($C$86,Tables!$C$18:$C$39,Tables!$C$18:$C$39,,1,1)</f>
        <v>0.02</v>
      </c>
      <c r="H93" s="87" t="s">
        <v>180</v>
      </c>
      <c r="I93" s="88">
        <f>_xlfn.XLOOKUP($C$86,Tables!$E$18:$E$39,Tables!$E$18:$E$39,,1,1)</f>
        <v>0.02</v>
      </c>
      <c r="K93" s="87" t="s">
        <v>180</v>
      </c>
      <c r="L93" s="88">
        <f>_xlfn.XLOOKUP($C$86,Tables!$G$18:$G$39,Tables!$G$18:$G$39,,1,1)</f>
        <v>0.02</v>
      </c>
      <c r="N93" s="172">
        <v>500</v>
      </c>
      <c r="O93" s="177">
        <f>F96</f>
        <v>2790.5294117647072</v>
      </c>
    </row>
    <row r="94" spans="1:15">
      <c r="B94" s="87" t="s">
        <v>181</v>
      </c>
      <c r="C94" s="88">
        <f>_xlfn.XLOOKUP(C92,Tables!$A$18:$A$39,Tables!$B$18:$B$39,,0)</f>
        <v>3900</v>
      </c>
      <c r="E94" s="87" t="s">
        <v>181</v>
      </c>
      <c r="F94" s="88">
        <f>_xlfn.XLOOKUP(F92,Tables!$C$18:$C$39,Tables!$D$18:$D$39,,0)</f>
        <v>3476</v>
      </c>
      <c r="H94" s="87" t="s">
        <v>181</v>
      </c>
      <c r="I94" s="88">
        <f>_xlfn.XLOOKUP(I92,Tables!$E$18:$E$39,Tables!$F$18:$F$39,,0)</f>
        <v>2791</v>
      </c>
      <c r="K94" s="87" t="s">
        <v>181</v>
      </c>
      <c r="L94" s="88">
        <f>_xlfn.XLOOKUP(L92,Tables!$G$18:$G$39,Tables!$H$18:$H$39,,0)</f>
        <v>2145</v>
      </c>
      <c r="N94" s="172">
        <v>1000</v>
      </c>
      <c r="O94" s="177">
        <f>I96</f>
        <v>2370.2745098039218</v>
      </c>
    </row>
    <row r="95" spans="1:15" ht="15" thickBot="1">
      <c r="B95" s="87" t="s">
        <v>182</v>
      </c>
      <c r="C95" s="88">
        <f>_xlfn.XLOOKUP(C93,Tables!$A$18:$A$39,Tables!$B$18:$B$39,,0)</f>
        <v>3000</v>
      </c>
      <c r="E95" s="87" t="s">
        <v>182</v>
      </c>
      <c r="F95" s="88">
        <f>_xlfn.XLOOKUP(F93,Tables!$C$18:$C$39,Tables!$D$18:$D$39,,0)</f>
        <v>2663</v>
      </c>
      <c r="H95" s="87" t="s">
        <v>182</v>
      </c>
      <c r="I95" s="88">
        <f>_xlfn.XLOOKUP(I93,Tables!$E$18:$E$39,Tables!$F$18:$F$39,,0)</f>
        <v>2292</v>
      </c>
      <c r="K95" s="87" t="s">
        <v>182</v>
      </c>
      <c r="L95" s="88">
        <f>_xlfn.XLOOKUP(L93,Tables!$G$18:$G$39,Tables!$H$18:$H$39,,0)</f>
        <v>1852</v>
      </c>
      <c r="N95" s="166">
        <v>2000</v>
      </c>
      <c r="O95" s="168">
        <f>L96</f>
        <v>1897.9607843137264</v>
      </c>
    </row>
    <row r="96" spans="1:15" ht="15" thickBot="1">
      <c r="B96" s="89" t="s">
        <v>178</v>
      </c>
      <c r="C96" s="90">
        <f>IFERROR(_xlfn.FORECAST.LINEAR($C$86,C94:C95,C92:C93),VLOOKUP($C$86,Tables!$A$18:$B$39,2, FALSE))</f>
        <v>3141.176470588237</v>
      </c>
      <c r="E96" s="89" t="s">
        <v>178</v>
      </c>
      <c r="F96" s="90">
        <f>IFERROR(_xlfn.FORECAST.LINEAR($C$86,F94:F95,F92:F93),VLOOKUP($C$86,Tables!$C$18:$D$39,2, FALSE))</f>
        <v>2790.5294117647072</v>
      </c>
      <c r="H96" s="89" t="s">
        <v>178</v>
      </c>
      <c r="I96" s="90">
        <f>IFERROR(_xlfn.FORECAST.LINEAR($C$86,I94:I95,I92:I93),VLOOKUP($C$86,Tables!$E$18:$F$39,2, FALSE))</f>
        <v>2370.2745098039218</v>
      </c>
      <c r="K96" s="89" t="s">
        <v>178</v>
      </c>
      <c r="L96" s="90">
        <f>IFERROR(_xlfn.FORECAST.LINEAR($C$86,L94:L95,L92:L93),VLOOKUP($C$86,Tables!$G$18:$H$39,2, FALSE))</f>
        <v>1897.9607843137264</v>
      </c>
    </row>
    <row r="97" spans="2:6" ht="15" thickBot="1"/>
    <row r="98" spans="2:6" ht="15" thickBot="1">
      <c r="B98" s="199" t="s">
        <v>183</v>
      </c>
      <c r="C98" s="200"/>
      <c r="E98" s="199" t="s">
        <v>184</v>
      </c>
      <c r="F98" s="200"/>
    </row>
    <row r="99" spans="2:6">
      <c r="B99" s="85" t="s">
        <v>179</v>
      </c>
      <c r="C99" s="86">
        <f>_xlfn.XLOOKUP($C$87,Tables!$A$44:$A$77,Tables!$A$44:$A$77,,-1,1)</f>
        <v>4</v>
      </c>
      <c r="E99" s="85" t="s">
        <v>179</v>
      </c>
      <c r="F99" s="86">
        <f>_xlfn.XLOOKUP($C$87,Tables!$C$44:$C$77,Tables!$C$44:$C$77,,-1,1)</f>
        <v>4</v>
      </c>
    </row>
    <row r="100" spans="2:6">
      <c r="B100" s="87" t="s">
        <v>180</v>
      </c>
      <c r="C100" s="88">
        <f>_xlfn.XLOOKUP($C$87,Tables!$A$44:$A$77,Tables!$A$44:$A$77,,1,1)</f>
        <v>5</v>
      </c>
      <c r="E100" s="87" t="s">
        <v>180</v>
      </c>
      <c r="F100" s="88">
        <f>_xlfn.XLOOKUP($C$87,Tables!$C$44:$C$77,Tables!$C$44:$C$77,,1,1)</f>
        <v>5</v>
      </c>
    </row>
    <row r="101" spans="2:6">
      <c r="B101" s="87" t="s">
        <v>181</v>
      </c>
      <c r="C101" s="88">
        <f>_xlfn.XLOOKUP($C$99,Tables!$A$44:$A$77,Tables!$B$44:$B$77,,0)</f>
        <v>0.98299999999999998</v>
      </c>
      <c r="E101" s="87" t="s">
        <v>181</v>
      </c>
      <c r="F101" s="88">
        <f>_xlfn.XLOOKUP($F$99,Tables!$C$44:$C$77,Tables!$D$44:$D$77,,0)</f>
        <v>0.89300000000000002</v>
      </c>
    </row>
    <row r="102" spans="2:6">
      <c r="B102" s="87" t="s">
        <v>182</v>
      </c>
      <c r="C102" s="88">
        <f>_xlfn.XLOOKUP($C$100,Tables!$A$44:$A$77,Tables!$B$44:$B$77,,0)</f>
        <v>1.077</v>
      </c>
      <c r="E102" s="87" t="s">
        <v>182</v>
      </c>
      <c r="F102" s="88">
        <f>_xlfn.XLOOKUP($F$100,Tables!$C$44:$C$77,Tables!$D$44:$D$77,,0)</f>
        <v>0.96399999999999997</v>
      </c>
    </row>
    <row r="103" spans="2:6" ht="15" thickBot="1">
      <c r="B103" s="89" t="s">
        <v>185</v>
      </c>
      <c r="C103" s="90">
        <f>IFERROR(_xlfn.FORECAST.LINEAR($C$87,$C$101:$C$102,$C$99:$C$100),VLOOKUP($C$87,Tables!$A$44:$B$77,2, FALSE))</f>
        <v>1.0658474576271186</v>
      </c>
      <c r="E103" s="89" t="s">
        <v>186</v>
      </c>
      <c r="F103" s="90">
        <f>IFERROR(_xlfn.FORECAST.LINEAR($C$87,$F$101:$F$102,$F$99:$F$100),VLOOKUP($C$87,Tables!$C$44:$D$77,2, FALSE))</f>
        <v>0.95557627118644062</v>
      </c>
    </row>
    <row r="104" spans="2:6" ht="15" thickBot="1"/>
    <row r="105" spans="2:6" ht="15" thickBot="1">
      <c r="B105" s="199" t="s">
        <v>187</v>
      </c>
      <c r="C105" s="200"/>
    </row>
    <row r="106" spans="2:6">
      <c r="B106" s="85" t="s">
        <v>179</v>
      </c>
      <c r="C106" s="86">
        <f>_xlfn.XLOOKUP($C$88,Tables!$A$81:$A$88,Tables!$A$81:$A$88,,-1,1)</f>
        <v>1.1499999999999999</v>
      </c>
    </row>
    <row r="107" spans="2:6">
      <c r="B107" s="87" t="s">
        <v>180</v>
      </c>
      <c r="C107" s="88">
        <f>_xlfn.XLOOKUP($C$88,Tables!$A$81:$A$88,Tables!$A$81:$A$88,,1,1)</f>
        <v>1.2</v>
      </c>
    </row>
    <row r="108" spans="2:6">
      <c r="B108" s="87" t="s">
        <v>181</v>
      </c>
      <c r="C108" s="88">
        <f>_xlfn.XLOOKUP($C$106,Tables!$A$81:$A$88,Tables!$B$81:$B$88,,0)</f>
        <v>1.0903</v>
      </c>
    </row>
    <row r="109" spans="2:6">
      <c r="B109" s="87" t="s">
        <v>182</v>
      </c>
      <c r="C109" s="88">
        <f>_xlfn.XLOOKUP($C$107,Tables!$A$81:$A$88,Tables!$B$81:$B$88,,0)</f>
        <v>1.1909000000000001</v>
      </c>
    </row>
    <row r="110" spans="2:6" ht="15" thickBot="1">
      <c r="B110" s="89" t="s">
        <v>187</v>
      </c>
      <c r="C110" s="90">
        <f>IFERROR(_xlfn.FORECAST.LINEAR($C$88,$C$108:$C$109,$C$106:$C$107),VLOOKUP($C$88,Tables!$A$81:$B$88,2, FALSE))</f>
        <v>1.104107843137256</v>
      </c>
    </row>
    <row r="111" spans="2:6" ht="15" thickBot="1"/>
    <row r="112" spans="2:6" ht="15" thickBot="1">
      <c r="B112" s="199" t="s">
        <v>188</v>
      </c>
      <c r="C112" s="200"/>
    </row>
    <row r="113" spans="2:12">
      <c r="B113" s="85" t="s">
        <v>179</v>
      </c>
      <c r="C113" s="86">
        <f>_xlfn.XLOOKUP($C$34,Tables!$A$92:$A$95,Tables!$A$92:$A$95,,-1,1)</f>
        <v>5.22</v>
      </c>
    </row>
    <row r="114" spans="2:12">
      <c r="B114" s="87" t="s">
        <v>180</v>
      </c>
      <c r="C114" s="88">
        <f>_xlfn.XLOOKUP($C$34,Tables!$A$92:$A$95,Tables!$A$92:$A$95,,1,1)</f>
        <v>30</v>
      </c>
    </row>
    <row r="115" spans="2:12">
      <c r="B115" s="87" t="s">
        <v>181</v>
      </c>
      <c r="C115" s="88">
        <f>_xlfn.XLOOKUP($C$113,Tables!$A$92:$A$95,Tables!$B$92:$B$95,,0)</f>
        <v>1.75</v>
      </c>
    </row>
    <row r="116" spans="2:12">
      <c r="B116" s="87" t="s">
        <v>182</v>
      </c>
      <c r="C116" s="88">
        <f>_xlfn.XLOOKUP($C$114,Tables!$A$92:$A$95,Tables!$B$92:$B$95,,0)</f>
        <v>1</v>
      </c>
    </row>
    <row r="117" spans="2:12" ht="15" thickBot="1">
      <c r="B117" s="89" t="s">
        <v>188</v>
      </c>
      <c r="C117" s="90">
        <f>IFERROR(_xlfn.FORECAST.LINEAR($C$34,C115:C116,C113:C114),VLOOKUP($C$34,Tables!$A$92:$B$95,2, FALSE))</f>
        <v>1.7263922518159807</v>
      </c>
    </row>
    <row r="118" spans="2:12" ht="15" thickBot="1"/>
    <row r="119" spans="2:12" ht="15" thickBot="1">
      <c r="B119" s="199" t="s">
        <v>189</v>
      </c>
      <c r="C119" s="200"/>
      <c r="E119" s="199" t="s">
        <v>190</v>
      </c>
      <c r="F119" s="200"/>
      <c r="H119" s="199" t="s">
        <v>191</v>
      </c>
      <c r="I119" s="200"/>
      <c r="K119" s="186" t="s">
        <v>192</v>
      </c>
      <c r="L119" s="187" t="s">
        <v>178</v>
      </c>
    </row>
    <row r="120" spans="2:12">
      <c r="B120" s="85" t="s">
        <v>179</v>
      </c>
      <c r="C120" s="86">
        <f>_xlfn.XLOOKUP($C$86,Tables!A100:A119,Tables!A100:A119,,-1,1)</f>
        <v>1.8669999999999999E-2</v>
      </c>
      <c r="E120" s="85" t="s">
        <v>179</v>
      </c>
      <c r="F120" s="86">
        <f>_xlfn.XLOOKUP($C$86,Tables!C100:C119,Tables!C100:C119,,-1,1)</f>
        <v>1.8669999999999999E-2</v>
      </c>
      <c r="H120" s="85" t="s">
        <v>179</v>
      </c>
      <c r="I120" s="86">
        <f>_xlfn.XLOOKUP($C$86,Tables!E100:E119,Tables!E100:E119,,-1,1)</f>
        <v>1.8669999999999999E-2</v>
      </c>
      <c r="K120" s="172">
        <v>5000</v>
      </c>
      <c r="L120" s="177">
        <f>C124</f>
        <v>441.03808503674605</v>
      </c>
    </row>
    <row r="121" spans="2:12">
      <c r="B121" s="87" t="s">
        <v>180</v>
      </c>
      <c r="C121" s="88">
        <f>_xlfn.XLOOKUP($C$86,Tables!A100:A119,Tables!A100:A119,,1,1)</f>
        <v>2.5259999999999998E-2</v>
      </c>
      <c r="E121" s="87" t="s">
        <v>180</v>
      </c>
      <c r="F121" s="88">
        <f>_xlfn.XLOOKUP($C$86,Tables!C100:C119,Tables!C100:C119,,1,1)</f>
        <v>2.5259999999999998E-2</v>
      </c>
      <c r="H121" s="87" t="s">
        <v>180</v>
      </c>
      <c r="I121" s="88">
        <f>_xlfn.XLOOKUP($C$86,Tables!E100:E119,Tables!E100:E119,,1,1)</f>
        <v>2.5259999999999998E-2</v>
      </c>
      <c r="K121" s="172">
        <v>10000</v>
      </c>
      <c r="L121" s="177">
        <f>F124</f>
        <v>326.73441637656578</v>
      </c>
    </row>
    <row r="122" spans="2:12" ht="15" thickBot="1">
      <c r="B122" s="87" t="s">
        <v>181</v>
      </c>
      <c r="C122" s="88">
        <f>_xlfn.XLOOKUP(C120,Tables!A100:A119,Tables!B100:B119,,0)</f>
        <v>451</v>
      </c>
      <c r="E122" s="87" t="s">
        <v>181</v>
      </c>
      <c r="F122" s="88">
        <f>_xlfn.XLOOKUP(F120,Tables!C100:C119,Tables!D100:D119,,0)</f>
        <v>332</v>
      </c>
      <c r="H122" s="87" t="s">
        <v>181</v>
      </c>
      <c r="I122" s="88">
        <f>_xlfn.XLOOKUP(I120,Tables!E100:E119,Tables!F100:F119,,0)</f>
        <v>240</v>
      </c>
      <c r="K122" s="166">
        <v>20000</v>
      </c>
      <c r="L122" s="168">
        <f>I124</f>
        <v>238.00761700734921</v>
      </c>
    </row>
    <row r="123" spans="2:12">
      <c r="B123" s="87" t="s">
        <v>182</v>
      </c>
      <c r="C123" s="88">
        <f>_xlfn.XLOOKUP(C121,Tables!A100:A119,Tables!B100:B119,,0)</f>
        <v>381</v>
      </c>
      <c r="E123" s="87" t="s">
        <v>182</v>
      </c>
      <c r="F123" s="88">
        <f>_xlfn.XLOOKUP(F121,Tables!C100:C119,Tables!D100:D119,,0)</f>
        <v>295</v>
      </c>
      <c r="H123" s="87" t="s">
        <v>182</v>
      </c>
      <c r="I123" s="88">
        <f>_xlfn.XLOOKUP(I121,Tables!E100:E119,Tables!F100:F119,,0)</f>
        <v>226</v>
      </c>
    </row>
    <row r="124" spans="2:12" ht="15" thickBot="1">
      <c r="B124" s="89" t="s">
        <v>178</v>
      </c>
      <c r="C124" s="90">
        <f>IFERROR(_xlfn.FORECAST.LINEAR($C$86,C122:C123,C120:C121),VLOOKUP($C$86,Tables!A18:B39,2, FALSE))</f>
        <v>441.03808503674605</v>
      </c>
      <c r="E124" s="89" t="s">
        <v>178</v>
      </c>
      <c r="F124" s="90">
        <f>IFERROR(_xlfn.FORECAST.LINEAR($C$86,F122:F123,F120:F121),VLOOKUP($C$86,Tables!C18:D39,2, FALSE))</f>
        <v>326.73441637656578</v>
      </c>
      <c r="H124" s="89" t="s">
        <v>178</v>
      </c>
      <c r="I124" s="90">
        <f>IFERROR(_xlfn.FORECAST.LINEAR($C$86,I122:I123,I120:I121),VLOOKUP($C$86,Tables!E18:F39,2, FALSE))</f>
        <v>238.00761700734921</v>
      </c>
    </row>
    <row r="125" spans="2:12" ht="15" thickBot="1"/>
    <row r="126" spans="2:12" ht="15" thickBot="1">
      <c r="B126" s="199" t="s">
        <v>193</v>
      </c>
      <c r="C126" s="200"/>
      <c r="E126" s="199" t="s">
        <v>194</v>
      </c>
      <c r="F126" s="200"/>
      <c r="H126" s="199" t="s">
        <v>195</v>
      </c>
      <c r="I126" s="200"/>
    </row>
    <row r="127" spans="2:12">
      <c r="B127" s="85" t="s">
        <v>179</v>
      </c>
      <c r="C127" s="86">
        <f>_xlfn.XLOOKUP($C$13,Tables!A124:A140,Tables!A124:A140,,-1,1)</f>
        <v>12</v>
      </c>
      <c r="E127" s="85" t="s">
        <v>179</v>
      </c>
      <c r="F127" s="86">
        <f>_xlfn.XLOOKUP($C$13,Tables!C124:C140,Tables!C124:C140,,-1,1)</f>
        <v>12</v>
      </c>
      <c r="H127" s="85" t="s">
        <v>179</v>
      </c>
      <c r="I127" s="86">
        <f>_xlfn.XLOOKUP($C$13,Tables!E124:E140,Tables!E124:E140,,-1,1)</f>
        <v>12</v>
      </c>
    </row>
    <row r="128" spans="2:12">
      <c r="B128" s="87" t="s">
        <v>180</v>
      </c>
      <c r="C128" s="88">
        <f>_xlfn.XLOOKUP($C$13,Tables!A124:A140,Tables!A124:A140,,1,1)</f>
        <v>18</v>
      </c>
      <c r="E128" s="87" t="s">
        <v>180</v>
      </c>
      <c r="F128" s="88">
        <f>_xlfn.XLOOKUP($C$13,Tables!C124:C140,Tables!C124:C140,,1,1)</f>
        <v>18</v>
      </c>
      <c r="H128" s="87" t="s">
        <v>180</v>
      </c>
      <c r="I128" s="88">
        <f>_xlfn.XLOOKUP($C$13,Tables!E124:E140,Tables!E124:E140,,1,1)</f>
        <v>18</v>
      </c>
    </row>
    <row r="129" spans="2:12">
      <c r="B129" s="87" t="s">
        <v>181</v>
      </c>
      <c r="C129" s="88">
        <f>_xlfn.XLOOKUP(C127,Tables!A124:A140,Tables!B124:B140,,0)</f>
        <v>1</v>
      </c>
      <c r="E129" s="87" t="s">
        <v>181</v>
      </c>
      <c r="F129" s="88">
        <f>_xlfn.XLOOKUP(F127,Tables!C124:C140,Tables!D124:D140,,0)</f>
        <v>0.68100000000000005</v>
      </c>
      <c r="H129" s="87" t="s">
        <v>181</v>
      </c>
      <c r="I129" s="88">
        <f>_xlfn.XLOOKUP(I127,Tables!E124:E140,Tables!F124:F140,,0)</f>
        <v>0.48299999999999998</v>
      </c>
    </row>
    <row r="130" spans="2:12">
      <c r="B130" s="87" t="s">
        <v>182</v>
      </c>
      <c r="C130" s="88">
        <f>_xlfn.XLOOKUP(C128,Tables!A124:A140,Tables!B124:B140,,0)</f>
        <v>0.88200000000000001</v>
      </c>
      <c r="E130" s="87" t="s">
        <v>182</v>
      </c>
      <c r="F130" s="88">
        <f>_xlfn.XLOOKUP(F128,Tables!C124:C140,Tables!D124:D140,,0)</f>
        <v>0.625</v>
      </c>
      <c r="H130" s="87" t="s">
        <v>182</v>
      </c>
      <c r="I130" s="88">
        <f>_xlfn.XLOOKUP(I128,Tables!E124:E140,Tables!F124:F140,,0)</f>
        <v>0.45100000000000001</v>
      </c>
    </row>
    <row r="131" spans="2:12" ht="15" thickBot="1">
      <c r="B131" s="89" t="s">
        <v>178</v>
      </c>
      <c r="C131" s="90">
        <f>IFERROR(_xlfn.FORECAST.LINEAR($C$13,C129:C130,C127:C128),VLOOKUP($C$13,Tables!A42:B62,2, FALSE))</f>
        <v>0.98524999999999996</v>
      </c>
      <c r="E131" s="89" t="s">
        <v>178</v>
      </c>
      <c r="F131" s="90">
        <f>IFERROR(_xlfn.FORECAST.LINEAR($C$13,F129:F130,F127:F128),VLOOKUP($C$13,Tables!C42:D62,2, FALSE))</f>
        <v>0.67400000000000004</v>
      </c>
      <c r="H131" s="89" t="s">
        <v>178</v>
      </c>
      <c r="I131" s="90">
        <f>IFERROR(_xlfn.FORECAST.LINEAR($C$13,I129:I130,I127:I128),VLOOKUP($C$13,Tables!E42:F62,2, FALSE))</f>
        <v>0.47899999999999998</v>
      </c>
    </row>
    <row r="133" spans="2:12" ht="15" thickBot="1"/>
    <row r="134" spans="2:12" ht="15" thickBot="1">
      <c r="B134" s="199" t="s">
        <v>196</v>
      </c>
      <c r="C134" s="200"/>
      <c r="E134" s="199" t="s">
        <v>197</v>
      </c>
      <c r="F134" s="200"/>
      <c r="H134" s="199" t="s">
        <v>198</v>
      </c>
      <c r="I134" s="200"/>
      <c r="K134" s="186" t="s">
        <v>192</v>
      </c>
      <c r="L134" s="187" t="s">
        <v>178</v>
      </c>
    </row>
    <row r="135" spans="2:12">
      <c r="B135" s="85" t="s">
        <v>179</v>
      </c>
      <c r="C135" s="86">
        <f>_xlfn.XLOOKUP($C$86,Tables!A246:A265,Tables!A246:A265,,-1,1)</f>
        <v>1.4999999999999999E-2</v>
      </c>
      <c r="E135" s="85" t="s">
        <v>179</v>
      </c>
      <c r="F135" s="86">
        <f>_xlfn.XLOOKUP($C$86,Tables!C246:C265,Tables!C246:C265,,-1,1)</f>
        <v>1.4999999999999999E-2</v>
      </c>
      <c r="H135" s="85" t="s">
        <v>179</v>
      </c>
      <c r="I135" s="86">
        <f>_xlfn.XLOOKUP($C$86,Tables!E246:E265,Tables!E246:E265,,-1,1)</f>
        <v>1.4999999999999999E-2</v>
      </c>
      <c r="K135" s="172">
        <v>5000</v>
      </c>
      <c r="L135" s="177">
        <f>C139</f>
        <v>464.98039215686276</v>
      </c>
    </row>
    <row r="136" spans="2:12">
      <c r="B136" s="87" t="s">
        <v>180</v>
      </c>
      <c r="C136" s="88">
        <f>_xlfn.XLOOKUP($C$86,Tables!A246:A265,Tables!A246:A265,,1,1)</f>
        <v>0.02</v>
      </c>
      <c r="E136" s="87" t="s">
        <v>180</v>
      </c>
      <c r="F136" s="88">
        <f>_xlfn.XLOOKUP($C$86,Tables!C246:C265,Tables!C246:C265,,1,1)</f>
        <v>0.02</v>
      </c>
      <c r="H136" s="87" t="s">
        <v>180</v>
      </c>
      <c r="I136" s="88">
        <f>_xlfn.XLOOKUP($C$86,Tables!E246:E265,Tables!E246:E265,,1,1)</f>
        <v>0.02</v>
      </c>
      <c r="K136" s="172">
        <v>10000</v>
      </c>
      <c r="L136" s="177">
        <f>F139</f>
        <v>315.11764705882354</v>
      </c>
    </row>
    <row r="137" spans="2:12" ht="15" thickBot="1">
      <c r="B137" s="87" t="s">
        <v>181</v>
      </c>
      <c r="C137" s="88">
        <f>_xlfn.XLOOKUP(C135,Tables!A246:A265,Tables!B246:B265,,0)</f>
        <v>500</v>
      </c>
      <c r="E137" s="87" t="s">
        <v>181</v>
      </c>
      <c r="F137" s="88">
        <f>_xlfn.XLOOKUP(F135,Tables!C246:C265,Tables!D246:D265,,0)</f>
        <v>340</v>
      </c>
      <c r="H137" s="87" t="s">
        <v>181</v>
      </c>
      <c r="I137" s="88">
        <f>_xlfn.XLOOKUP(I135,Tables!E246:E265,Tables!F246:F265,,0)</f>
        <v>232</v>
      </c>
      <c r="K137" s="166">
        <v>20000</v>
      </c>
      <c r="L137" s="168">
        <f>I139</f>
        <v>217.25490196078434</v>
      </c>
    </row>
    <row r="138" spans="2:12">
      <c r="B138" s="87" t="s">
        <v>182</v>
      </c>
      <c r="C138" s="88">
        <f>_xlfn.XLOOKUP(C136,Tables!A246:A265,Tables!B246:B265,,0)</f>
        <v>462</v>
      </c>
      <c r="E138" s="87" t="s">
        <v>182</v>
      </c>
      <c r="F138" s="88">
        <f>_xlfn.XLOOKUP(F136,Tables!C246:C265,Tables!D246:D265,,0)</f>
        <v>313</v>
      </c>
      <c r="H138" s="87" t="s">
        <v>182</v>
      </c>
      <c r="I138" s="88">
        <f>_xlfn.XLOOKUP(I136,Tables!E246:E265,Tables!F246:F265,,0)</f>
        <v>216</v>
      </c>
    </row>
    <row r="139" spans="2:12" ht="15" thickBot="1">
      <c r="B139" s="89" t="s">
        <v>178</v>
      </c>
      <c r="C139" s="90">
        <f>IFERROR(_xlfn.FORECAST.LINEAR($C$86,C137:C138,C135:C136),VLOOKUP($C$86,Tables!A246:F257,2, FALSE))</f>
        <v>464.98039215686276</v>
      </c>
      <c r="E139" s="89" t="s">
        <v>178</v>
      </c>
      <c r="F139" s="90">
        <f>IFERROR(_xlfn.FORECAST.LINEAR($C$86,F137:F138,F135:F136),VLOOKUP($C$86,Tables!C246:H257,2, FALSE))</f>
        <v>315.11764705882354</v>
      </c>
      <c r="H139" s="89" t="s">
        <v>178</v>
      </c>
      <c r="I139" s="90">
        <f>IFERROR(_xlfn.FORECAST.LINEAR($C$86,I137:I138,I135:I136),VLOOKUP($C$86,Tables!E246:J257,2, FALSE))</f>
        <v>217.25490196078434</v>
      </c>
    </row>
    <row r="142" spans="2:12" ht="15" thickBot="1"/>
    <row r="143" spans="2:12" ht="15" thickBot="1">
      <c r="B143" s="199" t="s">
        <v>199</v>
      </c>
      <c r="C143" s="200"/>
      <c r="E143" s="199" t="s">
        <v>200</v>
      </c>
      <c r="F143" s="200"/>
      <c r="H143" s="199" t="s">
        <v>201</v>
      </c>
      <c r="I143" s="200"/>
    </row>
    <row r="144" spans="2:12">
      <c r="B144" s="85" t="s">
        <v>179</v>
      </c>
      <c r="C144" s="86">
        <f>_xlfn.XLOOKUP($C$13,Tables!A262:A276,Tables!A262:A276,,-1,1)</f>
        <v>12</v>
      </c>
      <c r="E144" s="85" t="s">
        <v>179</v>
      </c>
      <c r="F144" s="86">
        <f>_xlfn.XLOOKUP($C$13,Tables!C262:C276,Tables!C262:C276,,-1,1)</f>
        <v>12</v>
      </c>
      <c r="H144" s="85" t="s">
        <v>179</v>
      </c>
      <c r="I144" s="86">
        <f>_xlfn.XLOOKUP($C$13,Tables!E262:E276,Tables!E262:E276,,-1,1)</f>
        <v>12</v>
      </c>
    </row>
    <row r="145" spans="2:9">
      <c r="B145" s="87" t="s">
        <v>180</v>
      </c>
      <c r="C145" s="88">
        <f>_xlfn.XLOOKUP($C$13,Tables!A262:A276,Tables!A262:A276,,1,1)</f>
        <v>26</v>
      </c>
      <c r="E145" s="87" t="s">
        <v>180</v>
      </c>
      <c r="F145" s="88">
        <f>_xlfn.XLOOKUP($C$13,Tables!C262:C276,Tables!C262:C276,,1,1)</f>
        <v>26</v>
      </c>
      <c r="H145" s="87" t="s">
        <v>180</v>
      </c>
      <c r="I145" s="88">
        <f>_xlfn.XLOOKUP($C$13,Tables!E262:E276,Tables!E262:E276,,1,1)</f>
        <v>26</v>
      </c>
    </row>
    <row r="146" spans="2:9">
      <c r="B146" s="87" t="s">
        <v>181</v>
      </c>
      <c r="C146" s="88">
        <f>_xlfn.XLOOKUP(C144,Tables!A262:A276,Tables!B262:B276,,0)</f>
        <v>0.98699999999999999</v>
      </c>
      <c r="E146" s="87" t="s">
        <v>181</v>
      </c>
      <c r="F146" s="88">
        <f>_xlfn.XLOOKUP(F144,Tables!C262:C276,Tables!D262:D276,,0)</f>
        <v>0.74</v>
      </c>
      <c r="H146" s="87" t="s">
        <v>181</v>
      </c>
      <c r="I146" s="88">
        <f>_xlfn.XLOOKUP(I144,Tables!E262:E276,Tables!F262:F276,,0)</f>
        <v>0.51600000000000001</v>
      </c>
    </row>
    <row r="147" spans="2:9">
      <c r="B147" s="87" t="s">
        <v>182</v>
      </c>
      <c r="C147" s="88">
        <f>_xlfn.XLOOKUP(C145,Tables!A262:A276,Tables!B262:B276,,0)</f>
        <v>0.7</v>
      </c>
      <c r="E147" s="87" t="s">
        <v>182</v>
      </c>
      <c r="F147" s="88">
        <f>_xlfn.XLOOKUP(F145,Tables!C262:C276,Tables!D262:D276,,0)</f>
        <v>0.53200000000000003</v>
      </c>
      <c r="H147" s="87" t="s">
        <v>182</v>
      </c>
      <c r="I147" s="88">
        <f>_xlfn.XLOOKUP(I145,Tables!E262:E276,Tables!F262:F276,,0)</f>
        <v>0.38100000000000001</v>
      </c>
    </row>
    <row r="148" spans="2:9" ht="15" thickBot="1">
      <c r="B148" s="89" t="s">
        <v>178</v>
      </c>
      <c r="C148" s="90">
        <f>IFERROR(_xlfn.FORECAST.LINEAR($C$34,C146:C147,C144:C145),VLOOKUP($C$34,Tables!A262:H276,2, FALSE))</f>
        <v>1.1100000000000001</v>
      </c>
      <c r="E148" s="89" t="s">
        <v>178</v>
      </c>
      <c r="F148" s="90">
        <f>IFERROR(_xlfn.FORECAST.LINEAR($C$34,F146:F147,F144:F145),VLOOKUP($C$34,Tables!C262:J276,2, FALSE))</f>
        <v>0.82914285714285718</v>
      </c>
      <c r="H148" s="89" t="s">
        <v>178</v>
      </c>
      <c r="I148" s="90">
        <f>IFERROR(_xlfn.FORECAST.LINEAR($C$34,I146:I147,I144:I145),VLOOKUP($C$34,Tables!E262:L276,2, FALSE))</f>
        <v>0.57385714285714295</v>
      </c>
    </row>
    <row r="149" spans="2:9" ht="15" thickBot="1"/>
    <row r="150" spans="2:9" ht="15" thickBot="1">
      <c r="B150" s="199" t="s">
        <v>202</v>
      </c>
      <c r="C150" s="200"/>
      <c r="E150" s="199" t="s">
        <v>203</v>
      </c>
      <c r="F150" s="200"/>
      <c r="H150" s="199" t="s">
        <v>204</v>
      </c>
      <c r="I150" s="200"/>
    </row>
    <row r="151" spans="2:9">
      <c r="B151" s="85" t="s">
        <v>179</v>
      </c>
      <c r="C151" s="86">
        <f>_xlfn.XLOOKUP($C$13,Tables!A140:A143,Tables!A140:A143,,-1,1)</f>
        <v>2</v>
      </c>
      <c r="E151" s="85" t="s">
        <v>179</v>
      </c>
      <c r="F151" s="86">
        <f>_xlfn.XLOOKUP($C$13,Tables!C140:C143,Tables!C140:C143,,-1,1)</f>
        <v>2</v>
      </c>
      <c r="H151" s="85" t="s">
        <v>179</v>
      </c>
      <c r="I151" s="86">
        <f>_xlfn.XLOOKUP($C$13,Tables!E140:E143,Tables!E140:E143,,-1,1)</f>
        <v>2</v>
      </c>
    </row>
    <row r="152" spans="2:9">
      <c r="B152" s="87" t="s">
        <v>180</v>
      </c>
      <c r="C152" s="88">
        <f>_xlfn.XLOOKUP($C$13,Tables!A140:A143,Tables!A140:A143,,1,1)</f>
        <v>42</v>
      </c>
      <c r="E152" s="87" t="s">
        <v>180</v>
      </c>
      <c r="F152" s="88">
        <f>_xlfn.XLOOKUP($C$13,Tables!C140:C143,Tables!C140:C143,,1,1)</f>
        <v>42</v>
      </c>
      <c r="H152" s="87" t="s">
        <v>180</v>
      </c>
      <c r="I152" s="88">
        <f>_xlfn.XLOOKUP($C$13,Tables!E140:E143,Tables!E140:E143,,1,1)</f>
        <v>42</v>
      </c>
    </row>
    <row r="153" spans="2:9">
      <c r="B153" s="87" t="s">
        <v>181</v>
      </c>
      <c r="C153" s="88">
        <f>_xlfn.XLOOKUP(C151,Tables!A140:A143,Tables!B140:B143,,0)</f>
        <v>1.0628</v>
      </c>
      <c r="E153" s="87" t="s">
        <v>181</v>
      </c>
      <c r="F153" s="88">
        <f>_xlfn.XLOOKUP(F151,Tables!C140:C143,Tables!D140:D143,,0)</f>
        <v>1.2107000000000001</v>
      </c>
      <c r="H153" s="87" t="s">
        <v>181</v>
      </c>
      <c r="I153" s="88">
        <f>_xlfn.XLOOKUP(I151,Tables!E140:E143,Tables!F140:F143,,0)</f>
        <v>1.3594999999999999</v>
      </c>
    </row>
    <row r="154" spans="2:9">
      <c r="B154" s="87" t="s">
        <v>182</v>
      </c>
      <c r="C154" s="88">
        <f>_xlfn.XLOOKUP(C152,Tables!A140:A143,Tables!B140:B143,,0)</f>
        <v>1.3495999999999999</v>
      </c>
      <c r="E154" s="87" t="s">
        <v>182</v>
      </c>
      <c r="F154" s="88">
        <f>_xlfn.XLOOKUP(F152,Tables!C140:C143,Tables!D140:D143,,0)</f>
        <v>1.4106000000000001</v>
      </c>
      <c r="H154" s="87" t="s">
        <v>182</v>
      </c>
      <c r="I154" s="88">
        <f>_xlfn.XLOOKUP(I152,Tables!E140:E143,Tables!F140:F143,,0)</f>
        <v>1.5620000000000001</v>
      </c>
    </row>
    <row r="155" spans="2:9" ht="15" thickBot="1">
      <c r="B155" s="89" t="s">
        <v>178</v>
      </c>
      <c r="C155" s="90">
        <f>IFERROR(_xlfn.FORECAST.LINEAR($C$13,C153:C154,C151:C152),VLOOKUP($C$13,A232:A234,2, FALSE))</f>
        <v>1.1398774999999999</v>
      </c>
      <c r="E155" s="89" t="s">
        <v>178</v>
      </c>
      <c r="F155" s="90">
        <f>IFERROR(_xlfn.FORECAST.LINEAR($C$13,F153:F154,F151:F152),VLOOKUP($C$34,#REF!,2, FALSE))</f>
        <v>1.2644231250000002</v>
      </c>
      <c r="H155" s="89" t="s">
        <v>178</v>
      </c>
      <c r="I155" s="90">
        <f>IFERROR(_xlfn.FORECAST.LINEAR($C$13,I153:I154,I151:I152),VLOOKUP($C$34,#REF!,2, FALSE))</f>
        <v>1.413921875</v>
      </c>
    </row>
    <row r="156" spans="2:9" ht="15" thickBot="1"/>
    <row r="157" spans="2:9" ht="15" thickBot="1">
      <c r="B157" s="199" t="s">
        <v>205</v>
      </c>
      <c r="C157" s="200"/>
      <c r="E157" s="199" t="s">
        <v>203</v>
      </c>
      <c r="F157" s="200"/>
      <c r="H157" s="199" t="s">
        <v>204</v>
      </c>
      <c r="I157" s="200"/>
    </row>
    <row r="158" spans="2:9">
      <c r="B158" s="85" t="s">
        <v>179</v>
      </c>
      <c r="C158" s="86">
        <f>_xlfn.XLOOKUP($C$13,Tables!A276:A281,Tables!A276:A281,,-1,1)</f>
        <v>2.19</v>
      </c>
      <c r="E158" s="85" t="s">
        <v>179</v>
      </c>
      <c r="F158" s="86">
        <f>_xlfn.XLOOKUP($C$13,Tables!C276:C281,Tables!C276:C281,,-1,1)</f>
        <v>2.19</v>
      </c>
      <c r="H158" s="85" t="s">
        <v>179</v>
      </c>
      <c r="I158" s="86">
        <f>_xlfn.XLOOKUP($C$13,Tables!E276:E281,Tables!E276:E281,,-1,1)</f>
        <v>2.19</v>
      </c>
    </row>
    <row r="159" spans="2:9">
      <c r="B159" s="87" t="s">
        <v>180</v>
      </c>
      <c r="C159" s="88">
        <f>_xlfn.XLOOKUP($C$13,Tables!A276:A281,Tables!A276:A281,,1,1)</f>
        <v>14.238</v>
      </c>
      <c r="E159" s="87" t="s">
        <v>180</v>
      </c>
      <c r="F159" s="88">
        <f>_xlfn.XLOOKUP($C$13,Tables!C276:C281,Tables!C276:C281,,1,1)</f>
        <v>14.238</v>
      </c>
      <c r="H159" s="87" t="s">
        <v>180</v>
      </c>
      <c r="I159" s="88">
        <f>_xlfn.XLOOKUP($C$13,Tables!E276:E281,Tables!E276:E281,,1,1)</f>
        <v>14.238</v>
      </c>
    </row>
    <row r="160" spans="2:9">
      <c r="B160" s="87" t="s">
        <v>181</v>
      </c>
      <c r="C160" s="88">
        <f>_xlfn.XLOOKUP(C158,Tables!A276:A281,Tables!B276:B281,,0)</f>
        <v>1.0329999999999999</v>
      </c>
      <c r="E160" s="87" t="s">
        <v>181</v>
      </c>
      <c r="F160" s="88">
        <f>_xlfn.XLOOKUP(F158,Tables!C276:C281,Tables!D276:D281,,0)</f>
        <v>1.0329999999999999</v>
      </c>
      <c r="H160" s="87" t="s">
        <v>181</v>
      </c>
      <c r="I160" s="88">
        <f>_xlfn.XLOOKUP(I158,Tables!E276:E281,Tables!F276:F281,,0)</f>
        <v>1.1319999999999999</v>
      </c>
    </row>
    <row r="161" spans="2:33">
      <c r="B161" s="87" t="s">
        <v>182</v>
      </c>
      <c r="C161" s="88">
        <f>_xlfn.XLOOKUP(C159,Tables!A276:A281,Tables!B276:B281,,0)</f>
        <v>1.0189999999999999</v>
      </c>
      <c r="E161" s="87" t="s">
        <v>182</v>
      </c>
      <c r="F161" s="88">
        <f>_xlfn.XLOOKUP(F159,Tables!C276:C281,Tables!D276:D281,,0)</f>
        <v>1.07</v>
      </c>
      <c r="H161" s="87" t="s">
        <v>182</v>
      </c>
      <c r="I161" s="88">
        <f>_xlfn.XLOOKUP(I159,Tables!E276:E281,Tables!F276:F281,,0)</f>
        <v>1.32</v>
      </c>
    </row>
    <row r="162" spans="2:33" ht="15" thickBot="1">
      <c r="B162" s="89" t="s">
        <v>178</v>
      </c>
      <c r="C162" s="90">
        <f>IFERROR(_xlfn.FORECAST.LINEAR($C$13,C160:C161,C158:C159),VLOOKUP($C$13,A372:A376,2, FALSE))</f>
        <v>1.0207290836653387</v>
      </c>
      <c r="E162" s="89" t="s">
        <v>178</v>
      </c>
      <c r="F162" s="90">
        <f>IFERROR(_xlfn.FORECAST.LINEAR($C$13,F160:F161,F158:F159),VLOOKUP($C$13,C372:C376,2, FALSE))</f>
        <v>1.0654302788844621</v>
      </c>
      <c r="H162" s="89" t="s">
        <v>178</v>
      </c>
      <c r="I162" s="90">
        <f>IFERROR(_xlfn.FORECAST.LINEAR($C$13,I160:I161,I158:I159),VLOOKUP($C$13,E372:E376,2, FALSE))</f>
        <v>1.2967808764940238</v>
      </c>
    </row>
    <row r="163" spans="2:33" ht="15" thickBot="1"/>
    <row r="164" spans="2:33" ht="15" thickBot="1">
      <c r="B164" s="185" t="s">
        <v>490</v>
      </c>
    </row>
    <row r="165" spans="2:33">
      <c r="B165" s="184">
        <f>'Railroad Loading'!C13</f>
        <v>12.75</v>
      </c>
    </row>
    <row r="166" spans="2:33">
      <c r="B166" s="184">
        <f>B165+1</f>
        <v>13.75</v>
      </c>
    </row>
    <row r="167" spans="2:33" ht="15" thickBot="1">
      <c r="B167" s="165">
        <f>B165+2</f>
        <v>14.75</v>
      </c>
    </row>
    <row r="169" spans="2:33" ht="15" thickBot="1"/>
    <row r="170" spans="2:33">
      <c r="C170" s="91" t="s">
        <v>318</v>
      </c>
      <c r="D170" s="92" t="s">
        <v>280</v>
      </c>
      <c r="E170" s="93" t="s">
        <v>281</v>
      </c>
      <c r="F170" s="93" t="s">
        <v>282</v>
      </c>
      <c r="G170" s="93" t="s">
        <v>283</v>
      </c>
      <c r="H170" s="93">
        <v>1</v>
      </c>
      <c r="I170" s="93" t="s">
        <v>284</v>
      </c>
      <c r="J170" s="93" t="s">
        <v>285</v>
      </c>
      <c r="K170" s="93">
        <v>2</v>
      </c>
      <c r="L170" s="93" t="s">
        <v>286</v>
      </c>
      <c r="M170" s="93">
        <v>3</v>
      </c>
      <c r="N170" s="93" t="s">
        <v>287</v>
      </c>
      <c r="O170" s="93">
        <v>4</v>
      </c>
      <c r="P170" s="93" t="s">
        <v>319</v>
      </c>
      <c r="Q170" s="93">
        <v>5</v>
      </c>
      <c r="R170" s="93">
        <v>6</v>
      </c>
      <c r="S170" s="93">
        <v>8</v>
      </c>
      <c r="T170" s="93">
        <v>10</v>
      </c>
      <c r="U170" s="93">
        <v>12</v>
      </c>
      <c r="V170" s="93">
        <v>14</v>
      </c>
      <c r="W170" s="93">
        <v>16</v>
      </c>
      <c r="X170" s="93">
        <v>18</v>
      </c>
      <c r="Y170" s="93">
        <v>20</v>
      </c>
      <c r="Z170" s="93">
        <v>24</v>
      </c>
      <c r="AA170" s="93">
        <v>26</v>
      </c>
      <c r="AB170" s="93">
        <v>30</v>
      </c>
      <c r="AC170" s="93">
        <v>36</v>
      </c>
      <c r="AD170" s="93">
        <v>42</v>
      </c>
      <c r="AE170" s="94">
        <v>48</v>
      </c>
      <c r="AG170" s="95" t="s">
        <v>320</v>
      </c>
    </row>
    <row r="171" spans="2:33" ht="15" thickBot="1">
      <c r="C171" s="96" t="s">
        <v>321</v>
      </c>
      <c r="D171" s="97">
        <v>0.54</v>
      </c>
      <c r="E171" s="98">
        <v>0.67500000000000004</v>
      </c>
      <c r="F171" s="98">
        <v>0.84</v>
      </c>
      <c r="G171" s="98">
        <v>1.05</v>
      </c>
      <c r="H171" s="98">
        <v>1.3149999999999999</v>
      </c>
      <c r="I171" s="98">
        <v>1.66</v>
      </c>
      <c r="J171" s="98">
        <v>1.9</v>
      </c>
      <c r="K171" s="98">
        <v>2.375</v>
      </c>
      <c r="L171" s="98">
        <v>2.875</v>
      </c>
      <c r="M171" s="98">
        <v>3.5</v>
      </c>
      <c r="N171" s="98">
        <v>4</v>
      </c>
      <c r="O171" s="98">
        <v>4.5</v>
      </c>
      <c r="P171" s="98">
        <v>5</v>
      </c>
      <c r="Q171" s="98">
        <v>5.5629999999999997</v>
      </c>
      <c r="R171" s="98">
        <v>6.625</v>
      </c>
      <c r="S171" s="98">
        <v>8.625</v>
      </c>
      <c r="T171" s="98">
        <v>10.75</v>
      </c>
      <c r="U171" s="98">
        <v>12.75</v>
      </c>
      <c r="V171" s="98">
        <v>14</v>
      </c>
      <c r="W171" s="98">
        <v>16</v>
      </c>
      <c r="X171" s="98">
        <v>18</v>
      </c>
      <c r="Y171" s="98">
        <v>20</v>
      </c>
      <c r="Z171" s="98">
        <v>24</v>
      </c>
      <c r="AA171" s="98">
        <v>26</v>
      </c>
      <c r="AB171" s="98">
        <v>30</v>
      </c>
      <c r="AC171" s="98">
        <v>36</v>
      </c>
      <c r="AD171" s="98">
        <v>42</v>
      </c>
      <c r="AE171" s="99">
        <v>48</v>
      </c>
    </row>
    <row r="172" spans="2:33">
      <c r="C172" s="100" t="s">
        <v>322</v>
      </c>
      <c r="D172" s="101">
        <v>6.5000000000000002E-2</v>
      </c>
      <c r="E172" s="102">
        <v>6.5000000000000002E-2</v>
      </c>
      <c r="F172" s="103">
        <v>8.3000000000000004E-2</v>
      </c>
      <c r="G172" s="103">
        <v>8.3000000000000004E-2</v>
      </c>
      <c r="H172" s="103">
        <v>0.109</v>
      </c>
      <c r="I172" s="103">
        <v>0.109</v>
      </c>
      <c r="J172" s="103">
        <v>0.109</v>
      </c>
      <c r="K172" s="103">
        <v>0.109</v>
      </c>
      <c r="L172" s="103">
        <v>0.12</v>
      </c>
      <c r="M172" s="103">
        <v>0.12</v>
      </c>
      <c r="N172" s="103">
        <v>0.12</v>
      </c>
      <c r="O172" s="103">
        <v>0.12</v>
      </c>
      <c r="P172" s="103">
        <v>0.247</v>
      </c>
      <c r="Q172" s="103">
        <v>0.13400000000000001</v>
      </c>
      <c r="R172" s="103">
        <v>0.13400000000000001</v>
      </c>
      <c r="S172" s="103">
        <v>0.14799999999999999</v>
      </c>
      <c r="T172" s="103">
        <v>0.16500000000000001</v>
      </c>
      <c r="U172" s="103">
        <v>0.18</v>
      </c>
      <c r="V172" s="103">
        <v>0.188</v>
      </c>
      <c r="W172" s="103">
        <v>0.188</v>
      </c>
      <c r="X172" s="103">
        <v>0.188</v>
      </c>
      <c r="Y172" s="103">
        <v>0.218</v>
      </c>
      <c r="Z172" s="103">
        <v>0.25</v>
      </c>
      <c r="AA172" s="103">
        <v>0.25</v>
      </c>
      <c r="AB172" s="103">
        <v>0.312</v>
      </c>
      <c r="AC172" s="103">
        <v>0.312</v>
      </c>
      <c r="AD172" s="103">
        <v>0.375</v>
      </c>
      <c r="AE172" s="104">
        <v>0.375</v>
      </c>
    </row>
    <row r="173" spans="2:33">
      <c r="C173" s="105"/>
      <c r="D173" s="106">
        <v>8.7999999999999995E-2</v>
      </c>
      <c r="E173" s="107">
        <v>9.0999999999999998E-2</v>
      </c>
      <c r="F173" s="107">
        <v>0.109</v>
      </c>
      <c r="G173" s="107">
        <v>0.113</v>
      </c>
      <c r="H173" s="107">
        <v>0.13300000000000001</v>
      </c>
      <c r="I173" s="107">
        <v>0.14000000000000001</v>
      </c>
      <c r="J173" s="107">
        <v>0.14499999999999999</v>
      </c>
      <c r="K173" s="107">
        <v>0.154</v>
      </c>
      <c r="L173" s="107">
        <v>0.20300000000000001</v>
      </c>
      <c r="M173" s="107">
        <v>0.216</v>
      </c>
      <c r="N173" s="107">
        <v>0.22600000000000001</v>
      </c>
      <c r="O173" s="107">
        <v>0.125</v>
      </c>
      <c r="P173" s="107">
        <v>0.35499999999999998</v>
      </c>
      <c r="Q173" s="107">
        <v>0.156</v>
      </c>
      <c r="R173" s="107">
        <v>0.188</v>
      </c>
      <c r="S173" s="107">
        <v>0.188</v>
      </c>
      <c r="T173" s="107">
        <v>0.188</v>
      </c>
      <c r="U173" s="107">
        <v>0.20300000000000001</v>
      </c>
      <c r="V173" s="107">
        <v>0.21</v>
      </c>
      <c r="W173" s="107">
        <v>0.219</v>
      </c>
      <c r="X173" s="107">
        <v>0.25</v>
      </c>
      <c r="Y173" s="107">
        <v>0.25</v>
      </c>
      <c r="Z173" s="107">
        <v>0.28100000000000003</v>
      </c>
      <c r="AA173" s="107">
        <v>0.28100000000000003</v>
      </c>
      <c r="AB173" s="107">
        <v>0.375</v>
      </c>
      <c r="AC173" s="107">
        <v>0.375</v>
      </c>
      <c r="AD173" s="107">
        <v>0.5</v>
      </c>
      <c r="AE173" s="108">
        <v>0.5</v>
      </c>
    </row>
    <row r="174" spans="2:33">
      <c r="C174" s="105"/>
      <c r="D174" s="106">
        <v>0.11899999999999999</v>
      </c>
      <c r="E174" s="107">
        <v>0.126</v>
      </c>
      <c r="F174" s="107">
        <v>0.14699999999999999</v>
      </c>
      <c r="G174" s="107">
        <v>0.154</v>
      </c>
      <c r="H174" s="107">
        <v>0.17899999999999999</v>
      </c>
      <c r="I174" s="107">
        <v>0.191</v>
      </c>
      <c r="J174" s="107">
        <v>0.2</v>
      </c>
      <c r="K174" s="107">
        <v>0.218</v>
      </c>
      <c r="L174" s="107">
        <v>0.27600000000000002</v>
      </c>
      <c r="M174" s="107">
        <v>0.3</v>
      </c>
      <c r="N174" s="107">
        <v>0.318</v>
      </c>
      <c r="O174" s="107">
        <v>0.156</v>
      </c>
      <c r="P174" s="109" t="s">
        <v>233</v>
      </c>
      <c r="Q174" s="107">
        <v>0.188</v>
      </c>
      <c r="R174" s="107">
        <v>0.219</v>
      </c>
      <c r="S174" s="107">
        <v>0.20300000000000001</v>
      </c>
      <c r="T174" s="107">
        <v>0.20300000000000001</v>
      </c>
      <c r="U174" s="107">
        <v>0.219</v>
      </c>
      <c r="V174" s="107">
        <v>0.219</v>
      </c>
      <c r="W174" s="107">
        <v>0.25</v>
      </c>
      <c r="X174" s="107">
        <v>0.28100000000000003</v>
      </c>
      <c r="Y174" s="107">
        <v>0.28100000000000003</v>
      </c>
      <c r="Z174" s="107">
        <v>0.312</v>
      </c>
      <c r="AA174" s="107">
        <v>0.312</v>
      </c>
      <c r="AB174" s="107">
        <v>0.438</v>
      </c>
      <c r="AC174" s="107">
        <v>0.5</v>
      </c>
      <c r="AD174" s="110" t="s">
        <v>233</v>
      </c>
      <c r="AE174" s="111" t="s">
        <v>233</v>
      </c>
    </row>
    <row r="175" spans="2:33">
      <c r="C175" s="105"/>
      <c r="D175" s="112" t="s">
        <v>233</v>
      </c>
      <c r="E175" s="109" t="s">
        <v>233</v>
      </c>
      <c r="F175" s="107">
        <v>0.188</v>
      </c>
      <c r="G175" s="107">
        <v>0.219</v>
      </c>
      <c r="H175" s="107">
        <v>0.25</v>
      </c>
      <c r="I175" s="107">
        <v>0.25</v>
      </c>
      <c r="J175" s="107">
        <v>0.28100000000000003</v>
      </c>
      <c r="K175" s="107">
        <v>0.34399999999999997</v>
      </c>
      <c r="L175" s="107">
        <v>0.375</v>
      </c>
      <c r="M175" s="107">
        <v>0.438</v>
      </c>
      <c r="N175" s="107">
        <v>0.63600000000000001</v>
      </c>
      <c r="O175" s="107">
        <v>0.188</v>
      </c>
      <c r="P175" s="109" t="s">
        <v>233</v>
      </c>
      <c r="Q175" s="107">
        <v>0.219</v>
      </c>
      <c r="R175" s="107">
        <v>0.25</v>
      </c>
      <c r="S175" s="107">
        <v>0.219</v>
      </c>
      <c r="T175" s="107">
        <v>0.219</v>
      </c>
      <c r="U175" s="107">
        <v>0.25</v>
      </c>
      <c r="V175" s="107">
        <v>0.25</v>
      </c>
      <c r="W175" s="107">
        <v>0.28100000000000003</v>
      </c>
      <c r="X175" s="107">
        <v>0.312</v>
      </c>
      <c r="Y175" s="107">
        <v>0.312</v>
      </c>
      <c r="Z175" s="107">
        <v>0.34399999999999997</v>
      </c>
      <c r="AA175" s="107">
        <v>0.34399999999999997</v>
      </c>
      <c r="AB175" s="107">
        <v>0.5</v>
      </c>
      <c r="AC175" s="107">
        <v>0.625</v>
      </c>
      <c r="AD175" s="109" t="s">
        <v>233</v>
      </c>
      <c r="AE175" s="113" t="s">
        <v>233</v>
      </c>
    </row>
    <row r="176" spans="2:33">
      <c r="C176" s="105"/>
      <c r="D176" s="112" t="s">
        <v>233</v>
      </c>
      <c r="E176" s="109" t="s">
        <v>233</v>
      </c>
      <c r="F176" s="107">
        <v>0.29399999999999998</v>
      </c>
      <c r="G176" s="107">
        <v>0.308</v>
      </c>
      <c r="H176" s="107">
        <v>0.35799999999999998</v>
      </c>
      <c r="I176" s="107">
        <v>0.35799999999999998</v>
      </c>
      <c r="J176" s="107">
        <v>0.4</v>
      </c>
      <c r="K176" s="107">
        <v>0.436</v>
      </c>
      <c r="L176" s="107">
        <v>0.55200000000000005</v>
      </c>
      <c r="M176" s="107">
        <v>0.6</v>
      </c>
      <c r="N176" s="109" t="s">
        <v>233</v>
      </c>
      <c r="O176" s="107">
        <v>0.219</v>
      </c>
      <c r="P176" s="109" t="s">
        <v>233</v>
      </c>
      <c r="Q176" s="107">
        <v>0.25800000000000001</v>
      </c>
      <c r="R176" s="107">
        <v>0.28000000000000003</v>
      </c>
      <c r="S176" s="107">
        <v>0.25</v>
      </c>
      <c r="T176" s="107">
        <v>0.25</v>
      </c>
      <c r="U176" s="107">
        <v>0.28100000000000003</v>
      </c>
      <c r="V176" s="107">
        <v>0.28100000000000003</v>
      </c>
      <c r="W176" s="107">
        <v>0.312</v>
      </c>
      <c r="X176" s="107">
        <v>0.34399999999999997</v>
      </c>
      <c r="Y176" s="107">
        <v>0.34399999999999997</v>
      </c>
      <c r="Z176" s="107">
        <v>0.375</v>
      </c>
      <c r="AA176" s="107">
        <v>0.375</v>
      </c>
      <c r="AB176" s="107">
        <v>0.625</v>
      </c>
      <c r="AC176" s="107">
        <v>0.75</v>
      </c>
      <c r="AD176" s="109" t="s">
        <v>233</v>
      </c>
      <c r="AE176" s="113" t="s">
        <v>233</v>
      </c>
    </row>
    <row r="177" spans="3:31">
      <c r="C177" s="105"/>
      <c r="D177" s="112" t="s">
        <v>233</v>
      </c>
      <c r="E177" s="109" t="s">
        <v>233</v>
      </c>
      <c r="F177" s="109" t="s">
        <v>233</v>
      </c>
      <c r="G177" s="109" t="s">
        <v>233</v>
      </c>
      <c r="H177" s="107">
        <v>0.38200000000000001</v>
      </c>
      <c r="I177" s="109" t="s">
        <v>233</v>
      </c>
      <c r="J177" s="109" t="s">
        <v>233</v>
      </c>
      <c r="K177" s="109" t="s">
        <v>233</v>
      </c>
      <c r="L177" s="109" t="s">
        <v>233</v>
      </c>
      <c r="M177" s="109" t="s">
        <v>233</v>
      </c>
      <c r="N177" s="109" t="s">
        <v>233</v>
      </c>
      <c r="O177" s="107">
        <v>0.23699999999999999</v>
      </c>
      <c r="P177" s="109" t="s">
        <v>233</v>
      </c>
      <c r="Q177" s="107">
        <v>0.28100000000000003</v>
      </c>
      <c r="R177" s="107">
        <v>0.312</v>
      </c>
      <c r="S177" s="107">
        <v>0.27700000000000002</v>
      </c>
      <c r="T177" s="107">
        <v>0.27900000000000003</v>
      </c>
      <c r="U177" s="107">
        <v>0.312</v>
      </c>
      <c r="V177" s="107">
        <v>0.312</v>
      </c>
      <c r="W177" s="107">
        <v>0.34399999999999997</v>
      </c>
      <c r="X177" s="107">
        <v>0.375</v>
      </c>
      <c r="Y177" s="107">
        <v>0.375</v>
      </c>
      <c r="Z177" s="107">
        <v>0.40600000000000003</v>
      </c>
      <c r="AA177" s="107">
        <v>0.40600000000000003</v>
      </c>
      <c r="AB177" s="109" t="s">
        <v>233</v>
      </c>
      <c r="AC177" s="109" t="s">
        <v>233</v>
      </c>
      <c r="AD177" s="109" t="s">
        <v>233</v>
      </c>
      <c r="AE177" s="113" t="s">
        <v>233</v>
      </c>
    </row>
    <row r="178" spans="3:31">
      <c r="C178" s="105"/>
      <c r="D178" s="112" t="s">
        <v>233</v>
      </c>
      <c r="E178" s="109" t="s">
        <v>233</v>
      </c>
      <c r="F178" s="109" t="s">
        <v>233</v>
      </c>
      <c r="G178" s="109" t="s">
        <v>233</v>
      </c>
      <c r="H178" s="109" t="s">
        <v>233</v>
      </c>
      <c r="I178" s="109" t="s">
        <v>233</v>
      </c>
      <c r="J178" s="109" t="s">
        <v>233</v>
      </c>
      <c r="K178" s="109" t="s">
        <v>233</v>
      </c>
      <c r="L178" s="109" t="s">
        <v>233</v>
      </c>
      <c r="M178" s="109" t="s">
        <v>233</v>
      </c>
      <c r="N178" s="109" t="s">
        <v>233</v>
      </c>
      <c r="O178" s="107">
        <v>0.25</v>
      </c>
      <c r="P178" s="109" t="s">
        <v>233</v>
      </c>
      <c r="Q178" s="107">
        <v>0.312</v>
      </c>
      <c r="R178" s="107">
        <v>0.34399999999999997</v>
      </c>
      <c r="S178" s="107">
        <v>0.312</v>
      </c>
      <c r="T178" s="107">
        <v>0.307</v>
      </c>
      <c r="U178" s="107">
        <v>0.33</v>
      </c>
      <c r="V178" s="107">
        <v>0.34399999999999997</v>
      </c>
      <c r="W178" s="107">
        <v>0.375</v>
      </c>
      <c r="X178" s="107">
        <v>0.438</v>
      </c>
      <c r="Y178" s="107">
        <v>0.40600000000000003</v>
      </c>
      <c r="Z178" s="107">
        <v>0.438</v>
      </c>
      <c r="AA178" s="107">
        <v>0.438</v>
      </c>
      <c r="AB178" s="109" t="s">
        <v>233</v>
      </c>
      <c r="AC178" s="109" t="s">
        <v>233</v>
      </c>
      <c r="AD178" s="109" t="s">
        <v>233</v>
      </c>
      <c r="AE178" s="113" t="s">
        <v>233</v>
      </c>
    </row>
    <row r="179" spans="3:31">
      <c r="C179" s="105"/>
      <c r="D179" s="112" t="s">
        <v>233</v>
      </c>
      <c r="E179" s="109" t="s">
        <v>233</v>
      </c>
      <c r="F179" s="109" t="s">
        <v>233</v>
      </c>
      <c r="G179" s="109" t="s">
        <v>233</v>
      </c>
      <c r="H179" s="109" t="s">
        <v>233</v>
      </c>
      <c r="I179" s="109" t="s">
        <v>233</v>
      </c>
      <c r="J179" s="109" t="s">
        <v>233</v>
      </c>
      <c r="K179" s="109" t="s">
        <v>233</v>
      </c>
      <c r="L179" s="109" t="s">
        <v>233</v>
      </c>
      <c r="M179" s="109" t="s">
        <v>233</v>
      </c>
      <c r="N179" s="109" t="s">
        <v>233</v>
      </c>
      <c r="O179" s="107">
        <v>0.28100000000000003</v>
      </c>
      <c r="P179" s="109" t="s">
        <v>233</v>
      </c>
      <c r="Q179" s="107">
        <v>0.34399999999999997</v>
      </c>
      <c r="R179" s="107">
        <v>0.375</v>
      </c>
      <c r="S179" s="107">
        <v>0.32200000000000001</v>
      </c>
      <c r="T179" s="107">
        <v>0.34399999999999997</v>
      </c>
      <c r="U179" s="107">
        <v>0.34399999999999997</v>
      </c>
      <c r="V179" s="107">
        <v>0.375</v>
      </c>
      <c r="W179" s="107">
        <v>0.438</v>
      </c>
      <c r="X179" s="107">
        <v>0.46899999999999997</v>
      </c>
      <c r="Y179" s="107">
        <v>0.438</v>
      </c>
      <c r="Z179" s="107">
        <v>0.46899999999999997</v>
      </c>
      <c r="AA179" s="107">
        <v>0.5</v>
      </c>
      <c r="AB179" s="109" t="s">
        <v>233</v>
      </c>
      <c r="AC179" s="109" t="s">
        <v>233</v>
      </c>
      <c r="AD179" s="109" t="s">
        <v>233</v>
      </c>
      <c r="AE179" s="113" t="s">
        <v>233</v>
      </c>
    </row>
    <row r="180" spans="3:31">
      <c r="C180" s="114"/>
      <c r="D180" s="112" t="s">
        <v>233</v>
      </c>
      <c r="E180" s="109" t="s">
        <v>233</v>
      </c>
      <c r="F180" s="109" t="s">
        <v>233</v>
      </c>
      <c r="G180" s="109" t="s">
        <v>233</v>
      </c>
      <c r="H180" s="109" t="s">
        <v>233</v>
      </c>
      <c r="I180" s="109" t="s">
        <v>233</v>
      </c>
      <c r="J180" s="109" t="s">
        <v>233</v>
      </c>
      <c r="K180" s="109" t="s">
        <v>233</v>
      </c>
      <c r="L180" s="109" t="s">
        <v>233</v>
      </c>
      <c r="M180" s="109" t="s">
        <v>233</v>
      </c>
      <c r="N180" s="109" t="s">
        <v>233</v>
      </c>
      <c r="O180" s="107">
        <v>0.312</v>
      </c>
      <c r="P180" s="109" t="s">
        <v>233</v>
      </c>
      <c r="Q180" s="107">
        <v>0.375</v>
      </c>
      <c r="R180" s="107">
        <v>0.432</v>
      </c>
      <c r="S180" s="107">
        <v>0.34399999999999997</v>
      </c>
      <c r="T180" s="107">
        <v>0.36499999999999999</v>
      </c>
      <c r="U180" s="107">
        <v>0.375</v>
      </c>
      <c r="V180" s="107">
        <v>0.438</v>
      </c>
      <c r="W180" s="107">
        <v>0.5</v>
      </c>
      <c r="X180" s="107">
        <v>0.5</v>
      </c>
      <c r="Y180" s="107">
        <v>0.46899999999999997</v>
      </c>
      <c r="Z180" s="107">
        <v>0.5</v>
      </c>
      <c r="AA180" s="107">
        <v>0.56200000000000006</v>
      </c>
      <c r="AB180" s="109" t="s">
        <v>233</v>
      </c>
      <c r="AC180" s="109" t="s">
        <v>233</v>
      </c>
      <c r="AD180" s="109" t="s">
        <v>233</v>
      </c>
      <c r="AE180" s="113" t="s">
        <v>233</v>
      </c>
    </row>
    <row r="181" spans="3:31">
      <c r="C181" s="114"/>
      <c r="D181" s="112" t="s">
        <v>233</v>
      </c>
      <c r="E181" s="109" t="s">
        <v>233</v>
      </c>
      <c r="F181" s="109" t="s">
        <v>233</v>
      </c>
      <c r="G181" s="109" t="s">
        <v>233</v>
      </c>
      <c r="H181" s="109" t="s">
        <v>233</v>
      </c>
      <c r="I181" s="109" t="s">
        <v>233</v>
      </c>
      <c r="J181" s="109" t="s">
        <v>233</v>
      </c>
      <c r="K181" s="109" t="s">
        <v>233</v>
      </c>
      <c r="L181" s="109" t="s">
        <v>233</v>
      </c>
      <c r="M181" s="109" t="s">
        <v>233</v>
      </c>
      <c r="N181" s="109" t="s">
        <v>233</v>
      </c>
      <c r="O181" s="107">
        <v>0.33700000000000002</v>
      </c>
      <c r="P181" s="109" t="s">
        <v>233</v>
      </c>
      <c r="Q181" s="107">
        <v>0.5</v>
      </c>
      <c r="R181" s="107">
        <v>0.5</v>
      </c>
      <c r="S181" s="107">
        <v>0.375</v>
      </c>
      <c r="T181" s="107">
        <v>0.438</v>
      </c>
      <c r="U181" s="107">
        <v>0.40600000000000003</v>
      </c>
      <c r="V181" s="107">
        <v>0.46899999999999997</v>
      </c>
      <c r="W181" s="107">
        <v>0.65600000000000003</v>
      </c>
      <c r="X181" s="107">
        <v>0.56200000000000006</v>
      </c>
      <c r="Y181" s="107">
        <v>0.5</v>
      </c>
      <c r="Z181" s="107">
        <v>0.56200000000000006</v>
      </c>
      <c r="AA181" s="109" t="s">
        <v>233</v>
      </c>
      <c r="AB181" s="109" t="s">
        <v>233</v>
      </c>
      <c r="AC181" s="109" t="s">
        <v>233</v>
      </c>
      <c r="AD181" s="109" t="s">
        <v>233</v>
      </c>
      <c r="AE181" s="113" t="s">
        <v>233</v>
      </c>
    </row>
    <row r="182" spans="3:31">
      <c r="C182" s="114"/>
      <c r="D182" s="112" t="s">
        <v>233</v>
      </c>
      <c r="E182" s="109" t="s">
        <v>233</v>
      </c>
      <c r="F182" s="109" t="s">
        <v>233</v>
      </c>
      <c r="G182" s="109" t="s">
        <v>233</v>
      </c>
      <c r="H182" s="109" t="s">
        <v>233</v>
      </c>
      <c r="I182" s="109" t="s">
        <v>233</v>
      </c>
      <c r="J182" s="109" t="s">
        <v>233</v>
      </c>
      <c r="K182" s="109" t="s">
        <v>233</v>
      </c>
      <c r="L182" s="109" t="s">
        <v>233</v>
      </c>
      <c r="M182" s="109" t="s">
        <v>233</v>
      </c>
      <c r="N182" s="109" t="s">
        <v>233</v>
      </c>
      <c r="O182" s="107">
        <v>0.438</v>
      </c>
      <c r="P182" s="109" t="s">
        <v>233</v>
      </c>
      <c r="Q182" s="107">
        <v>0.625</v>
      </c>
      <c r="R182" s="107">
        <v>0.56200000000000006</v>
      </c>
      <c r="S182" s="107">
        <v>0.40600000000000003</v>
      </c>
      <c r="T182" s="107">
        <v>0.5</v>
      </c>
      <c r="U182" s="107">
        <v>0.438</v>
      </c>
      <c r="V182" s="107">
        <v>0.5</v>
      </c>
      <c r="W182" s="107">
        <v>0.81200000000000006</v>
      </c>
      <c r="X182" s="107">
        <v>0.65600000000000003</v>
      </c>
      <c r="Y182" s="107">
        <v>0.59399999999999997</v>
      </c>
      <c r="Z182" s="107">
        <v>0.68799999999999994</v>
      </c>
      <c r="AA182" s="109" t="s">
        <v>233</v>
      </c>
      <c r="AB182" s="109" t="s">
        <v>233</v>
      </c>
      <c r="AC182" s="109" t="s">
        <v>233</v>
      </c>
      <c r="AD182" s="109" t="s">
        <v>233</v>
      </c>
      <c r="AE182" s="113" t="s">
        <v>233</v>
      </c>
    </row>
    <row r="183" spans="3:31">
      <c r="C183" s="114"/>
      <c r="D183" s="112" t="s">
        <v>233</v>
      </c>
      <c r="E183" s="109" t="s">
        <v>233</v>
      </c>
      <c r="F183" s="109" t="s">
        <v>233</v>
      </c>
      <c r="G183" s="109" t="s">
        <v>233</v>
      </c>
      <c r="H183" s="109" t="s">
        <v>233</v>
      </c>
      <c r="I183" s="109" t="s">
        <v>233</v>
      </c>
      <c r="J183" s="109" t="s">
        <v>233</v>
      </c>
      <c r="K183" s="109" t="s">
        <v>233</v>
      </c>
      <c r="L183" s="109" t="s">
        <v>233</v>
      </c>
      <c r="M183" s="109" t="s">
        <v>233</v>
      </c>
      <c r="N183" s="109" t="s">
        <v>233</v>
      </c>
      <c r="O183" s="107">
        <v>0.53100000000000003</v>
      </c>
      <c r="P183" s="109" t="s">
        <v>233</v>
      </c>
      <c r="Q183" s="107">
        <v>0.75</v>
      </c>
      <c r="R183" s="107">
        <v>0.71899999999999997</v>
      </c>
      <c r="S183" s="107">
        <v>0.438</v>
      </c>
      <c r="T183" s="107">
        <v>0.59399999999999997</v>
      </c>
      <c r="U183" s="107">
        <v>0.5</v>
      </c>
      <c r="V183" s="107">
        <v>0.59399999999999997</v>
      </c>
      <c r="W183" s="107">
        <v>0.84399999999999997</v>
      </c>
      <c r="X183" s="107">
        <v>0.68799999999999994</v>
      </c>
      <c r="Y183" s="107">
        <v>0.81200000000000006</v>
      </c>
      <c r="Z183" s="107">
        <v>0.93799999999999994</v>
      </c>
      <c r="AA183" s="109" t="s">
        <v>233</v>
      </c>
      <c r="AB183" s="109" t="s">
        <v>233</v>
      </c>
      <c r="AC183" s="109" t="s">
        <v>233</v>
      </c>
      <c r="AD183" s="109" t="s">
        <v>233</v>
      </c>
      <c r="AE183" s="113" t="s">
        <v>233</v>
      </c>
    </row>
    <row r="184" spans="3:31">
      <c r="C184" s="114"/>
      <c r="D184" s="112" t="s">
        <v>233</v>
      </c>
      <c r="E184" s="109" t="s">
        <v>233</v>
      </c>
      <c r="F184" s="109" t="s">
        <v>233</v>
      </c>
      <c r="G184" s="109" t="s">
        <v>233</v>
      </c>
      <c r="H184" s="109" t="s">
        <v>233</v>
      </c>
      <c r="I184" s="109" t="s">
        <v>233</v>
      </c>
      <c r="J184" s="109" t="s">
        <v>233</v>
      </c>
      <c r="K184" s="109" t="s">
        <v>233</v>
      </c>
      <c r="L184" s="109" t="s">
        <v>233</v>
      </c>
      <c r="M184" s="109" t="s">
        <v>233</v>
      </c>
      <c r="N184" s="109" t="s">
        <v>233</v>
      </c>
      <c r="O184" s="107">
        <v>0.67400000000000004</v>
      </c>
      <c r="P184" s="109" t="s">
        <v>233</v>
      </c>
      <c r="Q184" s="109" t="s">
        <v>233</v>
      </c>
      <c r="R184" s="107">
        <v>0.86399999999999999</v>
      </c>
      <c r="S184" s="107">
        <v>0.5</v>
      </c>
      <c r="T184" s="107">
        <v>0.71899999999999997</v>
      </c>
      <c r="U184" s="107">
        <v>0.56200000000000006</v>
      </c>
      <c r="V184" s="107">
        <v>0.75</v>
      </c>
      <c r="W184" s="107">
        <v>1.0309999999999999</v>
      </c>
      <c r="X184" s="107">
        <v>0.75</v>
      </c>
      <c r="Y184" s="107">
        <v>1.0309999999999999</v>
      </c>
      <c r="Z184" s="107">
        <v>0.96899999999999997</v>
      </c>
      <c r="AA184" s="109" t="s">
        <v>233</v>
      </c>
      <c r="AB184" s="109" t="s">
        <v>233</v>
      </c>
      <c r="AC184" s="109" t="s">
        <v>233</v>
      </c>
      <c r="AD184" s="109" t="s">
        <v>233</v>
      </c>
      <c r="AE184" s="113" t="s">
        <v>233</v>
      </c>
    </row>
    <row r="185" spans="3:31">
      <c r="C185" s="114"/>
      <c r="D185" s="112" t="s">
        <v>233</v>
      </c>
      <c r="E185" s="109" t="s">
        <v>233</v>
      </c>
      <c r="F185" s="109" t="s">
        <v>233</v>
      </c>
      <c r="G185" s="109" t="s">
        <v>233</v>
      </c>
      <c r="H185" s="109" t="s">
        <v>233</v>
      </c>
      <c r="I185" s="109" t="s">
        <v>233</v>
      </c>
      <c r="J185" s="109" t="s">
        <v>233</v>
      </c>
      <c r="K185" s="109" t="s">
        <v>233</v>
      </c>
      <c r="L185" s="109" t="s">
        <v>233</v>
      </c>
      <c r="M185" s="109" t="s">
        <v>233</v>
      </c>
      <c r="N185" s="109" t="s">
        <v>233</v>
      </c>
      <c r="O185" s="109" t="s">
        <v>233</v>
      </c>
      <c r="P185" s="109" t="s">
        <v>233</v>
      </c>
      <c r="Q185" s="109" t="s">
        <v>233</v>
      </c>
      <c r="R185" s="109" t="s">
        <v>233</v>
      </c>
      <c r="S185" s="107">
        <v>0.59399999999999997</v>
      </c>
      <c r="T185" s="107">
        <v>0.84399999999999997</v>
      </c>
      <c r="U185" s="107">
        <v>0.68799999999999994</v>
      </c>
      <c r="V185" s="107">
        <v>0.93799999999999994</v>
      </c>
      <c r="W185" s="107">
        <v>1.22</v>
      </c>
      <c r="X185" s="107">
        <v>0.93799999999999994</v>
      </c>
      <c r="Y185" s="107">
        <v>1.2809999999999999</v>
      </c>
      <c r="Z185" s="107">
        <v>1.2190000000000001</v>
      </c>
      <c r="AA185" s="109" t="s">
        <v>233</v>
      </c>
      <c r="AB185" s="109" t="s">
        <v>233</v>
      </c>
      <c r="AC185" s="109" t="s">
        <v>233</v>
      </c>
      <c r="AD185" s="109" t="s">
        <v>233</v>
      </c>
      <c r="AE185" s="113" t="s">
        <v>233</v>
      </c>
    </row>
    <row r="186" spans="3:31">
      <c r="C186" s="114"/>
      <c r="D186" s="112" t="s">
        <v>233</v>
      </c>
      <c r="E186" s="109" t="s">
        <v>233</v>
      </c>
      <c r="F186" s="109" t="s">
        <v>233</v>
      </c>
      <c r="G186" s="109" t="s">
        <v>233</v>
      </c>
      <c r="H186" s="109" t="s">
        <v>233</v>
      </c>
      <c r="I186" s="109" t="s">
        <v>233</v>
      </c>
      <c r="J186" s="109" t="s">
        <v>233</v>
      </c>
      <c r="K186" s="109" t="s">
        <v>233</v>
      </c>
      <c r="L186" s="109" t="s">
        <v>233</v>
      </c>
      <c r="M186" s="109" t="s">
        <v>233</v>
      </c>
      <c r="N186" s="109" t="s">
        <v>233</v>
      </c>
      <c r="O186" s="109" t="s">
        <v>233</v>
      </c>
      <c r="P186" s="109" t="s">
        <v>233</v>
      </c>
      <c r="Q186" s="109" t="s">
        <v>233</v>
      </c>
      <c r="R186" s="109" t="s">
        <v>233</v>
      </c>
      <c r="S186" s="107">
        <v>0.71899999999999997</v>
      </c>
      <c r="T186" s="107">
        <v>1</v>
      </c>
      <c r="U186" s="107">
        <v>0.84399999999999997</v>
      </c>
      <c r="V186" s="107">
        <v>1.0940000000000001</v>
      </c>
      <c r="W186" s="107">
        <v>1.2809999999999999</v>
      </c>
      <c r="X186" s="107">
        <v>1.1559999999999999</v>
      </c>
      <c r="Y186" s="107">
        <v>1.5</v>
      </c>
      <c r="Z186" s="107">
        <v>1.5309999999999999</v>
      </c>
      <c r="AA186" s="109" t="s">
        <v>233</v>
      </c>
      <c r="AB186" s="109" t="s">
        <v>233</v>
      </c>
      <c r="AC186" s="109" t="s">
        <v>233</v>
      </c>
      <c r="AD186" s="109" t="s">
        <v>233</v>
      </c>
      <c r="AE186" s="113" t="s">
        <v>233</v>
      </c>
    </row>
    <row r="187" spans="3:31">
      <c r="C187" s="114"/>
      <c r="D187" s="112" t="s">
        <v>233</v>
      </c>
      <c r="E187" s="109" t="s">
        <v>233</v>
      </c>
      <c r="F187" s="109" t="s">
        <v>233</v>
      </c>
      <c r="G187" s="109" t="s">
        <v>233</v>
      </c>
      <c r="H187" s="109" t="s">
        <v>233</v>
      </c>
      <c r="I187" s="109" t="s">
        <v>233</v>
      </c>
      <c r="J187" s="109" t="s">
        <v>233</v>
      </c>
      <c r="K187" s="109" t="s">
        <v>233</v>
      </c>
      <c r="L187" s="109" t="s">
        <v>233</v>
      </c>
      <c r="M187" s="109" t="s">
        <v>233</v>
      </c>
      <c r="N187" s="109" t="s">
        <v>233</v>
      </c>
      <c r="O187" s="109" t="s">
        <v>233</v>
      </c>
      <c r="P187" s="109" t="s">
        <v>233</v>
      </c>
      <c r="Q187" s="109" t="s">
        <v>233</v>
      </c>
      <c r="R187" s="109" t="s">
        <v>233</v>
      </c>
      <c r="S187" s="107">
        <v>0.81200000000000006</v>
      </c>
      <c r="T187" s="107">
        <v>1.125</v>
      </c>
      <c r="U187" s="107">
        <v>1</v>
      </c>
      <c r="V187" s="107">
        <v>1.25</v>
      </c>
      <c r="W187" s="107">
        <v>1.4379999999999999</v>
      </c>
      <c r="X187" s="107">
        <v>1.375</v>
      </c>
      <c r="Y187" s="107">
        <v>1.75</v>
      </c>
      <c r="Z187" s="107">
        <v>1.8120000000000001</v>
      </c>
      <c r="AA187" s="109" t="s">
        <v>233</v>
      </c>
      <c r="AB187" s="109" t="s">
        <v>233</v>
      </c>
      <c r="AC187" s="109" t="s">
        <v>233</v>
      </c>
      <c r="AD187" s="109" t="s">
        <v>233</v>
      </c>
      <c r="AE187" s="113" t="s">
        <v>233</v>
      </c>
    </row>
    <row r="188" spans="3:31">
      <c r="C188" s="114"/>
      <c r="D188" s="112" t="s">
        <v>233</v>
      </c>
      <c r="E188" s="109" t="s">
        <v>233</v>
      </c>
      <c r="F188" s="109" t="s">
        <v>233</v>
      </c>
      <c r="G188" s="109" t="s">
        <v>233</v>
      </c>
      <c r="H188" s="109" t="s">
        <v>233</v>
      </c>
      <c r="I188" s="109" t="s">
        <v>233</v>
      </c>
      <c r="J188" s="109" t="s">
        <v>233</v>
      </c>
      <c r="K188" s="109" t="s">
        <v>233</v>
      </c>
      <c r="L188" s="109" t="s">
        <v>233</v>
      </c>
      <c r="M188" s="109" t="s">
        <v>233</v>
      </c>
      <c r="N188" s="109" t="s">
        <v>233</v>
      </c>
      <c r="O188" s="109" t="s">
        <v>233</v>
      </c>
      <c r="P188" s="109" t="s">
        <v>233</v>
      </c>
      <c r="Q188" s="109" t="s">
        <v>233</v>
      </c>
      <c r="R188" s="109" t="s">
        <v>233</v>
      </c>
      <c r="S188" s="107">
        <v>0.875</v>
      </c>
      <c r="T188" s="109" t="s">
        <v>233</v>
      </c>
      <c r="U188" s="107">
        <v>1.125</v>
      </c>
      <c r="V188" s="107">
        <v>1.4059999999999999</v>
      </c>
      <c r="W188" s="107">
        <v>1.5</v>
      </c>
      <c r="X188" s="107">
        <v>1.5309999999999999</v>
      </c>
      <c r="Y188" s="107">
        <v>1.9690000000000001</v>
      </c>
      <c r="Z188" s="107">
        <v>2.0619999999999998</v>
      </c>
      <c r="AA188" s="109" t="s">
        <v>233</v>
      </c>
      <c r="AB188" s="109" t="s">
        <v>233</v>
      </c>
      <c r="AC188" s="109" t="s">
        <v>233</v>
      </c>
      <c r="AD188" s="109" t="s">
        <v>233</v>
      </c>
      <c r="AE188" s="113" t="s">
        <v>233</v>
      </c>
    </row>
    <row r="189" spans="3:31">
      <c r="C189" s="114"/>
      <c r="D189" s="112" t="s">
        <v>233</v>
      </c>
      <c r="E189" s="109" t="s">
        <v>233</v>
      </c>
      <c r="F189" s="109" t="s">
        <v>233</v>
      </c>
      <c r="G189" s="109" t="s">
        <v>233</v>
      </c>
      <c r="H189" s="109" t="s">
        <v>233</v>
      </c>
      <c r="I189" s="109" t="s">
        <v>233</v>
      </c>
      <c r="J189" s="109" t="s">
        <v>233</v>
      </c>
      <c r="K189" s="109" t="s">
        <v>233</v>
      </c>
      <c r="L189" s="109" t="s">
        <v>233</v>
      </c>
      <c r="M189" s="109" t="s">
        <v>233</v>
      </c>
      <c r="N189" s="109" t="s">
        <v>233</v>
      </c>
      <c r="O189" s="109" t="s">
        <v>233</v>
      </c>
      <c r="P189" s="109" t="s">
        <v>233</v>
      </c>
      <c r="Q189" s="109" t="s">
        <v>233</v>
      </c>
      <c r="R189" s="109" t="s">
        <v>233</v>
      </c>
      <c r="S189" s="107">
        <v>0.90600000000000003</v>
      </c>
      <c r="T189" s="109" t="s">
        <v>233</v>
      </c>
      <c r="U189" s="107">
        <v>1.3120000000000001</v>
      </c>
      <c r="V189" s="107">
        <v>2</v>
      </c>
      <c r="W189" s="107">
        <v>1.5940000000000001</v>
      </c>
      <c r="X189" s="107">
        <v>1.5620000000000001</v>
      </c>
      <c r="Y189" s="109" t="s">
        <v>233</v>
      </c>
      <c r="Z189" s="107">
        <v>2.3439999999999999</v>
      </c>
      <c r="AA189" s="109" t="s">
        <v>233</v>
      </c>
      <c r="AB189" s="109" t="s">
        <v>233</v>
      </c>
      <c r="AC189" s="109" t="s">
        <v>233</v>
      </c>
      <c r="AD189" s="109" t="s">
        <v>233</v>
      </c>
      <c r="AE189" s="113" t="s">
        <v>233</v>
      </c>
    </row>
    <row r="190" spans="3:31">
      <c r="C190" s="114"/>
      <c r="D190" s="115" t="s">
        <v>233</v>
      </c>
      <c r="E190" s="116" t="s">
        <v>233</v>
      </c>
      <c r="F190" s="116" t="s">
        <v>233</v>
      </c>
      <c r="G190" s="116" t="s">
        <v>233</v>
      </c>
      <c r="H190" s="116" t="s">
        <v>233</v>
      </c>
      <c r="I190" s="116" t="s">
        <v>233</v>
      </c>
      <c r="J190" s="116" t="s">
        <v>233</v>
      </c>
      <c r="K190" s="116" t="s">
        <v>233</v>
      </c>
      <c r="L190" s="116" t="s">
        <v>233</v>
      </c>
      <c r="M190" s="116" t="s">
        <v>233</v>
      </c>
      <c r="N190" s="116" t="s">
        <v>233</v>
      </c>
      <c r="O190" s="116" t="s">
        <v>233</v>
      </c>
      <c r="P190" s="116" t="s">
        <v>233</v>
      </c>
      <c r="Q190" s="116" t="s">
        <v>233</v>
      </c>
      <c r="R190" s="116" t="s">
        <v>233</v>
      </c>
      <c r="S190" s="116" t="s">
        <v>233</v>
      </c>
      <c r="T190" s="116" t="s">
        <v>233</v>
      </c>
      <c r="U190" s="116" t="s">
        <v>233</v>
      </c>
      <c r="V190" s="98">
        <v>2.125</v>
      </c>
      <c r="W190" s="107">
        <v>1.75</v>
      </c>
      <c r="X190" s="107">
        <v>1.7809999999999999</v>
      </c>
      <c r="Y190" s="116" t="s">
        <v>233</v>
      </c>
      <c r="Z190" s="116" t="s">
        <v>233</v>
      </c>
      <c r="AA190" s="116" t="s">
        <v>233</v>
      </c>
      <c r="AB190" s="116" t="s">
        <v>233</v>
      </c>
      <c r="AC190" s="116" t="s">
        <v>233</v>
      </c>
      <c r="AD190" s="116" t="s">
        <v>233</v>
      </c>
      <c r="AE190" s="117" t="s">
        <v>233</v>
      </c>
    </row>
    <row r="191" spans="3:31">
      <c r="C191" s="114"/>
      <c r="D191" s="115" t="s">
        <v>233</v>
      </c>
      <c r="E191" s="116" t="s">
        <v>233</v>
      </c>
      <c r="F191" s="116" t="s">
        <v>233</v>
      </c>
      <c r="G191" s="116" t="s">
        <v>233</v>
      </c>
      <c r="H191" s="116" t="s">
        <v>233</v>
      </c>
      <c r="I191" s="116" t="s">
        <v>233</v>
      </c>
      <c r="J191" s="116" t="s">
        <v>233</v>
      </c>
      <c r="K191" s="116" t="s">
        <v>233</v>
      </c>
      <c r="L191" s="116" t="s">
        <v>233</v>
      </c>
      <c r="M191" s="116" t="s">
        <v>233</v>
      </c>
      <c r="N191" s="116" t="s">
        <v>233</v>
      </c>
      <c r="O191" s="116" t="s">
        <v>233</v>
      </c>
      <c r="P191" s="116" t="s">
        <v>233</v>
      </c>
      <c r="Q191" s="116" t="s">
        <v>233</v>
      </c>
      <c r="R191" s="116" t="s">
        <v>233</v>
      </c>
      <c r="S191" s="116" t="s">
        <v>233</v>
      </c>
      <c r="T191" s="116" t="s">
        <v>233</v>
      </c>
      <c r="U191" s="116" t="s">
        <v>233</v>
      </c>
      <c r="V191" s="98">
        <v>2.2000000000000002</v>
      </c>
      <c r="W191" s="107">
        <v>1.9690000000000001</v>
      </c>
      <c r="X191" s="107">
        <v>1.8120000000000001</v>
      </c>
      <c r="Y191" s="116" t="s">
        <v>233</v>
      </c>
      <c r="Z191" s="116" t="s">
        <v>233</v>
      </c>
      <c r="AA191" s="116" t="s">
        <v>233</v>
      </c>
      <c r="AB191" s="116" t="s">
        <v>233</v>
      </c>
      <c r="AC191" s="116" t="s">
        <v>233</v>
      </c>
      <c r="AD191" s="116" t="s">
        <v>233</v>
      </c>
      <c r="AE191" s="117" t="s">
        <v>233</v>
      </c>
    </row>
    <row r="192" spans="3:31">
      <c r="C192" s="114"/>
      <c r="D192" s="115" t="s">
        <v>233</v>
      </c>
      <c r="E192" s="116" t="s">
        <v>233</v>
      </c>
      <c r="F192" s="116" t="s">
        <v>233</v>
      </c>
      <c r="G192" s="116" t="s">
        <v>233</v>
      </c>
      <c r="H192" s="116" t="s">
        <v>233</v>
      </c>
      <c r="I192" s="116" t="s">
        <v>233</v>
      </c>
      <c r="J192" s="116" t="s">
        <v>233</v>
      </c>
      <c r="K192" s="116" t="s">
        <v>233</v>
      </c>
      <c r="L192" s="116" t="s">
        <v>233</v>
      </c>
      <c r="M192" s="116" t="s">
        <v>233</v>
      </c>
      <c r="N192" s="116" t="s">
        <v>233</v>
      </c>
      <c r="O192" s="116" t="s">
        <v>233</v>
      </c>
      <c r="P192" s="116" t="s">
        <v>233</v>
      </c>
      <c r="Q192" s="116" t="s">
        <v>233</v>
      </c>
      <c r="R192" s="116" t="s">
        <v>233</v>
      </c>
      <c r="S192" s="116" t="s">
        <v>233</v>
      </c>
      <c r="T192" s="116" t="s">
        <v>233</v>
      </c>
      <c r="U192" s="116" t="s">
        <v>233</v>
      </c>
      <c r="V192" s="98">
        <v>2.5</v>
      </c>
      <c r="W192" s="116" t="s">
        <v>233</v>
      </c>
      <c r="X192" s="107">
        <v>2.0619999999999998</v>
      </c>
      <c r="Y192" s="116" t="s">
        <v>233</v>
      </c>
      <c r="Z192" s="116" t="s">
        <v>233</v>
      </c>
      <c r="AA192" s="116" t="s">
        <v>233</v>
      </c>
      <c r="AB192" s="116" t="s">
        <v>233</v>
      </c>
      <c r="AC192" s="116" t="s">
        <v>233</v>
      </c>
      <c r="AD192" s="116" t="s">
        <v>233</v>
      </c>
      <c r="AE192" s="117" t="s">
        <v>233</v>
      </c>
    </row>
    <row r="193" spans="2:33" ht="15" thickBot="1">
      <c r="C193" s="118"/>
      <c r="D193" s="119" t="s">
        <v>233</v>
      </c>
      <c r="E193" s="120" t="s">
        <v>233</v>
      </c>
      <c r="F193" s="120" t="s">
        <v>233</v>
      </c>
      <c r="G193" s="120" t="s">
        <v>233</v>
      </c>
      <c r="H193" s="120" t="s">
        <v>233</v>
      </c>
      <c r="I193" s="120" t="s">
        <v>233</v>
      </c>
      <c r="J193" s="120" t="s">
        <v>233</v>
      </c>
      <c r="K193" s="120" t="s">
        <v>233</v>
      </c>
      <c r="L193" s="120" t="s">
        <v>233</v>
      </c>
      <c r="M193" s="120" t="s">
        <v>233</v>
      </c>
      <c r="N193" s="120" t="s">
        <v>233</v>
      </c>
      <c r="O193" s="120" t="s">
        <v>233</v>
      </c>
      <c r="P193" s="120" t="s">
        <v>233</v>
      </c>
      <c r="Q193" s="120" t="s">
        <v>233</v>
      </c>
      <c r="R193" s="120" t="s">
        <v>233</v>
      </c>
      <c r="S193" s="120" t="s">
        <v>233</v>
      </c>
      <c r="T193" s="120" t="s">
        <v>233</v>
      </c>
      <c r="U193" s="120" t="s">
        <v>233</v>
      </c>
      <c r="V193" s="120" t="s">
        <v>233</v>
      </c>
      <c r="W193" s="120" t="s">
        <v>233</v>
      </c>
      <c r="X193" s="121">
        <v>2.3439999999999999</v>
      </c>
      <c r="Y193" s="120" t="s">
        <v>233</v>
      </c>
      <c r="Z193" s="120" t="s">
        <v>233</v>
      </c>
      <c r="AA193" s="120" t="s">
        <v>233</v>
      </c>
      <c r="AB193" s="120" t="s">
        <v>233</v>
      </c>
      <c r="AC193" s="120" t="s">
        <v>233</v>
      </c>
      <c r="AD193" s="120" t="s">
        <v>233</v>
      </c>
      <c r="AE193" s="122" t="s">
        <v>233</v>
      </c>
    </row>
    <row r="195" spans="2:33" ht="15" thickBot="1"/>
    <row r="196" spans="2:33">
      <c r="C196" s="123" t="s">
        <v>323</v>
      </c>
      <c r="D196" s="228" t="s">
        <v>324</v>
      </c>
      <c r="E196" s="229"/>
      <c r="F196" s="229"/>
      <c r="G196" s="229"/>
      <c r="H196" s="229"/>
      <c r="I196" s="229"/>
      <c r="J196" s="229"/>
      <c r="K196" s="229"/>
      <c r="L196" s="229"/>
      <c r="M196" s="229"/>
      <c r="N196" s="229"/>
      <c r="O196" s="229"/>
      <c r="P196" s="229"/>
      <c r="Q196" s="229"/>
      <c r="R196" s="229"/>
      <c r="S196" s="229"/>
      <c r="T196" s="229"/>
      <c r="U196" s="229"/>
      <c r="V196" s="229"/>
      <c r="W196" s="229"/>
      <c r="X196" s="229"/>
      <c r="Y196" s="230"/>
    </row>
    <row r="197" spans="2:33" ht="15" thickBot="1">
      <c r="C197" s="124">
        <f>'Railroad Loading'!C12</f>
        <v>12</v>
      </c>
      <c r="D197" s="125">
        <f>HLOOKUP($C$197,$D$170:$AE$193,3,FALSE)</f>
        <v>0.18</v>
      </c>
      <c r="E197" s="121">
        <f>HLOOKUP($C$197,$D$170:$AE$193,4,FALSE)</f>
        <v>0.20300000000000001</v>
      </c>
      <c r="F197" s="121">
        <f>HLOOKUP($C$197,$D$170:$AE$193,5,FALSE)</f>
        <v>0.219</v>
      </c>
      <c r="G197" s="121">
        <f>HLOOKUP($C$197,$D$170:$AE$193,6,FALSE)</f>
        <v>0.25</v>
      </c>
      <c r="H197" s="121">
        <f>HLOOKUP($C$197,$D$170:$AE$193,7,FALSE)</f>
        <v>0.28100000000000003</v>
      </c>
      <c r="I197" s="121">
        <f>HLOOKUP($C$197,$D$170:$AE$193,8,FALSE)</f>
        <v>0.312</v>
      </c>
      <c r="J197" s="121">
        <f>HLOOKUP($C$197,$D$170:$AE$193,9,FALSE)</f>
        <v>0.33</v>
      </c>
      <c r="K197" s="121">
        <f>HLOOKUP($C$197,$D$170:$AE$193,10,FALSE)</f>
        <v>0.34399999999999997</v>
      </c>
      <c r="L197" s="121">
        <f>HLOOKUP($C$197,$D$170:$AE$193,11,FALSE)</f>
        <v>0.375</v>
      </c>
      <c r="M197" s="121">
        <f>HLOOKUP($C$197,$D$170:$AE$193,12,FALSE)</f>
        <v>0.40600000000000003</v>
      </c>
      <c r="N197" s="121">
        <f>HLOOKUP($C$197,$D$170:$AE$193,13,FALSE)</f>
        <v>0.438</v>
      </c>
      <c r="O197" s="121">
        <f>HLOOKUP($C$197,$D$170:$AE$193,14,FALSE)</f>
        <v>0.5</v>
      </c>
      <c r="P197" s="121">
        <f>HLOOKUP($C$197,$D$170:$AE$193,15,FALSE)</f>
        <v>0.56200000000000006</v>
      </c>
      <c r="Q197" s="121">
        <f>HLOOKUP($C$197,$D$170:$AE$193,16,FALSE)</f>
        <v>0.68799999999999994</v>
      </c>
      <c r="R197" s="121">
        <f>HLOOKUP($C$197,$D$170:$AE$193,17,FALSE)</f>
        <v>0.84399999999999997</v>
      </c>
      <c r="S197" s="121">
        <f>HLOOKUP($C$197,$D$170:$AE$193,18,FALSE)</f>
        <v>1</v>
      </c>
      <c r="T197" s="121">
        <f>HLOOKUP($C$197,$D$170:$AE$193,19,FALSE)</f>
        <v>1.125</v>
      </c>
      <c r="U197" s="121">
        <f>HLOOKUP($C$197,$D$170:$AE$193,20,FALSE)</f>
        <v>1.3120000000000001</v>
      </c>
      <c r="V197" s="121" t="str">
        <f>HLOOKUP($C$197,$D$170:$AE$193,21,FALSE)</f>
        <v/>
      </c>
      <c r="W197" s="126" t="str">
        <f>HLOOKUP($C$197,$D$170:$AE$193,22,FALSE)</f>
        <v/>
      </c>
      <c r="X197" s="126" t="str">
        <f>HLOOKUP($C$197,$D$170:$AE$193,23,FALSE)</f>
        <v/>
      </c>
      <c r="Y197" s="127" t="str">
        <f>HLOOKUP($C$197,$D$170:$AE$193,24,FALSE)</f>
        <v/>
      </c>
      <c r="Z197" s="128" t="s">
        <v>325</v>
      </c>
    </row>
    <row r="199" spans="2:33" ht="15" thickBot="1"/>
    <row r="200" spans="2:33" ht="15" thickBot="1">
      <c r="B200" s="129" t="s">
        <v>326</v>
      </c>
      <c r="C200" s="231" t="s">
        <v>327</v>
      </c>
      <c r="D200" s="232"/>
      <c r="E200" s="232"/>
      <c r="F200" s="232"/>
      <c r="G200" s="232"/>
      <c r="H200" s="232"/>
      <c r="I200" s="232"/>
      <c r="J200" s="232"/>
      <c r="K200" s="232"/>
      <c r="L200" s="232"/>
      <c r="M200" s="232"/>
      <c r="N200" s="232"/>
      <c r="O200" s="232"/>
      <c r="P200" s="232"/>
      <c r="Q200" s="232"/>
      <c r="R200" s="232"/>
      <c r="S200" s="232"/>
      <c r="T200" s="232"/>
      <c r="U200" s="232"/>
      <c r="V200" s="232"/>
      <c r="W200" s="232"/>
      <c r="X200" s="232"/>
      <c r="Y200" s="232"/>
      <c r="Z200" s="232"/>
      <c r="AA200" s="232"/>
      <c r="AB200" s="232"/>
      <c r="AC200" s="232"/>
      <c r="AD200" s="232"/>
      <c r="AE200" s="232"/>
      <c r="AF200" s="232"/>
      <c r="AG200" s="233"/>
    </row>
    <row r="201" spans="2:33">
      <c r="B201" s="91" t="s">
        <v>328</v>
      </c>
      <c r="C201" s="130" t="s">
        <v>329</v>
      </c>
      <c r="D201" s="131" t="s">
        <v>330</v>
      </c>
      <c r="E201" s="132" t="s">
        <v>233</v>
      </c>
      <c r="F201" s="132" t="s">
        <v>233</v>
      </c>
      <c r="G201" s="132" t="s">
        <v>233</v>
      </c>
      <c r="H201" s="132" t="s">
        <v>233</v>
      </c>
      <c r="I201" s="132" t="s">
        <v>233</v>
      </c>
      <c r="J201" s="132" t="s">
        <v>233</v>
      </c>
      <c r="K201" s="132" t="s">
        <v>233</v>
      </c>
      <c r="L201" s="132" t="s">
        <v>233</v>
      </c>
      <c r="M201" s="132" t="s">
        <v>233</v>
      </c>
      <c r="N201" s="132" t="s">
        <v>233</v>
      </c>
      <c r="O201" s="132" t="s">
        <v>233</v>
      </c>
      <c r="P201" s="132" t="s">
        <v>233</v>
      </c>
      <c r="Q201" s="132" t="s">
        <v>233</v>
      </c>
      <c r="R201" s="132" t="s">
        <v>233</v>
      </c>
      <c r="S201" s="132" t="s">
        <v>233</v>
      </c>
      <c r="T201" s="132" t="s">
        <v>233</v>
      </c>
      <c r="U201" s="132" t="s">
        <v>233</v>
      </c>
      <c r="V201" s="132" t="s">
        <v>233</v>
      </c>
      <c r="W201" s="132" t="s">
        <v>233</v>
      </c>
      <c r="X201" s="132" t="s">
        <v>233</v>
      </c>
      <c r="Y201" s="132" t="s">
        <v>233</v>
      </c>
      <c r="Z201" s="132" t="s">
        <v>233</v>
      </c>
      <c r="AA201" s="132" t="s">
        <v>233</v>
      </c>
      <c r="AB201" s="132" t="s">
        <v>233</v>
      </c>
      <c r="AC201" s="132" t="s">
        <v>233</v>
      </c>
      <c r="AD201" s="132" t="s">
        <v>233</v>
      </c>
      <c r="AE201" s="132" t="s">
        <v>233</v>
      </c>
      <c r="AF201" s="132" t="s">
        <v>233</v>
      </c>
      <c r="AG201" s="133" t="s">
        <v>233</v>
      </c>
    </row>
    <row r="202" spans="2:33">
      <c r="B202" s="134" t="s">
        <v>331</v>
      </c>
      <c r="C202" s="135" t="s">
        <v>329</v>
      </c>
      <c r="D202" s="136" t="s">
        <v>330</v>
      </c>
      <c r="E202" s="137" t="s">
        <v>233</v>
      </c>
      <c r="F202" s="137" t="s">
        <v>233</v>
      </c>
      <c r="G202" s="137" t="s">
        <v>233</v>
      </c>
      <c r="H202" s="137" t="s">
        <v>233</v>
      </c>
      <c r="I202" s="137" t="s">
        <v>233</v>
      </c>
      <c r="J202" s="137" t="s">
        <v>233</v>
      </c>
      <c r="K202" s="137" t="s">
        <v>233</v>
      </c>
      <c r="L202" s="137" t="s">
        <v>233</v>
      </c>
      <c r="M202" s="137" t="s">
        <v>233</v>
      </c>
      <c r="N202" s="137" t="s">
        <v>233</v>
      </c>
      <c r="O202" s="137" t="s">
        <v>233</v>
      </c>
      <c r="P202" s="137" t="s">
        <v>233</v>
      </c>
      <c r="Q202" s="137" t="s">
        <v>233</v>
      </c>
      <c r="R202" s="137" t="s">
        <v>233</v>
      </c>
      <c r="S202" s="137" t="s">
        <v>233</v>
      </c>
      <c r="T202" s="137" t="s">
        <v>233</v>
      </c>
      <c r="U202" s="137" t="s">
        <v>233</v>
      </c>
      <c r="V202" s="137" t="s">
        <v>233</v>
      </c>
      <c r="W202" s="137" t="s">
        <v>233</v>
      </c>
      <c r="X202" s="137" t="s">
        <v>233</v>
      </c>
      <c r="Y202" s="137" t="s">
        <v>233</v>
      </c>
      <c r="Z202" s="137" t="s">
        <v>233</v>
      </c>
      <c r="AA202" s="137" t="s">
        <v>233</v>
      </c>
      <c r="AB202" s="137" t="s">
        <v>233</v>
      </c>
      <c r="AC202" s="137" t="s">
        <v>233</v>
      </c>
      <c r="AD202" s="137" t="s">
        <v>233</v>
      </c>
      <c r="AE202" s="137" t="s">
        <v>233</v>
      </c>
      <c r="AF202" s="137" t="s">
        <v>233</v>
      </c>
      <c r="AG202" s="138" t="s">
        <v>233</v>
      </c>
    </row>
    <row r="203" spans="2:33">
      <c r="B203" s="134" t="s">
        <v>332</v>
      </c>
      <c r="C203" s="135" t="s">
        <v>333</v>
      </c>
      <c r="D203" s="136" t="s">
        <v>334</v>
      </c>
      <c r="E203" s="136" t="s">
        <v>335</v>
      </c>
      <c r="F203" s="136" t="s">
        <v>336</v>
      </c>
      <c r="G203" s="136" t="s">
        <v>337</v>
      </c>
      <c r="H203" s="136" t="s">
        <v>338</v>
      </c>
      <c r="I203" s="136" t="s">
        <v>339</v>
      </c>
      <c r="J203" s="136" t="s">
        <v>340</v>
      </c>
      <c r="K203" s="136" t="s">
        <v>341</v>
      </c>
      <c r="L203" s="137" t="s">
        <v>233</v>
      </c>
      <c r="M203" s="137" t="s">
        <v>233</v>
      </c>
      <c r="N203" s="137" t="s">
        <v>233</v>
      </c>
      <c r="O203" s="137" t="s">
        <v>233</v>
      </c>
      <c r="P203" s="137" t="s">
        <v>233</v>
      </c>
      <c r="Q203" s="137" t="s">
        <v>233</v>
      </c>
      <c r="R203" s="137" t="s">
        <v>233</v>
      </c>
      <c r="S203" s="137" t="s">
        <v>233</v>
      </c>
      <c r="T203" s="137" t="s">
        <v>233</v>
      </c>
      <c r="U203" s="137" t="s">
        <v>233</v>
      </c>
      <c r="V203" s="137" t="s">
        <v>233</v>
      </c>
      <c r="W203" s="137" t="s">
        <v>233</v>
      </c>
      <c r="X203" s="137" t="s">
        <v>233</v>
      </c>
      <c r="Y203" s="137" t="s">
        <v>233</v>
      </c>
      <c r="Z203" s="137" t="s">
        <v>233</v>
      </c>
      <c r="AA203" s="137" t="s">
        <v>233</v>
      </c>
      <c r="AB203" s="137" t="s">
        <v>233</v>
      </c>
      <c r="AC203" s="137" t="s">
        <v>233</v>
      </c>
      <c r="AD203" s="137" t="s">
        <v>233</v>
      </c>
      <c r="AE203" s="137" t="s">
        <v>233</v>
      </c>
      <c r="AF203" s="137" t="s">
        <v>233</v>
      </c>
      <c r="AG203" s="138" t="s">
        <v>233</v>
      </c>
    </row>
    <row r="204" spans="2:33">
      <c r="B204" s="134" t="s">
        <v>342</v>
      </c>
      <c r="C204" s="135" t="s">
        <v>343</v>
      </c>
      <c r="D204" s="136" t="s">
        <v>344</v>
      </c>
      <c r="E204" s="136" t="s">
        <v>345</v>
      </c>
      <c r="F204" s="136" t="s">
        <v>346</v>
      </c>
      <c r="G204" s="136" t="s">
        <v>347</v>
      </c>
      <c r="H204" s="136" t="s">
        <v>348</v>
      </c>
      <c r="I204" s="136" t="s">
        <v>349</v>
      </c>
      <c r="J204" s="136" t="s">
        <v>350</v>
      </c>
      <c r="K204" s="136" t="s">
        <v>351</v>
      </c>
      <c r="L204" s="136" t="s">
        <v>352</v>
      </c>
      <c r="M204" s="136" t="s">
        <v>353</v>
      </c>
      <c r="N204" s="136" t="s">
        <v>354</v>
      </c>
      <c r="O204" s="136" t="s">
        <v>355</v>
      </c>
      <c r="P204" s="136" t="s">
        <v>356</v>
      </c>
      <c r="Q204" s="136" t="s">
        <v>357</v>
      </c>
      <c r="R204" s="136" t="s">
        <v>358</v>
      </c>
      <c r="S204" s="136" t="s">
        <v>359</v>
      </c>
      <c r="T204" s="136" t="s">
        <v>360</v>
      </c>
      <c r="U204" s="136" t="s">
        <v>361</v>
      </c>
      <c r="V204" s="136" t="s">
        <v>362</v>
      </c>
      <c r="W204" s="136" t="s">
        <v>363</v>
      </c>
      <c r="X204" s="136" t="s">
        <v>364</v>
      </c>
      <c r="Y204" s="136" t="s">
        <v>365</v>
      </c>
      <c r="Z204" s="136" t="s">
        <v>366</v>
      </c>
      <c r="AA204" s="136" t="s">
        <v>367</v>
      </c>
      <c r="AB204" s="136" t="s">
        <v>368</v>
      </c>
      <c r="AC204" s="136" t="s">
        <v>369</v>
      </c>
      <c r="AD204" s="136" t="s">
        <v>370</v>
      </c>
      <c r="AE204" s="136" t="s">
        <v>371</v>
      </c>
      <c r="AF204" s="136" t="s">
        <v>372</v>
      </c>
      <c r="AG204" s="139" t="s">
        <v>373</v>
      </c>
    </row>
    <row r="205" spans="2:33">
      <c r="B205" s="134" t="s">
        <v>374</v>
      </c>
      <c r="C205" s="135" t="s">
        <v>375</v>
      </c>
      <c r="D205" s="136" t="s">
        <v>376</v>
      </c>
      <c r="E205" s="136" t="s">
        <v>377</v>
      </c>
      <c r="F205" s="136" t="s">
        <v>378</v>
      </c>
      <c r="G205" s="136" t="s">
        <v>379</v>
      </c>
      <c r="H205" s="136" t="s">
        <v>380</v>
      </c>
      <c r="I205" s="136" t="s">
        <v>381</v>
      </c>
      <c r="J205" s="136" t="s">
        <v>382</v>
      </c>
      <c r="K205" s="136" t="s">
        <v>383</v>
      </c>
      <c r="L205" s="136" t="s">
        <v>384</v>
      </c>
      <c r="M205" s="136" t="s">
        <v>385</v>
      </c>
      <c r="N205" s="136" t="s">
        <v>386</v>
      </c>
      <c r="O205" s="136" t="s">
        <v>387</v>
      </c>
      <c r="P205" s="136" t="s">
        <v>388</v>
      </c>
      <c r="Q205" s="136" t="s">
        <v>389</v>
      </c>
      <c r="R205" s="136" t="s">
        <v>390</v>
      </c>
      <c r="S205" s="136" t="s">
        <v>391</v>
      </c>
      <c r="T205" s="136" t="s">
        <v>392</v>
      </c>
      <c r="U205" s="136" t="s">
        <v>393</v>
      </c>
      <c r="V205" s="136" t="s">
        <v>394</v>
      </c>
      <c r="W205" s="136" t="s">
        <v>395</v>
      </c>
      <c r="X205" s="136" t="s">
        <v>396</v>
      </c>
      <c r="Y205" s="136" t="s">
        <v>397</v>
      </c>
      <c r="Z205" s="137" t="s">
        <v>233</v>
      </c>
      <c r="AA205" s="137" t="s">
        <v>233</v>
      </c>
      <c r="AB205" s="137" t="s">
        <v>233</v>
      </c>
      <c r="AC205" s="137" t="s">
        <v>233</v>
      </c>
      <c r="AD205" s="137" t="s">
        <v>233</v>
      </c>
      <c r="AE205" s="137" t="s">
        <v>233</v>
      </c>
      <c r="AF205" s="137" t="s">
        <v>233</v>
      </c>
      <c r="AG205" s="138" t="s">
        <v>233</v>
      </c>
    </row>
    <row r="206" spans="2:33">
      <c r="B206" s="134" t="s">
        <v>398</v>
      </c>
      <c r="C206" s="135" t="s">
        <v>399</v>
      </c>
      <c r="D206" s="136" t="s">
        <v>400</v>
      </c>
      <c r="E206" s="136" t="s">
        <v>401</v>
      </c>
      <c r="F206" s="136" t="s">
        <v>402</v>
      </c>
      <c r="G206" s="136" t="s">
        <v>403</v>
      </c>
      <c r="H206" s="136" t="s">
        <v>404</v>
      </c>
      <c r="I206" s="136" t="s">
        <v>405</v>
      </c>
      <c r="J206" s="136" t="s">
        <v>406</v>
      </c>
      <c r="K206" s="136" t="s">
        <v>407</v>
      </c>
      <c r="L206" s="136" t="s">
        <v>408</v>
      </c>
      <c r="M206" s="136" t="s">
        <v>409</v>
      </c>
      <c r="N206" s="136" t="s">
        <v>410</v>
      </c>
      <c r="O206" s="136" t="s">
        <v>411</v>
      </c>
      <c r="P206" s="136">
        <v>91</v>
      </c>
      <c r="Q206" s="137" t="s">
        <v>233</v>
      </c>
      <c r="R206" s="137" t="s">
        <v>233</v>
      </c>
      <c r="S206" s="137" t="s">
        <v>233</v>
      </c>
      <c r="T206" s="137" t="s">
        <v>233</v>
      </c>
      <c r="U206" s="137" t="s">
        <v>233</v>
      </c>
      <c r="V206" s="137" t="s">
        <v>233</v>
      </c>
      <c r="W206" s="137" t="s">
        <v>233</v>
      </c>
      <c r="X206" s="137" t="s">
        <v>233</v>
      </c>
      <c r="Y206" s="137" t="s">
        <v>233</v>
      </c>
      <c r="Z206" s="137" t="s">
        <v>233</v>
      </c>
      <c r="AA206" s="137" t="s">
        <v>233</v>
      </c>
      <c r="AB206" s="137" t="s">
        <v>233</v>
      </c>
      <c r="AC206" s="137" t="s">
        <v>233</v>
      </c>
      <c r="AD206" s="137" t="s">
        <v>233</v>
      </c>
      <c r="AE206" s="137" t="s">
        <v>233</v>
      </c>
      <c r="AF206" s="137" t="s">
        <v>233</v>
      </c>
      <c r="AG206" s="138" t="s">
        <v>233</v>
      </c>
    </row>
    <row r="207" spans="2:33">
      <c r="B207" s="134" t="s">
        <v>412</v>
      </c>
      <c r="C207" s="135" t="s">
        <v>413</v>
      </c>
      <c r="D207" s="136" t="s">
        <v>414</v>
      </c>
      <c r="E207" s="136" t="s">
        <v>415</v>
      </c>
      <c r="F207" s="136" t="s">
        <v>416</v>
      </c>
      <c r="G207" s="136" t="s">
        <v>417</v>
      </c>
      <c r="H207" s="136" t="s">
        <v>418</v>
      </c>
      <c r="I207" s="136" t="s">
        <v>419</v>
      </c>
      <c r="J207" s="136" t="s">
        <v>420</v>
      </c>
      <c r="K207" s="137" t="s">
        <v>233</v>
      </c>
      <c r="L207" s="137" t="s">
        <v>233</v>
      </c>
      <c r="M207" s="137" t="s">
        <v>233</v>
      </c>
      <c r="N207" s="137" t="s">
        <v>233</v>
      </c>
      <c r="O207" s="137" t="s">
        <v>233</v>
      </c>
      <c r="P207" s="137" t="s">
        <v>233</v>
      </c>
      <c r="Q207" s="137" t="s">
        <v>233</v>
      </c>
      <c r="R207" s="137" t="s">
        <v>233</v>
      </c>
      <c r="S207" s="137" t="s">
        <v>233</v>
      </c>
      <c r="T207" s="137" t="s">
        <v>233</v>
      </c>
      <c r="U207" s="137" t="s">
        <v>233</v>
      </c>
      <c r="V207" s="137" t="s">
        <v>233</v>
      </c>
      <c r="W207" s="137" t="s">
        <v>233</v>
      </c>
      <c r="X207" s="137" t="s">
        <v>233</v>
      </c>
      <c r="Y207" s="137" t="s">
        <v>233</v>
      </c>
      <c r="Z207" s="137" t="s">
        <v>233</v>
      </c>
      <c r="AA207" s="137" t="s">
        <v>233</v>
      </c>
      <c r="AB207" s="137" t="s">
        <v>233</v>
      </c>
      <c r="AC207" s="137" t="s">
        <v>233</v>
      </c>
      <c r="AD207" s="137" t="s">
        <v>233</v>
      </c>
      <c r="AE207" s="137" t="s">
        <v>233</v>
      </c>
      <c r="AF207" s="137" t="s">
        <v>233</v>
      </c>
      <c r="AG207" s="138" t="s">
        <v>233</v>
      </c>
    </row>
    <row r="208" spans="2:33" ht="15" thickBot="1">
      <c r="B208" s="140" t="s">
        <v>421</v>
      </c>
      <c r="C208" s="141" t="s">
        <v>421</v>
      </c>
      <c r="D208" s="142" t="s">
        <v>233</v>
      </c>
      <c r="E208" s="142" t="s">
        <v>233</v>
      </c>
      <c r="F208" s="142" t="s">
        <v>233</v>
      </c>
      <c r="G208" s="142" t="s">
        <v>233</v>
      </c>
      <c r="H208" s="142" t="s">
        <v>233</v>
      </c>
      <c r="I208" s="142" t="s">
        <v>233</v>
      </c>
      <c r="J208" s="142" t="s">
        <v>233</v>
      </c>
      <c r="K208" s="142" t="s">
        <v>233</v>
      </c>
      <c r="L208" s="142" t="s">
        <v>233</v>
      </c>
      <c r="M208" s="142" t="s">
        <v>233</v>
      </c>
      <c r="N208" s="142" t="s">
        <v>233</v>
      </c>
      <c r="O208" s="142" t="s">
        <v>233</v>
      </c>
      <c r="P208" s="142" t="s">
        <v>233</v>
      </c>
      <c r="Q208" s="142" t="s">
        <v>233</v>
      </c>
      <c r="R208" s="142" t="s">
        <v>233</v>
      </c>
      <c r="S208" s="142" t="s">
        <v>233</v>
      </c>
      <c r="T208" s="142" t="s">
        <v>233</v>
      </c>
      <c r="U208" s="142" t="s">
        <v>233</v>
      </c>
      <c r="V208" s="142" t="s">
        <v>233</v>
      </c>
      <c r="W208" s="142" t="s">
        <v>233</v>
      </c>
      <c r="X208" s="142" t="s">
        <v>233</v>
      </c>
      <c r="Y208" s="142" t="s">
        <v>233</v>
      </c>
      <c r="Z208" s="142" t="s">
        <v>233</v>
      </c>
      <c r="AA208" s="142" t="s">
        <v>233</v>
      </c>
      <c r="AB208" s="142" t="s">
        <v>233</v>
      </c>
      <c r="AC208" s="142" t="s">
        <v>233</v>
      </c>
      <c r="AD208" s="142" t="s">
        <v>233</v>
      </c>
      <c r="AE208" s="142" t="s">
        <v>233</v>
      </c>
      <c r="AF208" s="142" t="s">
        <v>233</v>
      </c>
      <c r="AG208" s="143" t="s">
        <v>233</v>
      </c>
    </row>
    <row r="210" spans="2:33" ht="15" thickBot="1"/>
    <row r="211" spans="2:33" ht="15" thickBot="1">
      <c r="B211" s="129" t="s">
        <v>326</v>
      </c>
      <c r="C211" s="231" t="s">
        <v>422</v>
      </c>
      <c r="D211" s="232"/>
      <c r="E211" s="232"/>
      <c r="F211" s="232"/>
      <c r="G211" s="232"/>
      <c r="H211" s="232"/>
      <c r="I211" s="232"/>
      <c r="J211" s="232"/>
      <c r="K211" s="232"/>
      <c r="L211" s="232"/>
      <c r="M211" s="232"/>
      <c r="N211" s="232"/>
      <c r="O211" s="232"/>
      <c r="P211" s="232"/>
      <c r="Q211" s="232"/>
      <c r="R211" s="232"/>
      <c r="S211" s="232"/>
      <c r="T211" s="232"/>
      <c r="U211" s="232"/>
      <c r="V211" s="232"/>
      <c r="W211" s="232"/>
      <c r="X211" s="232"/>
      <c r="Y211" s="232"/>
      <c r="Z211" s="232"/>
      <c r="AA211" s="232"/>
      <c r="AB211" s="232"/>
      <c r="AC211" s="232"/>
      <c r="AD211" s="232"/>
      <c r="AE211" s="232"/>
      <c r="AF211" s="232"/>
      <c r="AG211" s="233"/>
    </row>
    <row r="212" spans="2:33">
      <c r="B212" s="91" t="s">
        <v>328</v>
      </c>
      <c r="C212" s="130" t="s">
        <v>329</v>
      </c>
      <c r="D212" s="131" t="s">
        <v>330</v>
      </c>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44"/>
    </row>
    <row r="213" spans="2:33" ht="15" thickBot="1">
      <c r="B213" s="140" t="s">
        <v>423</v>
      </c>
      <c r="C213" s="145">
        <v>30000</v>
      </c>
      <c r="D213" s="146">
        <v>35000</v>
      </c>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c r="AA213" s="146"/>
      <c r="AB213" s="146"/>
      <c r="AC213" s="146"/>
      <c r="AD213" s="146"/>
      <c r="AE213" s="146"/>
      <c r="AF213" s="146"/>
      <c r="AG213" s="147"/>
    </row>
    <row r="214" spans="2:33">
      <c r="B214" s="91" t="s">
        <v>331</v>
      </c>
      <c r="C214" s="130" t="s">
        <v>329</v>
      </c>
      <c r="D214" s="131" t="s">
        <v>330</v>
      </c>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c r="AA214" s="131"/>
      <c r="AB214" s="131"/>
      <c r="AC214" s="131"/>
      <c r="AD214" s="131"/>
      <c r="AE214" s="131"/>
      <c r="AF214" s="131"/>
      <c r="AG214" s="144"/>
    </row>
    <row r="215" spans="2:33" ht="15" thickBot="1">
      <c r="B215" s="140" t="s">
        <v>424</v>
      </c>
      <c r="C215" s="145">
        <v>30000</v>
      </c>
      <c r="D215" s="146">
        <v>35000</v>
      </c>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c r="AA215" s="146"/>
      <c r="AB215" s="146"/>
      <c r="AC215" s="146"/>
      <c r="AD215" s="146"/>
      <c r="AE215" s="146"/>
      <c r="AF215" s="146"/>
      <c r="AG215" s="147"/>
    </row>
    <row r="216" spans="2:33">
      <c r="B216" s="91" t="s">
        <v>332</v>
      </c>
      <c r="C216" s="130" t="s">
        <v>333</v>
      </c>
      <c r="D216" s="131" t="s">
        <v>334</v>
      </c>
      <c r="E216" s="131" t="s">
        <v>335</v>
      </c>
      <c r="F216" s="131" t="s">
        <v>336</v>
      </c>
      <c r="G216" s="131" t="s">
        <v>337</v>
      </c>
      <c r="H216" s="131" t="s">
        <v>338</v>
      </c>
      <c r="I216" s="131" t="s">
        <v>339</v>
      </c>
      <c r="J216" s="131" t="s">
        <v>340</v>
      </c>
      <c r="K216" s="131" t="s">
        <v>341</v>
      </c>
      <c r="L216" s="131"/>
      <c r="M216" s="131"/>
      <c r="N216" s="131"/>
      <c r="O216" s="131"/>
      <c r="P216" s="131"/>
      <c r="Q216" s="131"/>
      <c r="R216" s="131"/>
      <c r="S216" s="131"/>
      <c r="T216" s="131"/>
      <c r="U216" s="131"/>
      <c r="V216" s="131"/>
      <c r="W216" s="131"/>
      <c r="X216" s="131"/>
      <c r="Y216" s="131"/>
      <c r="Z216" s="131"/>
      <c r="AA216" s="131"/>
      <c r="AB216" s="131"/>
      <c r="AC216" s="131"/>
      <c r="AD216" s="131"/>
      <c r="AE216" s="131"/>
      <c r="AF216" s="131"/>
      <c r="AG216" s="144"/>
    </row>
    <row r="217" spans="2:33" ht="15" thickBot="1">
      <c r="B217" s="140" t="s">
        <v>425</v>
      </c>
      <c r="C217" s="145">
        <v>30000</v>
      </c>
      <c r="D217" s="146">
        <v>35000</v>
      </c>
      <c r="E217" s="146">
        <v>35000</v>
      </c>
      <c r="F217" s="146">
        <v>35000</v>
      </c>
      <c r="G217" s="146">
        <v>35000</v>
      </c>
      <c r="H217" s="146">
        <v>75000</v>
      </c>
      <c r="I217" s="146">
        <v>46000</v>
      </c>
      <c r="J217" s="146">
        <v>65000</v>
      </c>
      <c r="K217" s="146">
        <v>35000</v>
      </c>
      <c r="L217" s="146"/>
      <c r="M217" s="146"/>
      <c r="N217" s="146"/>
      <c r="O217" s="146"/>
      <c r="P217" s="146"/>
      <c r="Q217" s="146"/>
      <c r="R217" s="146"/>
      <c r="S217" s="146"/>
      <c r="T217" s="146"/>
      <c r="U217" s="146"/>
      <c r="V217" s="146"/>
      <c r="W217" s="146"/>
      <c r="X217" s="146"/>
      <c r="Y217" s="146"/>
      <c r="Z217" s="146"/>
      <c r="AA217" s="146"/>
      <c r="AB217" s="146"/>
      <c r="AC217" s="146"/>
      <c r="AD217" s="146"/>
      <c r="AE217" s="146"/>
      <c r="AF217" s="146"/>
      <c r="AG217" s="147"/>
    </row>
    <row r="218" spans="2:33">
      <c r="B218" s="91" t="s">
        <v>342</v>
      </c>
      <c r="C218" s="130" t="s">
        <v>343</v>
      </c>
      <c r="D218" s="131" t="s">
        <v>344</v>
      </c>
      <c r="E218" s="131" t="s">
        <v>345</v>
      </c>
      <c r="F218" s="131" t="s">
        <v>346</v>
      </c>
      <c r="G218" s="131" t="s">
        <v>347</v>
      </c>
      <c r="H218" s="131" t="s">
        <v>348</v>
      </c>
      <c r="I218" s="131" t="s">
        <v>349</v>
      </c>
      <c r="J218" s="131" t="s">
        <v>350</v>
      </c>
      <c r="K218" s="131" t="s">
        <v>351</v>
      </c>
      <c r="L218" s="131" t="s">
        <v>352</v>
      </c>
      <c r="M218" s="131" t="s">
        <v>353</v>
      </c>
      <c r="N218" s="131" t="s">
        <v>354</v>
      </c>
      <c r="O218" s="131" t="s">
        <v>355</v>
      </c>
      <c r="P218" s="131" t="s">
        <v>356</v>
      </c>
      <c r="Q218" s="131" t="s">
        <v>357</v>
      </c>
      <c r="R218" s="131" t="s">
        <v>358</v>
      </c>
      <c r="S218" s="131" t="s">
        <v>359</v>
      </c>
      <c r="T218" s="131" t="s">
        <v>360</v>
      </c>
      <c r="U218" s="131" t="s">
        <v>361</v>
      </c>
      <c r="V218" s="131" t="s">
        <v>362</v>
      </c>
      <c r="W218" s="131" t="s">
        <v>363</v>
      </c>
      <c r="X218" s="131" t="s">
        <v>364</v>
      </c>
      <c r="Y218" s="131" t="s">
        <v>365</v>
      </c>
      <c r="Z218" s="131" t="s">
        <v>366</v>
      </c>
      <c r="AA218" s="131" t="s">
        <v>367</v>
      </c>
      <c r="AB218" s="131" t="s">
        <v>368</v>
      </c>
      <c r="AC218" s="131" t="s">
        <v>369</v>
      </c>
      <c r="AD218" s="131" t="s">
        <v>370</v>
      </c>
      <c r="AE218" s="131" t="s">
        <v>371</v>
      </c>
      <c r="AF218" s="131" t="s">
        <v>372</v>
      </c>
      <c r="AG218" s="144" t="s">
        <v>373</v>
      </c>
    </row>
    <row r="219" spans="2:33" ht="15" thickBot="1">
      <c r="B219" s="140" t="s">
        <v>426</v>
      </c>
      <c r="C219" s="145">
        <v>30000</v>
      </c>
      <c r="D219" s="146">
        <v>32000</v>
      </c>
      <c r="E219" s="146">
        <v>35000</v>
      </c>
      <c r="F219" s="146">
        <v>38000</v>
      </c>
      <c r="G219" s="146">
        <v>32000</v>
      </c>
      <c r="H219" s="146">
        <v>35000</v>
      </c>
      <c r="I219" s="146">
        <v>38000</v>
      </c>
      <c r="J219" s="146">
        <v>50000</v>
      </c>
      <c r="K219" s="146">
        <v>60000</v>
      </c>
      <c r="L219" s="146">
        <v>37000</v>
      </c>
      <c r="M219" s="146">
        <v>40000</v>
      </c>
      <c r="N219" s="146">
        <v>37000</v>
      </c>
      <c r="O219" s="146">
        <v>40000</v>
      </c>
      <c r="P219" s="146">
        <v>100000</v>
      </c>
      <c r="Q219" s="146">
        <v>100000</v>
      </c>
      <c r="R219" s="146">
        <v>100000</v>
      </c>
      <c r="S219" s="146">
        <v>100000</v>
      </c>
      <c r="T219" s="146">
        <v>100000</v>
      </c>
      <c r="U219" s="146">
        <v>100000</v>
      </c>
      <c r="V219" s="146">
        <v>100000</v>
      </c>
      <c r="W219" s="146">
        <v>100000</v>
      </c>
      <c r="X219" s="146">
        <v>100000</v>
      </c>
      <c r="Y219" s="146">
        <v>100000</v>
      </c>
      <c r="Z219" s="146">
        <v>100000</v>
      </c>
      <c r="AA219" s="146">
        <v>100000</v>
      </c>
      <c r="AB219" s="146">
        <v>100000</v>
      </c>
      <c r="AC219" s="146">
        <v>100000</v>
      </c>
      <c r="AD219" s="146">
        <v>100000</v>
      </c>
      <c r="AE219" s="146">
        <v>42000</v>
      </c>
      <c r="AF219" s="146">
        <v>65000</v>
      </c>
      <c r="AG219" s="147">
        <v>75000</v>
      </c>
    </row>
    <row r="220" spans="2:33">
      <c r="B220" s="91" t="s">
        <v>374</v>
      </c>
      <c r="C220" s="130" t="s">
        <v>375</v>
      </c>
      <c r="D220" s="131" t="s">
        <v>376</v>
      </c>
      <c r="E220" s="131" t="s">
        <v>377</v>
      </c>
      <c r="F220" s="131" t="s">
        <v>378</v>
      </c>
      <c r="G220" s="131" t="s">
        <v>379</v>
      </c>
      <c r="H220" s="131" t="s">
        <v>380</v>
      </c>
      <c r="I220" s="131" t="s">
        <v>381</v>
      </c>
      <c r="J220" s="131" t="s">
        <v>382</v>
      </c>
      <c r="K220" s="131" t="s">
        <v>383</v>
      </c>
      <c r="L220" s="131" t="s">
        <v>384</v>
      </c>
      <c r="M220" s="131" t="s">
        <v>385</v>
      </c>
      <c r="N220" s="131" t="s">
        <v>386</v>
      </c>
      <c r="O220" s="131" t="s">
        <v>387</v>
      </c>
      <c r="P220" s="131" t="s">
        <v>388</v>
      </c>
      <c r="Q220" s="131" t="s">
        <v>389</v>
      </c>
      <c r="R220" s="131" t="s">
        <v>390</v>
      </c>
      <c r="S220" s="131" t="s">
        <v>391</v>
      </c>
      <c r="T220" s="131" t="s">
        <v>392</v>
      </c>
      <c r="U220" s="131" t="s">
        <v>393</v>
      </c>
      <c r="V220" s="131" t="s">
        <v>394</v>
      </c>
      <c r="W220" s="131" t="s">
        <v>395</v>
      </c>
      <c r="X220" s="131" t="s">
        <v>396</v>
      </c>
      <c r="Y220" s="131" t="s">
        <v>397</v>
      </c>
      <c r="Z220" s="131"/>
      <c r="AA220" s="131"/>
      <c r="AB220" s="131"/>
      <c r="AC220" s="131"/>
      <c r="AD220" s="131"/>
      <c r="AE220" s="131"/>
      <c r="AF220" s="131"/>
      <c r="AG220" s="144"/>
    </row>
    <row r="221" spans="2:33" ht="15" thickBot="1">
      <c r="B221" s="140" t="s">
        <v>427</v>
      </c>
      <c r="C221" s="145">
        <v>24000</v>
      </c>
      <c r="D221" s="146">
        <v>27000</v>
      </c>
      <c r="E221" s="146">
        <v>30000</v>
      </c>
      <c r="F221" s="146">
        <v>32000</v>
      </c>
      <c r="G221" s="146">
        <v>35000</v>
      </c>
      <c r="H221" s="146">
        <v>38000</v>
      </c>
      <c r="I221" s="146">
        <v>30000</v>
      </c>
      <c r="J221" s="146">
        <v>32000</v>
      </c>
      <c r="K221" s="146">
        <v>35000</v>
      </c>
      <c r="L221" s="146">
        <v>38000</v>
      </c>
      <c r="M221" s="146">
        <v>50000</v>
      </c>
      <c r="N221" s="146">
        <v>60000</v>
      </c>
      <c r="O221" s="146">
        <v>45000</v>
      </c>
      <c r="P221" s="146">
        <v>50000</v>
      </c>
      <c r="Q221" s="146">
        <v>50000</v>
      </c>
      <c r="R221" s="146">
        <v>70000</v>
      </c>
      <c r="S221" s="146">
        <v>83000</v>
      </c>
      <c r="T221" s="146">
        <v>45000</v>
      </c>
      <c r="U221" s="146">
        <v>47000</v>
      </c>
      <c r="V221" s="146">
        <v>37000</v>
      </c>
      <c r="W221" s="146">
        <v>40000</v>
      </c>
      <c r="X221" s="146">
        <v>43000</v>
      </c>
      <c r="Y221" s="146">
        <v>42000</v>
      </c>
      <c r="Z221" s="146"/>
      <c r="AA221" s="146"/>
      <c r="AB221" s="146"/>
      <c r="AC221" s="146"/>
      <c r="AD221" s="146"/>
      <c r="AE221" s="146"/>
      <c r="AF221" s="146"/>
      <c r="AG221" s="147"/>
    </row>
    <row r="222" spans="2:33">
      <c r="B222" s="91" t="s">
        <v>398</v>
      </c>
      <c r="C222" s="130" t="s">
        <v>399</v>
      </c>
      <c r="D222" s="131" t="s">
        <v>400</v>
      </c>
      <c r="E222" s="131" t="s">
        <v>401</v>
      </c>
      <c r="F222" s="131" t="s">
        <v>402</v>
      </c>
      <c r="G222" s="131" t="s">
        <v>403</v>
      </c>
      <c r="H222" s="131" t="s">
        <v>404</v>
      </c>
      <c r="I222" s="131" t="s">
        <v>405</v>
      </c>
      <c r="J222" s="131" t="s">
        <v>406</v>
      </c>
      <c r="K222" s="131" t="s">
        <v>407</v>
      </c>
      <c r="L222" s="131" t="s">
        <v>408</v>
      </c>
      <c r="M222" s="131" t="s">
        <v>409</v>
      </c>
      <c r="N222" s="131" t="s">
        <v>410</v>
      </c>
      <c r="O222" s="131" t="s">
        <v>411</v>
      </c>
      <c r="P222" s="131">
        <v>91</v>
      </c>
      <c r="Q222" s="131"/>
      <c r="R222" s="131"/>
      <c r="S222" s="131"/>
      <c r="T222" s="131"/>
      <c r="U222" s="131"/>
      <c r="V222" s="131"/>
      <c r="W222" s="131"/>
      <c r="X222" s="131"/>
      <c r="Y222" s="131"/>
      <c r="Z222" s="131"/>
      <c r="AA222" s="131"/>
      <c r="AB222" s="131"/>
      <c r="AC222" s="131"/>
      <c r="AD222" s="131"/>
      <c r="AE222" s="131"/>
      <c r="AF222" s="131"/>
      <c r="AG222" s="144"/>
    </row>
    <row r="223" spans="2:33" ht="15" thickBot="1">
      <c r="B223" s="140" t="s">
        <v>428</v>
      </c>
      <c r="C223" s="145">
        <v>37000</v>
      </c>
      <c r="D223" s="146">
        <v>40000</v>
      </c>
      <c r="E223" s="146">
        <v>43000</v>
      </c>
      <c r="F223" s="146">
        <v>50000</v>
      </c>
      <c r="G223" s="146">
        <v>42000</v>
      </c>
      <c r="H223" s="146">
        <v>60000</v>
      </c>
      <c r="I223" s="146">
        <v>45000</v>
      </c>
      <c r="J223" s="146">
        <v>40000</v>
      </c>
      <c r="K223" s="146">
        <v>45000</v>
      </c>
      <c r="L223" s="146">
        <v>45000</v>
      </c>
      <c r="M223" s="146">
        <v>45000</v>
      </c>
      <c r="N223" s="146">
        <v>45000</v>
      </c>
      <c r="O223" s="146">
        <v>45000</v>
      </c>
      <c r="P223" s="146">
        <v>60000</v>
      </c>
      <c r="Q223" s="146"/>
      <c r="R223" s="146"/>
      <c r="S223" s="146"/>
      <c r="T223" s="146"/>
      <c r="U223" s="146"/>
      <c r="V223" s="146"/>
      <c r="W223" s="146"/>
      <c r="X223" s="146"/>
      <c r="Y223" s="146"/>
      <c r="Z223" s="146"/>
      <c r="AA223" s="146"/>
      <c r="AB223" s="146"/>
      <c r="AC223" s="146"/>
      <c r="AD223" s="146"/>
      <c r="AE223" s="146"/>
      <c r="AF223" s="146"/>
      <c r="AG223" s="147"/>
    </row>
    <row r="224" spans="2:33">
      <c r="B224" s="91" t="s">
        <v>412</v>
      </c>
      <c r="C224" s="130" t="s">
        <v>413</v>
      </c>
      <c r="D224" s="131" t="s">
        <v>414</v>
      </c>
      <c r="E224" s="131" t="s">
        <v>415</v>
      </c>
      <c r="F224" s="131" t="s">
        <v>416</v>
      </c>
      <c r="G224" s="131" t="s">
        <v>417</v>
      </c>
      <c r="H224" s="131" t="s">
        <v>418</v>
      </c>
      <c r="I224" s="131" t="s">
        <v>419</v>
      </c>
      <c r="J224" s="131" t="s">
        <v>420</v>
      </c>
      <c r="K224" s="131"/>
      <c r="L224" s="131"/>
      <c r="M224" s="131"/>
      <c r="N224" s="131"/>
      <c r="O224" s="131"/>
      <c r="P224" s="131"/>
      <c r="Q224" s="131"/>
      <c r="R224" s="131"/>
      <c r="S224" s="131"/>
      <c r="T224" s="131"/>
      <c r="U224" s="131"/>
      <c r="V224" s="131"/>
      <c r="W224" s="131"/>
      <c r="X224" s="131"/>
      <c r="Y224" s="131"/>
      <c r="Z224" s="131"/>
      <c r="AA224" s="131"/>
      <c r="AB224" s="131"/>
      <c r="AC224" s="131"/>
      <c r="AD224" s="131"/>
      <c r="AE224" s="131"/>
      <c r="AF224" s="131"/>
      <c r="AG224" s="144"/>
    </row>
    <row r="225" spans="2:33" ht="15" thickBot="1">
      <c r="B225" s="140" t="s">
        <v>429</v>
      </c>
      <c r="C225" s="145">
        <v>42000</v>
      </c>
      <c r="D225" s="146">
        <v>46000</v>
      </c>
      <c r="E225" s="146">
        <v>52000</v>
      </c>
      <c r="F225" s="146">
        <v>56000</v>
      </c>
      <c r="G225" s="146">
        <v>60000</v>
      </c>
      <c r="H225" s="146">
        <v>65000</v>
      </c>
      <c r="I225" s="146">
        <v>70000</v>
      </c>
      <c r="J225" s="146">
        <v>80000</v>
      </c>
      <c r="K225" s="146"/>
      <c r="L225" s="146"/>
      <c r="M225" s="146"/>
      <c r="N225" s="146"/>
      <c r="O225" s="146"/>
      <c r="P225" s="146"/>
      <c r="Q225" s="146"/>
      <c r="R225" s="146"/>
      <c r="S225" s="146"/>
      <c r="T225" s="146"/>
      <c r="U225" s="146"/>
      <c r="V225" s="146"/>
      <c r="W225" s="146"/>
      <c r="X225" s="146"/>
      <c r="Y225" s="146"/>
      <c r="Z225" s="146"/>
      <c r="AA225" s="146"/>
      <c r="AB225" s="146"/>
      <c r="AC225" s="146"/>
      <c r="AD225" s="146"/>
      <c r="AE225" s="146"/>
      <c r="AF225" s="146"/>
      <c r="AG225" s="147"/>
    </row>
    <row r="226" spans="2:33">
      <c r="B226" s="91" t="s">
        <v>421</v>
      </c>
      <c r="C226" s="130" t="s">
        <v>421</v>
      </c>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c r="AA226" s="131"/>
      <c r="AB226" s="131"/>
      <c r="AC226" s="131"/>
      <c r="AD226" s="131"/>
      <c r="AE226" s="131"/>
      <c r="AF226" s="131"/>
      <c r="AG226" s="144"/>
    </row>
    <row r="227" spans="2:33" ht="15" thickBot="1">
      <c r="B227" s="140" t="s">
        <v>430</v>
      </c>
      <c r="C227" s="145">
        <v>24000</v>
      </c>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c r="AA227" s="146"/>
      <c r="AB227" s="146"/>
      <c r="AC227" s="146"/>
      <c r="AD227" s="146"/>
      <c r="AE227" s="146"/>
      <c r="AF227" s="146"/>
      <c r="AG227" s="147"/>
    </row>
    <row r="229" spans="2:33" ht="15" thickBot="1"/>
    <row r="230" spans="2:33" ht="15" thickBot="1">
      <c r="B230" s="148" t="s">
        <v>431</v>
      </c>
      <c r="C230" s="234" t="s">
        <v>432</v>
      </c>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c r="AA230" s="235"/>
      <c r="AB230" s="235"/>
      <c r="AC230" s="235"/>
      <c r="AD230" s="235"/>
      <c r="AE230" s="235"/>
      <c r="AF230" s="235"/>
      <c r="AG230" s="236"/>
    </row>
    <row r="231" spans="2:33">
      <c r="B231" s="149" t="str">
        <f>'Railroad Loading'!C15</f>
        <v>API 5L</v>
      </c>
      <c r="C231" s="101" t="str">
        <f>VLOOKUP($B$231,$B$201:$AG$208,2,FALSE)</f>
        <v>X42</v>
      </c>
      <c r="D231" s="102" t="str">
        <f>VLOOKUP($B$231,$B$201:$AG$208,3,FALSE)</f>
        <v>X46</v>
      </c>
      <c r="E231" s="102" t="str">
        <f>VLOOKUP($B$231,$B$201:$AG$208,4,FALSE)</f>
        <v>X52</v>
      </c>
      <c r="F231" s="102" t="str">
        <f>VLOOKUP($B$231,$B$201:$AG$208,5,FALSE)</f>
        <v>X56</v>
      </c>
      <c r="G231" s="102" t="str">
        <f>VLOOKUP($B$231,$B$201:$AG$208,6,FALSE)</f>
        <v>X60</v>
      </c>
      <c r="H231" s="102" t="str">
        <f>VLOOKUP($B$231,$B$201:$AG$208,7,FALSE)</f>
        <v>X65</v>
      </c>
      <c r="I231" s="102" t="str">
        <f>VLOOKUP($B$231,$B$201:$AG$208,8,FALSE)</f>
        <v>X70</v>
      </c>
      <c r="J231" s="102" t="str">
        <f>VLOOKUP($B$231,$B$201:$AG$208,9,FALSE)</f>
        <v>X80</v>
      </c>
      <c r="K231" s="102" t="str">
        <f>VLOOKUP($B$231,$B$201:$AG$208,10,FALSE)</f>
        <v/>
      </c>
      <c r="L231" s="102" t="str">
        <f>VLOOKUP($B$231,$B$201:$AG$208,11,FALSE)</f>
        <v/>
      </c>
      <c r="M231" s="102" t="str">
        <f>VLOOKUP($B$231,$B$201:$AG$208,12,FALSE)</f>
        <v/>
      </c>
      <c r="N231" s="102" t="str">
        <f>VLOOKUP($B$231,$B$201:$AG$208,13,FALSE)</f>
        <v/>
      </c>
      <c r="O231" s="102" t="str">
        <f>VLOOKUP($B$231,$B$201:$AG$208,14,FALSE)</f>
        <v/>
      </c>
      <c r="P231" s="102" t="str">
        <f>VLOOKUP($B$231,$B$201:$AG$208,15,FALSE)</f>
        <v/>
      </c>
      <c r="Q231" s="102" t="str">
        <f>VLOOKUP($B$231,$B$201:$AG$208,16,FALSE)</f>
        <v/>
      </c>
      <c r="R231" s="102" t="str">
        <f>VLOOKUP($B$231,$B$201:$AG$208,17,FALSE)</f>
        <v/>
      </c>
      <c r="S231" s="102" t="str">
        <f>VLOOKUP($B$231,$B$201:$AG$208,18,FALSE)</f>
        <v/>
      </c>
      <c r="T231" s="102" t="str">
        <f>VLOOKUP($B$231,$B$201:$AG$208,19,FALSE)</f>
        <v/>
      </c>
      <c r="U231" s="102" t="str">
        <f>VLOOKUP($B$231,$B$201:$AG$208,20,FALSE)</f>
        <v/>
      </c>
      <c r="V231" s="102" t="str">
        <f>VLOOKUP($B$231,$B$201:$AG$208,21,FALSE)</f>
        <v/>
      </c>
      <c r="W231" s="102" t="str">
        <f>VLOOKUP($B$231,$B$201:$AG$208,22,FALSE)</f>
        <v/>
      </c>
      <c r="X231" s="102" t="str">
        <f>VLOOKUP($B$231,$B$201:$AG$208,23,FALSE)</f>
        <v/>
      </c>
      <c r="Y231" s="102" t="str">
        <f>VLOOKUP($B$231,$B$201:$AG$208,24,FALSE)</f>
        <v/>
      </c>
      <c r="Z231" s="102" t="str">
        <f>VLOOKUP($B$231,$B$201:$AG$208,25,FALSE)</f>
        <v/>
      </c>
      <c r="AA231" s="102" t="str">
        <f>VLOOKUP($B$231,$B$201:$AG$208,26,FALSE)</f>
        <v/>
      </c>
      <c r="AB231" s="102" t="str">
        <f>VLOOKUP($B$231,$B$201:$AG$208,27,FALSE)</f>
        <v/>
      </c>
      <c r="AC231" s="102" t="str">
        <f>VLOOKUP($B$231,$B$201:$AG$208,28,FALSE)</f>
        <v/>
      </c>
      <c r="AD231" s="102" t="str">
        <f>VLOOKUP($B$231,$B$201:$AG$208,29,FALSE)</f>
        <v/>
      </c>
      <c r="AE231" s="102" t="str">
        <f>VLOOKUP($B$231,$B$201:$AG$208,30,FALSE)</f>
        <v/>
      </c>
      <c r="AF231" s="102" t="str">
        <f>VLOOKUP($B$231,$B$201:$AG$208,31,FALSE)</f>
        <v/>
      </c>
      <c r="AG231" s="150" t="str">
        <f>VLOOKUP($B$231,$B$201:$AG$208,32,FALSE)</f>
        <v/>
      </c>
    </row>
    <row r="232" spans="2:33" ht="15" thickBot="1">
      <c r="B232" s="151" t="str" cm="1">
        <f t="array" ref="B232">INDEX($B$212:$B$227,MATCH($B$231,$B$212:$B$227,0)+1)</f>
        <v>API 5L SMYS</v>
      </c>
      <c r="C232" s="152">
        <f>VLOOKUP($B$232,$B$212:$AG$227,2,FALSE)</f>
        <v>42000</v>
      </c>
      <c r="D232" s="126">
        <f>VLOOKUP($B$232,$B$212:$AG$227,3,FALSE)</f>
        <v>46000</v>
      </c>
      <c r="E232" s="126">
        <f>VLOOKUP($B$232,$B$212:$AG$227,4,FALSE)</f>
        <v>52000</v>
      </c>
      <c r="F232" s="126">
        <f>VLOOKUP($B$232,$B$212:$AG$227,5,FALSE)</f>
        <v>56000</v>
      </c>
      <c r="G232" s="126">
        <f>VLOOKUP($B$232,$B$212:$AG$227,6,FALSE)</f>
        <v>60000</v>
      </c>
      <c r="H232" s="126">
        <f>VLOOKUP($B$232,$B$212:$AG$227,7,FALSE)</f>
        <v>65000</v>
      </c>
      <c r="I232" s="126">
        <f>VLOOKUP($B$232,$B$212:$AG$227,8,FALSE)</f>
        <v>70000</v>
      </c>
      <c r="J232" s="126">
        <f>VLOOKUP($B$232,$B$212:$AG$227,9,FALSE)</f>
        <v>80000</v>
      </c>
      <c r="K232" s="126">
        <f>VLOOKUP($B$232,$B$212:$AG$227,10,FALSE)</f>
        <v>0</v>
      </c>
      <c r="L232" s="126">
        <f>VLOOKUP($B$232,$B$212:$AG$227,11,FALSE)</f>
        <v>0</v>
      </c>
      <c r="M232" s="126">
        <f>VLOOKUP($B$232,$B$212:$AG$227,12,FALSE)</f>
        <v>0</v>
      </c>
      <c r="N232" s="126">
        <f>VLOOKUP($B$232,$B$212:$AG$227,13,FALSE)</f>
        <v>0</v>
      </c>
      <c r="O232" s="126">
        <f>VLOOKUP($B$232,$B$212:$AG$227,14,FALSE)</f>
        <v>0</v>
      </c>
      <c r="P232" s="126">
        <f>VLOOKUP($B$232,$B$212:$AG$227,15,FALSE)</f>
        <v>0</v>
      </c>
      <c r="Q232" s="126">
        <f>VLOOKUP($B$232,$B$212:$AG$227,16,FALSE)</f>
        <v>0</v>
      </c>
      <c r="R232" s="126">
        <f>VLOOKUP($B$232,$B$212:$AG$227,17,FALSE)</f>
        <v>0</v>
      </c>
      <c r="S232" s="126">
        <f>VLOOKUP($B$232,$B$212:$AG$227,18,FALSE)</f>
        <v>0</v>
      </c>
      <c r="T232" s="126">
        <f>VLOOKUP($B$232,$B$212:$AG$227,19,FALSE)</f>
        <v>0</v>
      </c>
      <c r="U232" s="126">
        <f>VLOOKUP($B$232,$B$212:$AG$227,20,FALSE)</f>
        <v>0</v>
      </c>
      <c r="V232" s="126">
        <f>VLOOKUP($B$232,$B$212:$AG$227,21,FALSE)</f>
        <v>0</v>
      </c>
      <c r="W232" s="126">
        <f>VLOOKUP($B$232,$B$212:$AG$227,22,FALSE)</f>
        <v>0</v>
      </c>
      <c r="X232" s="126">
        <f>VLOOKUP($B$232,$B$212:$AG$227,23,FALSE)</f>
        <v>0</v>
      </c>
      <c r="Y232" s="126">
        <f>VLOOKUP($B$232,$B$212:$AG$227,24,FALSE)</f>
        <v>0</v>
      </c>
      <c r="Z232" s="126">
        <f>VLOOKUP($B$232,$B$212:$AG$227,25,FALSE)</f>
        <v>0</v>
      </c>
      <c r="AA232" s="126">
        <f>VLOOKUP($B$232,$B$212:$AG$227,26,FALSE)</f>
        <v>0</v>
      </c>
      <c r="AB232" s="126">
        <f>VLOOKUP($B$232,$B$212:$AG$227,27,FALSE)</f>
        <v>0</v>
      </c>
      <c r="AC232" s="126">
        <f>VLOOKUP($B$232,$B$212:$AG$227,28,FALSE)</f>
        <v>0</v>
      </c>
      <c r="AD232" s="126">
        <f>VLOOKUP($B$232,$B$212:$AG$227,29,FALSE)</f>
        <v>0</v>
      </c>
      <c r="AE232" s="126">
        <f>VLOOKUP($B$232,$B$212:$AG$227,30,FALSE)</f>
        <v>0</v>
      </c>
      <c r="AF232" s="126">
        <f>VLOOKUP($B$232,$B$212:$AG$227,31,FALSE)</f>
        <v>0</v>
      </c>
      <c r="AG232" s="127">
        <f>VLOOKUP($B$232,$B$212:$AG$227,32,FALSE)</f>
        <v>0</v>
      </c>
    </row>
    <row r="233" spans="2:33">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row>
    <row r="234" spans="2:33" ht="15" thickBot="1"/>
    <row r="235" spans="2:33" ht="15" thickBot="1">
      <c r="B235" s="129" t="s">
        <v>326</v>
      </c>
      <c r="C235" s="237" t="s">
        <v>433</v>
      </c>
      <c r="D235" s="238"/>
      <c r="E235" s="238"/>
      <c r="F235" s="238"/>
      <c r="G235" s="239"/>
      <c r="H235" t="s">
        <v>434</v>
      </c>
    </row>
    <row r="236" spans="2:33">
      <c r="B236" s="91" t="s">
        <v>328</v>
      </c>
      <c r="C236" s="153" t="s">
        <v>256</v>
      </c>
      <c r="D236" s="154" t="s">
        <v>106</v>
      </c>
      <c r="E236" s="154" t="s">
        <v>257</v>
      </c>
      <c r="F236" s="132" t="s">
        <v>233</v>
      </c>
      <c r="G236" s="132" t="s">
        <v>233</v>
      </c>
      <c r="H236" t="s">
        <v>435</v>
      </c>
    </row>
    <row r="237" spans="2:33" ht="15" thickBot="1">
      <c r="B237" s="140" t="s">
        <v>436</v>
      </c>
      <c r="C237" s="155">
        <v>1</v>
      </c>
      <c r="D237" s="156">
        <v>1</v>
      </c>
      <c r="E237" s="156">
        <v>0.6</v>
      </c>
      <c r="F237" s="156"/>
      <c r="G237" s="156"/>
    </row>
    <row r="238" spans="2:33">
      <c r="B238" s="91" t="s">
        <v>331</v>
      </c>
      <c r="C238" s="153" t="s">
        <v>256</v>
      </c>
      <c r="D238" s="132" t="s">
        <v>233</v>
      </c>
      <c r="E238" s="132" t="s">
        <v>233</v>
      </c>
      <c r="F238" s="132" t="s">
        <v>233</v>
      </c>
      <c r="G238" s="132" t="s">
        <v>233</v>
      </c>
    </row>
    <row r="239" spans="2:33" ht="15" thickBot="1">
      <c r="B239" s="140" t="s">
        <v>437</v>
      </c>
      <c r="C239" s="155">
        <v>1</v>
      </c>
      <c r="D239" s="156"/>
      <c r="E239" s="156"/>
      <c r="F239" s="156"/>
      <c r="G239" s="156"/>
    </row>
    <row r="240" spans="2:33">
      <c r="B240" s="91" t="s">
        <v>332</v>
      </c>
      <c r="C240" s="153" t="s">
        <v>256</v>
      </c>
      <c r="D240" s="154" t="s">
        <v>106</v>
      </c>
      <c r="E240" s="154" t="s">
        <v>260</v>
      </c>
      <c r="F240" s="132" t="s">
        <v>233</v>
      </c>
      <c r="G240" s="132" t="s">
        <v>233</v>
      </c>
    </row>
    <row r="241" spans="2:33" ht="15" thickBot="1">
      <c r="B241" s="140" t="s">
        <v>438</v>
      </c>
      <c r="C241" s="155">
        <v>1</v>
      </c>
      <c r="D241" s="156">
        <v>1</v>
      </c>
      <c r="E241" s="156">
        <v>1</v>
      </c>
      <c r="F241" s="156"/>
      <c r="G241" s="156"/>
    </row>
    <row r="242" spans="2:33">
      <c r="B242" s="91" t="s">
        <v>342</v>
      </c>
      <c r="C242" s="153" t="s">
        <v>439</v>
      </c>
      <c r="D242" s="154" t="s">
        <v>440</v>
      </c>
      <c r="E242" s="132" t="s">
        <v>233</v>
      </c>
      <c r="F242" s="132" t="s">
        <v>233</v>
      </c>
      <c r="G242" s="132" t="s">
        <v>233</v>
      </c>
      <c r="H242" t="s">
        <v>441</v>
      </c>
    </row>
    <row r="243" spans="2:33" ht="15" thickBot="1">
      <c r="B243" s="140" t="s">
        <v>442</v>
      </c>
      <c r="C243" s="155">
        <v>1</v>
      </c>
      <c r="D243" s="156">
        <v>0.8</v>
      </c>
      <c r="E243" s="156"/>
      <c r="F243" s="156"/>
      <c r="G243" s="156"/>
    </row>
    <row r="244" spans="2:33">
      <c r="B244" s="91" t="s">
        <v>374</v>
      </c>
      <c r="C244" s="153" t="s">
        <v>439</v>
      </c>
      <c r="D244" s="154" t="s">
        <v>440</v>
      </c>
      <c r="E244" s="132" t="s">
        <v>233</v>
      </c>
      <c r="F244" s="132" t="s">
        <v>233</v>
      </c>
      <c r="G244" s="132" t="s">
        <v>233</v>
      </c>
      <c r="H244" t="s">
        <v>443</v>
      </c>
    </row>
    <row r="245" spans="2:33" ht="15" thickBot="1">
      <c r="B245" s="140" t="s">
        <v>444</v>
      </c>
      <c r="C245" s="155">
        <v>1</v>
      </c>
      <c r="D245" s="156">
        <v>0.8</v>
      </c>
      <c r="E245" s="156"/>
      <c r="F245" s="156"/>
      <c r="G245" s="156"/>
    </row>
    <row r="246" spans="2:33">
      <c r="B246" s="91" t="s">
        <v>398</v>
      </c>
      <c r="C246" s="153" t="s">
        <v>439</v>
      </c>
      <c r="D246" s="154" t="s">
        <v>440</v>
      </c>
      <c r="E246" s="132" t="s">
        <v>233</v>
      </c>
      <c r="F246" s="132" t="s">
        <v>233</v>
      </c>
      <c r="G246" s="132" t="s">
        <v>233</v>
      </c>
      <c r="H246" t="s">
        <v>445</v>
      </c>
    </row>
    <row r="247" spans="2:33" ht="15" thickBot="1">
      <c r="B247" s="140" t="s">
        <v>446</v>
      </c>
      <c r="C247" s="155">
        <v>1</v>
      </c>
      <c r="D247" s="156">
        <v>0.8</v>
      </c>
      <c r="E247" s="156"/>
      <c r="F247" s="156"/>
      <c r="G247" s="156"/>
    </row>
    <row r="248" spans="2:33">
      <c r="B248" s="91" t="s">
        <v>412</v>
      </c>
      <c r="C248" s="153" t="s">
        <v>256</v>
      </c>
      <c r="D248" s="154" t="s">
        <v>106</v>
      </c>
      <c r="E248" s="154" t="s">
        <v>260</v>
      </c>
      <c r="F248" s="154" t="s">
        <v>257</v>
      </c>
      <c r="G248" s="154" t="s">
        <v>447</v>
      </c>
    </row>
    <row r="249" spans="2:33" ht="15" thickBot="1">
      <c r="B249" s="140" t="s">
        <v>448</v>
      </c>
      <c r="C249" s="155">
        <v>1</v>
      </c>
      <c r="D249" s="156">
        <v>1</v>
      </c>
      <c r="E249" s="156">
        <v>1</v>
      </c>
      <c r="F249" s="156">
        <v>0.6</v>
      </c>
      <c r="G249" s="156">
        <v>1</v>
      </c>
    </row>
    <row r="250" spans="2:33">
      <c r="B250" s="91" t="s">
        <v>421</v>
      </c>
      <c r="C250" s="153" t="s">
        <v>421</v>
      </c>
      <c r="D250" s="154" t="s">
        <v>421</v>
      </c>
      <c r="E250" s="132" t="s">
        <v>233</v>
      </c>
      <c r="F250" s="132" t="s">
        <v>233</v>
      </c>
      <c r="G250" s="132" t="s">
        <v>233</v>
      </c>
      <c r="H250" t="s">
        <v>449</v>
      </c>
    </row>
    <row r="251" spans="2:33" ht="15" thickBot="1">
      <c r="B251" s="140" t="s">
        <v>450</v>
      </c>
      <c r="C251" s="155">
        <v>0.8</v>
      </c>
      <c r="D251" s="156">
        <v>0.6</v>
      </c>
      <c r="E251" s="156"/>
      <c r="F251" s="156"/>
      <c r="G251" s="156"/>
    </row>
    <row r="252" spans="2:33">
      <c r="B252" s="157"/>
      <c r="C252" s="158"/>
      <c r="D252" s="158"/>
      <c r="E252" s="158"/>
      <c r="F252" s="158"/>
      <c r="G252" s="158"/>
      <c r="H252" s="158"/>
      <c r="I252" s="158"/>
      <c r="J252" s="158"/>
      <c r="K252" s="158"/>
      <c r="L252" s="158"/>
      <c r="M252" s="158"/>
      <c r="N252" s="158"/>
      <c r="O252" s="158"/>
      <c r="P252" s="158"/>
      <c r="Q252" s="158"/>
      <c r="R252" s="158"/>
      <c r="S252" s="158"/>
      <c r="T252" s="158"/>
      <c r="U252" s="158"/>
      <c r="V252" s="158"/>
      <c r="W252" s="158"/>
      <c r="X252" s="158"/>
      <c r="Y252" s="158"/>
      <c r="Z252" s="158"/>
      <c r="AA252" s="158"/>
      <c r="AB252" s="158"/>
      <c r="AC252" s="158"/>
      <c r="AD252" s="158"/>
      <c r="AE252" s="158"/>
      <c r="AF252" s="158"/>
      <c r="AG252" s="158"/>
    </row>
    <row r="253" spans="2:33" ht="15" thickBot="1">
      <c r="B253" s="157"/>
      <c r="C253" s="158"/>
      <c r="D253" s="158"/>
      <c r="E253" s="158"/>
      <c r="F253" s="158"/>
      <c r="G253" s="158"/>
      <c r="H253" s="158"/>
      <c r="I253" s="158"/>
      <c r="J253" s="158"/>
      <c r="K253" s="158"/>
      <c r="L253" s="158"/>
      <c r="M253" s="158"/>
      <c r="N253" s="158"/>
      <c r="O253" s="158"/>
      <c r="P253" s="158"/>
      <c r="Q253" s="158"/>
      <c r="R253" s="158"/>
      <c r="S253" s="158"/>
      <c r="T253" s="158"/>
      <c r="U253" s="158"/>
      <c r="V253" s="158"/>
      <c r="W253" s="158"/>
      <c r="X253" s="158"/>
      <c r="Y253" s="158"/>
      <c r="Z253" s="158"/>
      <c r="AA253" s="158"/>
      <c r="AB253" s="158"/>
      <c r="AC253" s="158"/>
      <c r="AD253" s="158"/>
      <c r="AE253" s="158"/>
      <c r="AF253" s="158"/>
      <c r="AG253" s="158"/>
    </row>
    <row r="254" spans="2:33" ht="15" thickBot="1">
      <c r="B254" s="159" t="s">
        <v>431</v>
      </c>
      <c r="C254" s="222" t="s">
        <v>451</v>
      </c>
      <c r="D254" s="222"/>
      <c r="E254" s="222"/>
      <c r="F254" s="222"/>
      <c r="G254" s="223"/>
      <c r="H254" s="158" t="s">
        <v>452</v>
      </c>
      <c r="I254" s="158"/>
      <c r="J254" s="158"/>
      <c r="K254" s="158"/>
      <c r="L254" s="158"/>
      <c r="M254" s="158"/>
      <c r="N254" s="158"/>
      <c r="O254" s="158"/>
      <c r="P254" s="158"/>
      <c r="Q254" s="158"/>
      <c r="R254" s="158"/>
      <c r="S254" s="158"/>
      <c r="T254" s="158"/>
      <c r="U254" s="158"/>
      <c r="V254" s="158"/>
      <c r="W254" s="158"/>
      <c r="X254" s="158"/>
      <c r="Y254" s="158"/>
      <c r="Z254" s="158"/>
      <c r="AA254" s="158"/>
      <c r="AB254" s="158"/>
      <c r="AC254" s="158"/>
      <c r="AD254" s="158"/>
      <c r="AE254" s="158"/>
      <c r="AF254" s="158"/>
      <c r="AG254" s="158"/>
    </row>
    <row r="255" spans="2:33">
      <c r="B255" s="160" t="str">
        <f>'Railroad Loading'!C15</f>
        <v>API 5L</v>
      </c>
      <c r="C255" s="161" t="str">
        <f>VLOOKUP($B$255,$B$236:$G$251,2,FALSE)</f>
        <v>Seamless</v>
      </c>
      <c r="D255" s="162" t="str">
        <f>VLOOKUP($B$255,$B$236:$G$251,3,FALSE)</f>
        <v>Electric Resistance Welded</v>
      </c>
      <c r="E255" s="162" t="str">
        <f>VLOOKUP($B$255,$B$236:$G$251,4,FALSE)</f>
        <v>Submerged Arc Welded</v>
      </c>
      <c r="F255" s="163" t="str">
        <f>VLOOKUP($B$255,$B$236:$G$251,5,FALSE)</f>
        <v>Furnace Butt Welded</v>
      </c>
      <c r="G255" s="164" t="str">
        <f>VLOOKUP($B$255,$B$236:$G$251,6,FALSE)</f>
        <v>Combination Welded</v>
      </c>
      <c r="H255" s="158"/>
      <c r="I255" s="158"/>
      <c r="J255" s="158"/>
      <c r="K255" s="158"/>
      <c r="L255" s="158"/>
      <c r="M255" s="158"/>
      <c r="N255" s="158"/>
      <c r="O255" s="158"/>
      <c r="P255" s="158"/>
      <c r="Q255" s="158"/>
      <c r="R255" s="158"/>
      <c r="S255" s="158"/>
      <c r="T255" s="158"/>
      <c r="U255" s="158"/>
      <c r="V255" s="158"/>
      <c r="W255" s="158"/>
      <c r="X255" s="158"/>
      <c r="Y255" s="158"/>
      <c r="Z255" s="158"/>
      <c r="AA255" s="158"/>
      <c r="AB255" s="158"/>
      <c r="AC255" s="158"/>
      <c r="AD255" s="158"/>
      <c r="AE255" s="158"/>
      <c r="AF255" s="158"/>
      <c r="AG255" s="158"/>
    </row>
    <row r="256" spans="2:33" ht="15" thickBot="1">
      <c r="B256" s="165" t="str" cm="1">
        <f t="array" ref="B256">INDEX(B236:B251,MATCH(B255,B236:B251,0)+1)</f>
        <v>API 5L Weld Seam Factor</v>
      </c>
      <c r="C256" s="166">
        <f>VLOOKUP($B$256,$B$236:$G$251,2,FALSE)</f>
        <v>1</v>
      </c>
      <c r="D256" s="167">
        <f>VLOOKUP($B$256,$B$236:$G$251,3,FALSE)</f>
        <v>1</v>
      </c>
      <c r="E256" s="167">
        <f>VLOOKUP($B$256,$B$236:$G$251,4,FALSE)</f>
        <v>1</v>
      </c>
      <c r="F256" s="167">
        <f>VLOOKUP($B$256,$B$236:$G$251,5,FALSE)</f>
        <v>0.6</v>
      </c>
      <c r="G256" s="168">
        <f>VLOOKUP($B$256,$B$236:$G$251,6,FALSE)</f>
        <v>1</v>
      </c>
      <c r="H256" s="158"/>
      <c r="I256" s="158"/>
      <c r="J256" s="158"/>
      <c r="K256" s="158"/>
      <c r="L256" s="158"/>
      <c r="M256" s="158"/>
      <c r="N256" s="158"/>
      <c r="O256" s="158"/>
      <c r="P256" s="158"/>
      <c r="Q256" s="158"/>
      <c r="R256" s="158"/>
      <c r="S256" s="158"/>
      <c r="T256" s="158"/>
      <c r="U256" s="158"/>
      <c r="V256" s="158"/>
      <c r="W256" s="158"/>
      <c r="X256" s="158"/>
      <c r="Y256" s="158"/>
      <c r="Z256" s="158"/>
      <c r="AA256" s="158"/>
      <c r="AB256" s="158"/>
      <c r="AC256" s="158"/>
      <c r="AD256" s="158"/>
      <c r="AE256" s="158"/>
      <c r="AF256" s="158"/>
      <c r="AG256" s="158"/>
    </row>
    <row r="257" spans="2:15" ht="15" thickBot="1"/>
    <row r="258" spans="2:15" ht="18">
      <c r="B258" s="1"/>
      <c r="C258" s="1"/>
      <c r="E258" s="9"/>
      <c r="F258" s="169"/>
      <c r="H258" s="224" t="s">
        <v>453</v>
      </c>
      <c r="I258" s="225"/>
      <c r="J258" s="225"/>
      <c r="K258" s="225"/>
      <c r="L258" s="226"/>
      <c r="N258" s="170"/>
      <c r="O258" s="1"/>
    </row>
    <row r="259" spans="2:15">
      <c r="B259" s="12"/>
      <c r="E259" s="157"/>
      <c r="F259" s="171"/>
      <c r="H259" s="172"/>
      <c r="I259" s="203" t="s">
        <v>454</v>
      </c>
      <c r="J259" s="203"/>
      <c r="K259" s="203"/>
      <c r="L259" s="227"/>
    </row>
    <row r="260" spans="2:15" ht="15" thickBot="1">
      <c r="B260" s="12"/>
      <c r="E260" s="157"/>
      <c r="F260" s="171"/>
      <c r="H260" s="173" t="s">
        <v>455</v>
      </c>
      <c r="I260" s="174">
        <v>1</v>
      </c>
      <c r="J260" s="174">
        <v>2</v>
      </c>
      <c r="K260" s="174">
        <v>3</v>
      </c>
      <c r="L260" s="175">
        <v>4</v>
      </c>
    </row>
    <row r="261" spans="2:15">
      <c r="B261" s="12"/>
      <c r="E261" s="157"/>
      <c r="F261" s="171"/>
      <c r="H261" s="176" t="s">
        <v>456</v>
      </c>
      <c r="I261">
        <v>0.72</v>
      </c>
      <c r="J261">
        <v>0.6</v>
      </c>
      <c r="K261">
        <v>0.5</v>
      </c>
      <c r="L261" s="177">
        <v>0.4</v>
      </c>
    </row>
    <row r="262" spans="2:15">
      <c r="B262" s="12"/>
      <c r="E262" s="157"/>
      <c r="F262" s="171"/>
      <c r="H262" s="178" t="s">
        <v>457</v>
      </c>
      <c r="I262">
        <v>0.6</v>
      </c>
      <c r="J262">
        <v>0.5</v>
      </c>
      <c r="K262">
        <v>0.5</v>
      </c>
      <c r="L262" s="177">
        <v>0.4</v>
      </c>
    </row>
    <row r="263" spans="2:15">
      <c r="B263" s="12"/>
      <c r="E263" s="157"/>
      <c r="F263" s="171"/>
      <c r="H263" s="178" t="s">
        <v>458</v>
      </c>
      <c r="I263">
        <v>0.72</v>
      </c>
      <c r="J263">
        <v>0.6</v>
      </c>
      <c r="K263">
        <v>0.5</v>
      </c>
      <c r="L263" s="177">
        <v>0.4</v>
      </c>
    </row>
    <row r="264" spans="2:15">
      <c r="B264" s="12"/>
      <c r="E264" s="157"/>
      <c r="F264" s="171"/>
      <c r="H264" s="178" t="s">
        <v>459</v>
      </c>
      <c r="I264">
        <v>0.6</v>
      </c>
      <c r="J264">
        <v>0.6</v>
      </c>
      <c r="K264">
        <v>0.5</v>
      </c>
      <c r="L264" s="177">
        <v>0.4</v>
      </c>
    </row>
    <row r="265" spans="2:15">
      <c r="B265" s="12"/>
      <c r="E265" s="157"/>
      <c r="F265" s="171"/>
      <c r="H265" s="178" t="s">
        <v>460</v>
      </c>
      <c r="I265">
        <v>0.6</v>
      </c>
      <c r="J265">
        <v>0.6</v>
      </c>
      <c r="K265">
        <v>0.5</v>
      </c>
      <c r="L265" s="177">
        <v>0.4</v>
      </c>
    </row>
    <row r="266" spans="2:15">
      <c r="B266" s="12"/>
      <c r="E266" s="157"/>
      <c r="F266" s="171"/>
      <c r="H266" s="176" t="s">
        <v>461</v>
      </c>
      <c r="I266">
        <v>0.6</v>
      </c>
      <c r="J266">
        <v>0.6</v>
      </c>
      <c r="K266">
        <v>0.5</v>
      </c>
      <c r="L266" s="177">
        <v>0.4</v>
      </c>
    </row>
    <row r="267" spans="2:15">
      <c r="B267" s="12"/>
      <c r="E267" s="157"/>
      <c r="F267" s="171"/>
      <c r="H267" s="178" t="s">
        <v>462</v>
      </c>
      <c r="I267">
        <v>0.6</v>
      </c>
      <c r="J267">
        <v>0.6</v>
      </c>
      <c r="K267">
        <v>0.5</v>
      </c>
      <c r="L267" s="177">
        <v>0.4</v>
      </c>
    </row>
    <row r="268" spans="2:15">
      <c r="H268" s="176" t="s">
        <v>463</v>
      </c>
      <c r="I268">
        <v>0.5</v>
      </c>
      <c r="J268">
        <v>0.5</v>
      </c>
      <c r="K268">
        <v>0.5</v>
      </c>
      <c r="L268" s="177">
        <v>0.4</v>
      </c>
    </row>
    <row r="269" spans="2:15" ht="15" thickBot="1">
      <c r="H269" s="179" t="s">
        <v>464</v>
      </c>
      <c r="I269" s="167">
        <v>0.5</v>
      </c>
      <c r="J269" s="167">
        <v>0.5</v>
      </c>
      <c r="K269" s="167">
        <v>0.5</v>
      </c>
      <c r="L269" s="168">
        <v>0.4</v>
      </c>
    </row>
    <row r="271" spans="2:15">
      <c r="B271" s="1" t="s">
        <v>249</v>
      </c>
      <c r="C271" s="1" t="s">
        <v>177</v>
      </c>
      <c r="D271" s="1" t="s">
        <v>192</v>
      </c>
    </row>
    <row r="272" spans="2:15">
      <c r="B272" t="s">
        <v>207</v>
      </c>
      <c r="C272">
        <v>200</v>
      </c>
      <c r="D272">
        <v>5000</v>
      </c>
    </row>
    <row r="273" spans="2:4">
      <c r="B273" t="s">
        <v>250</v>
      </c>
      <c r="C273">
        <v>500</v>
      </c>
      <c r="D273">
        <v>5000</v>
      </c>
    </row>
    <row r="274" spans="2:4">
      <c r="B274" t="s">
        <v>120</v>
      </c>
      <c r="C274">
        <v>500</v>
      </c>
      <c r="D274">
        <v>10000</v>
      </c>
    </row>
    <row r="275" spans="2:4">
      <c r="B275" t="s">
        <v>251</v>
      </c>
      <c r="C275">
        <v>1000</v>
      </c>
      <c r="D275">
        <v>10000</v>
      </c>
    </row>
    <row r="276" spans="2:4">
      <c r="B276" t="s">
        <v>252</v>
      </c>
      <c r="C276">
        <v>1000</v>
      </c>
      <c r="D276">
        <v>10000</v>
      </c>
    </row>
    <row r="277" spans="2:4">
      <c r="B277" t="s">
        <v>253</v>
      </c>
      <c r="C277">
        <v>2000</v>
      </c>
      <c r="D277">
        <v>20000</v>
      </c>
    </row>
    <row r="279" spans="2:4">
      <c r="B279" s="1" t="s">
        <v>102</v>
      </c>
      <c r="C279" s="1" t="s">
        <v>254</v>
      </c>
      <c r="D279" s="1"/>
    </row>
    <row r="280" spans="2:4">
      <c r="B280">
        <v>1</v>
      </c>
      <c r="C280">
        <v>0.72</v>
      </c>
    </row>
    <row r="281" spans="2:4">
      <c r="B281">
        <v>2</v>
      </c>
      <c r="C281">
        <v>0.6</v>
      </c>
    </row>
    <row r="282" spans="2:4">
      <c r="B282">
        <v>3</v>
      </c>
      <c r="C282">
        <v>0.5</v>
      </c>
    </row>
    <row r="283" spans="2:4">
      <c r="B283">
        <v>4</v>
      </c>
      <c r="C283">
        <v>0.4</v>
      </c>
    </row>
    <row r="285" spans="2:4">
      <c r="B285" s="203" t="s">
        <v>255</v>
      </c>
      <c r="C285" s="203"/>
    </row>
    <row r="286" spans="2:4">
      <c r="B286" s="2" t="s">
        <v>105</v>
      </c>
      <c r="C286" s="2" t="s">
        <v>255</v>
      </c>
    </row>
    <row r="287" spans="2:4">
      <c r="B287" t="s">
        <v>256</v>
      </c>
      <c r="C287">
        <v>1</v>
      </c>
    </row>
    <row r="288" spans="2:4">
      <c r="B288" t="s">
        <v>106</v>
      </c>
      <c r="C288">
        <v>1</v>
      </c>
    </row>
    <row r="289" spans="2:7">
      <c r="B289" t="s">
        <v>257</v>
      </c>
      <c r="C289">
        <v>0.6</v>
      </c>
    </row>
    <row r="290" spans="2:7">
      <c r="B290" t="s">
        <v>258</v>
      </c>
      <c r="C290">
        <v>1</v>
      </c>
    </row>
    <row r="291" spans="2:7">
      <c r="B291" t="s">
        <v>259</v>
      </c>
      <c r="C291">
        <v>1</v>
      </c>
    </row>
    <row r="292" spans="2:7">
      <c r="B292" t="s">
        <v>260</v>
      </c>
      <c r="C292">
        <v>1</v>
      </c>
    </row>
    <row r="293" spans="2:7">
      <c r="B293" t="s">
        <v>261</v>
      </c>
      <c r="C293">
        <v>0.8</v>
      </c>
    </row>
    <row r="294" spans="2:7">
      <c r="B294" t="s">
        <v>262</v>
      </c>
      <c r="C294">
        <v>0.6</v>
      </c>
    </row>
    <row r="297" spans="2:7">
      <c r="B297" s="203" t="s">
        <v>263</v>
      </c>
      <c r="C297" s="203"/>
      <c r="D297" s="203"/>
      <c r="E297" s="203"/>
      <c r="F297" s="203"/>
      <c r="G297" s="203"/>
    </row>
    <row r="298" spans="2:7">
      <c r="B298" s="2" t="s">
        <v>264</v>
      </c>
      <c r="C298" s="2" t="s">
        <v>265</v>
      </c>
      <c r="D298" s="2" t="s">
        <v>266</v>
      </c>
      <c r="E298" s="2" t="s">
        <v>267</v>
      </c>
    </row>
    <row r="299" spans="2:7">
      <c r="B299" t="s">
        <v>109</v>
      </c>
      <c r="C299">
        <v>29000000</v>
      </c>
      <c r="D299">
        <v>0.3</v>
      </c>
      <c r="E299">
        <v>6.4999999999999996E-6</v>
      </c>
    </row>
    <row r="300" spans="2:7">
      <c r="B300" t="s">
        <v>268</v>
      </c>
      <c r="C300">
        <v>10000000</v>
      </c>
      <c r="D300">
        <v>0.33</v>
      </c>
      <c r="E300">
        <v>1.3099999999999998E-5</v>
      </c>
    </row>
    <row r="301" spans="2:7">
      <c r="B301" t="s">
        <v>269</v>
      </c>
      <c r="C301">
        <v>14500000</v>
      </c>
      <c r="D301">
        <v>0.21</v>
      </c>
      <c r="E301">
        <v>6.7000000000000002E-6</v>
      </c>
    </row>
    <row r="302" spans="2:7">
      <c r="B302" t="s">
        <v>270</v>
      </c>
      <c r="C302">
        <v>1600000</v>
      </c>
      <c r="D302">
        <v>0.33</v>
      </c>
      <c r="E302">
        <v>1.6999999999999998E-6</v>
      </c>
    </row>
    <row r="303" spans="2:7">
      <c r="B303" t="s">
        <v>271</v>
      </c>
      <c r="C303">
        <v>14800000</v>
      </c>
      <c r="D303">
        <v>0.33</v>
      </c>
      <c r="E303">
        <v>1.04E-5</v>
      </c>
    </row>
    <row r="304" spans="2:7">
      <c r="B304" t="s">
        <v>272</v>
      </c>
      <c r="C304">
        <v>17000000</v>
      </c>
      <c r="D304">
        <v>0.36</v>
      </c>
      <c r="E304">
        <v>9.3000000000000007E-6</v>
      </c>
    </row>
    <row r="305" spans="2:5">
      <c r="B305" t="s">
        <v>273</v>
      </c>
      <c r="C305">
        <v>13900000</v>
      </c>
      <c r="D305">
        <v>0.34</v>
      </c>
      <c r="E305">
        <v>9.9999999999999991E-6</v>
      </c>
    </row>
    <row r="306" spans="2:5">
      <c r="B306" t="s">
        <v>274</v>
      </c>
      <c r="C306">
        <v>6500000</v>
      </c>
      <c r="D306">
        <v>0.35</v>
      </c>
      <c r="E306">
        <v>1.4E-5</v>
      </c>
    </row>
    <row r="307" spans="2:5">
      <c r="B307" t="s">
        <v>275</v>
      </c>
      <c r="C307">
        <v>10200000</v>
      </c>
      <c r="D307">
        <v>0.22</v>
      </c>
      <c r="E307">
        <v>4.9999999999999996E-6</v>
      </c>
    </row>
    <row r="308" spans="2:5">
      <c r="B308" t="s">
        <v>276</v>
      </c>
      <c r="C308">
        <v>300000</v>
      </c>
      <c r="D308">
        <v>0.34</v>
      </c>
      <c r="E308">
        <v>3.8899999999999997E-5</v>
      </c>
    </row>
    <row r="311" spans="2:5">
      <c r="B311" s="2" t="s">
        <v>277</v>
      </c>
      <c r="C311" s="2" t="s">
        <v>278</v>
      </c>
    </row>
    <row r="312" spans="2:5">
      <c r="B312" s="12" t="s">
        <v>279</v>
      </c>
      <c r="C312">
        <v>0.40500000000000003</v>
      </c>
    </row>
    <row r="313" spans="2:5">
      <c r="B313" s="12" t="s">
        <v>280</v>
      </c>
      <c r="C313">
        <v>0.54</v>
      </c>
    </row>
    <row r="314" spans="2:5">
      <c r="B314" s="12" t="s">
        <v>281</v>
      </c>
      <c r="C314">
        <v>0.67500000000000004</v>
      </c>
    </row>
    <row r="315" spans="2:5">
      <c r="B315" s="12" t="s">
        <v>282</v>
      </c>
      <c r="C315">
        <v>0.84</v>
      </c>
    </row>
    <row r="316" spans="2:5">
      <c r="B316" s="12" t="s">
        <v>283</v>
      </c>
      <c r="C316">
        <v>1.05</v>
      </c>
    </row>
    <row r="317" spans="2:5">
      <c r="B317" s="12">
        <v>1</v>
      </c>
      <c r="C317">
        <v>1.3149999999999999</v>
      </c>
    </row>
    <row r="318" spans="2:5">
      <c r="B318" s="12" t="s">
        <v>284</v>
      </c>
      <c r="C318">
        <v>1.66</v>
      </c>
    </row>
    <row r="319" spans="2:5">
      <c r="B319" s="12" t="s">
        <v>285</v>
      </c>
      <c r="C319">
        <v>1.9</v>
      </c>
    </row>
    <row r="320" spans="2:5">
      <c r="B320" s="12">
        <v>2</v>
      </c>
      <c r="C320">
        <v>2.375</v>
      </c>
    </row>
    <row r="321" spans="2:3">
      <c r="B321" s="12" t="s">
        <v>286</v>
      </c>
      <c r="C321">
        <v>2.875</v>
      </c>
    </row>
    <row r="322" spans="2:3">
      <c r="B322" s="12">
        <v>3</v>
      </c>
      <c r="C322">
        <v>3.5</v>
      </c>
    </row>
    <row r="323" spans="2:3">
      <c r="B323" s="12" t="s">
        <v>287</v>
      </c>
      <c r="C323">
        <v>4</v>
      </c>
    </row>
    <row r="324" spans="2:3">
      <c r="B324" s="12">
        <v>4</v>
      </c>
      <c r="C324">
        <v>4.5</v>
      </c>
    </row>
    <row r="325" spans="2:3">
      <c r="B325" s="12">
        <v>5</v>
      </c>
      <c r="C325">
        <v>5.5629999999999997</v>
      </c>
    </row>
    <row r="326" spans="2:3">
      <c r="B326" s="12">
        <v>6</v>
      </c>
      <c r="C326">
        <v>6.625</v>
      </c>
    </row>
    <row r="327" spans="2:3">
      <c r="B327" s="12">
        <v>8</v>
      </c>
      <c r="C327">
        <v>8.625</v>
      </c>
    </row>
    <row r="328" spans="2:3">
      <c r="B328" s="12">
        <v>10</v>
      </c>
      <c r="C328">
        <v>10.75</v>
      </c>
    </row>
    <row r="329" spans="2:3">
      <c r="B329" s="12">
        <v>12</v>
      </c>
      <c r="C329">
        <v>12.75</v>
      </c>
    </row>
    <row r="330" spans="2:3">
      <c r="B330" s="12">
        <v>14</v>
      </c>
      <c r="C330">
        <v>14</v>
      </c>
    </row>
    <row r="331" spans="2:3">
      <c r="B331" s="12">
        <v>16</v>
      </c>
      <c r="C331">
        <v>16</v>
      </c>
    </row>
    <row r="332" spans="2:3">
      <c r="B332" s="12">
        <v>18</v>
      </c>
      <c r="C332">
        <v>18</v>
      </c>
    </row>
    <row r="333" spans="2:3">
      <c r="B333" s="12">
        <v>20</v>
      </c>
      <c r="C333">
        <v>20</v>
      </c>
    </row>
    <row r="334" spans="2:3">
      <c r="B334" s="12">
        <v>22</v>
      </c>
      <c r="C334">
        <v>22</v>
      </c>
    </row>
    <row r="335" spans="2:3">
      <c r="B335" s="12">
        <v>24</v>
      </c>
      <c r="C335">
        <v>24</v>
      </c>
    </row>
    <row r="336" spans="2:3">
      <c r="B336" s="12">
        <v>26</v>
      </c>
      <c r="C336">
        <v>26</v>
      </c>
    </row>
    <row r="337" spans="2:3">
      <c r="B337" s="12">
        <v>28</v>
      </c>
      <c r="C337">
        <v>28</v>
      </c>
    </row>
    <row r="338" spans="2:3">
      <c r="B338" s="12">
        <v>30</v>
      </c>
      <c r="C338">
        <v>30</v>
      </c>
    </row>
    <row r="339" spans="2:3">
      <c r="B339" s="12">
        <v>32</v>
      </c>
      <c r="C339">
        <v>32</v>
      </c>
    </row>
    <row r="340" spans="2:3">
      <c r="B340" s="12">
        <v>34</v>
      </c>
      <c r="C340">
        <v>34</v>
      </c>
    </row>
    <row r="341" spans="2:3">
      <c r="B341" s="12">
        <v>36</v>
      </c>
      <c r="C341">
        <v>36</v>
      </c>
    </row>
    <row r="342" spans="2:3">
      <c r="B342" s="12">
        <v>38</v>
      </c>
      <c r="C342">
        <v>38</v>
      </c>
    </row>
    <row r="343" spans="2:3">
      <c r="B343" s="12">
        <v>40</v>
      </c>
      <c r="C343">
        <v>40</v>
      </c>
    </row>
    <row r="344" spans="2:3">
      <c r="B344" s="12">
        <v>42</v>
      </c>
      <c r="C344">
        <v>42</v>
      </c>
    </row>
    <row r="345" spans="2:3">
      <c r="B345" s="12">
        <v>44</v>
      </c>
      <c r="C345">
        <v>44</v>
      </c>
    </row>
    <row r="346" spans="2:3">
      <c r="B346" s="12">
        <v>46</v>
      </c>
      <c r="C346">
        <v>46</v>
      </c>
    </row>
    <row r="347" spans="2:3">
      <c r="B347" s="12">
        <v>48</v>
      </c>
      <c r="C347">
        <v>48</v>
      </c>
    </row>
    <row r="360" spans="2:2">
      <c r="B360" s="2" t="s">
        <v>288</v>
      </c>
    </row>
    <row r="361" spans="2:2">
      <c r="B361" s="12">
        <v>24000</v>
      </c>
    </row>
    <row r="362" spans="2:2">
      <c r="B362" s="12">
        <v>30000</v>
      </c>
    </row>
    <row r="363" spans="2:2">
      <c r="B363" s="12">
        <v>35000</v>
      </c>
    </row>
    <row r="364" spans="2:2">
      <c r="B364" s="12">
        <v>42000</v>
      </c>
    </row>
    <row r="365" spans="2:2">
      <c r="B365" s="12" t="s">
        <v>289</v>
      </c>
    </row>
    <row r="366" spans="2:2">
      <c r="B366" s="12">
        <v>52000</v>
      </c>
    </row>
    <row r="367" spans="2:2">
      <c r="B367" s="12" t="s">
        <v>290</v>
      </c>
    </row>
    <row r="368" spans="2:2">
      <c r="B368" s="12" t="s">
        <v>291</v>
      </c>
    </row>
    <row r="369" spans="2:2">
      <c r="B369" s="12" t="s">
        <v>292</v>
      </c>
    </row>
    <row r="370" spans="2:2">
      <c r="B370" s="12">
        <v>70000</v>
      </c>
    </row>
    <row r="371" spans="2:2">
      <c r="B371" s="12">
        <v>80000</v>
      </c>
    </row>
  </sheetData>
  <mergeCells count="42">
    <mergeCell ref="B285:C285"/>
    <mergeCell ref="B297:G297"/>
    <mergeCell ref="C254:G254"/>
    <mergeCell ref="H258:L258"/>
    <mergeCell ref="I259:L259"/>
    <mergeCell ref="D196:Y196"/>
    <mergeCell ref="C200:AG200"/>
    <mergeCell ref="C211:AG211"/>
    <mergeCell ref="C230:AG230"/>
    <mergeCell ref="C235:G235"/>
    <mergeCell ref="B85:C85"/>
    <mergeCell ref="B91:C91"/>
    <mergeCell ref="E91:F91"/>
    <mergeCell ref="H91:I91"/>
    <mergeCell ref="A1:E1"/>
    <mergeCell ref="A77:A81"/>
    <mergeCell ref="G69:J69"/>
    <mergeCell ref="B3:E3"/>
    <mergeCell ref="B40:E40"/>
    <mergeCell ref="K91:L91"/>
    <mergeCell ref="B98:C98"/>
    <mergeCell ref="E98:F98"/>
    <mergeCell ref="B105:C105"/>
    <mergeCell ref="B112:C112"/>
    <mergeCell ref="B119:C119"/>
    <mergeCell ref="E119:F119"/>
    <mergeCell ref="H119:I119"/>
    <mergeCell ref="B126:C126"/>
    <mergeCell ref="E126:F126"/>
    <mergeCell ref="H126:I126"/>
    <mergeCell ref="B157:C157"/>
    <mergeCell ref="E157:F157"/>
    <mergeCell ref="H157:I157"/>
    <mergeCell ref="B134:C134"/>
    <mergeCell ref="E134:F134"/>
    <mergeCell ref="H134:I134"/>
    <mergeCell ref="B143:C143"/>
    <mergeCell ref="E143:F143"/>
    <mergeCell ref="H143:I143"/>
    <mergeCell ref="B150:C150"/>
    <mergeCell ref="E150:F150"/>
    <mergeCell ref="H150:I150"/>
  </mergeCells>
  <conditionalFormatting sqref="E78:E81">
    <cfRule type="containsText" dxfId="7" priority="1" operator="containsText" text="Pass">
      <formula>NOT(ISERROR(SEARCH("Pass",E78)))</formula>
    </cfRule>
    <cfRule type="containsText" dxfId="6" priority="2" operator="containsText" text="Fail">
      <formula>NOT(ISERROR(SEARCH("Fail",E78)))</formula>
    </cfRule>
    <cfRule type="containsText" dxfId="5" priority="3" operator="containsText" text="Fail">
      <formula>NOT(ISERROR(SEARCH("Fail",E78)))</formula>
    </cfRule>
    <cfRule type="containsText" dxfId="4" priority="4" operator="containsText" text="Pass">
      <formula>NOT(ISERROR(SEARCH("Pass",E78)))</formula>
    </cfRule>
  </conditionalFormatting>
  <dataValidations count="18">
    <dataValidation errorStyle="warning" allowBlank="1" showInputMessage="1" showErrorMessage="1" error="Not a common SMYS value." sqref="C17" xr:uid="{EBF10914-E8FE-43E4-9473-188DA29AA8E8}"/>
    <dataValidation type="decimal" allowBlank="1" showInputMessage="1" showErrorMessage="1" error="Temperature is not within limits of CFR 192.115." sqref="C27 C36" xr:uid="{58F4776D-F013-4C00-A6DA-7DFBD9EDB2C6}">
      <formula1>-20</formula1>
      <formula2>450</formula2>
    </dataValidation>
    <dataValidation allowBlank="1" showInputMessage="1" showErrorMessage="1" errorTitle="Pipe Internal Pressure Error" error="The value entered for the pipes internal pressure is outside of the allowable range." sqref="E29 E34" xr:uid="{B04FA3A4-B746-4600-AB57-6F740A3073B5}"/>
    <dataValidation type="decimal" allowBlank="1" showInputMessage="1" showErrorMessage="1" sqref="C29" xr:uid="{322F989C-236E-44F7-AC68-69489A021847}">
      <formula1>0</formula1>
      <formula2>6000</formula2>
    </dataValidation>
    <dataValidation type="whole" allowBlank="1" showInputMessage="1" showErrorMessage="1" sqref="C37" xr:uid="{EF6C61EA-88BB-4AED-9D8F-E14D68B761B6}">
      <formula1>1</formula1>
      <formula2>2</formula2>
    </dataValidation>
    <dataValidation type="decimal" allowBlank="1" showInputMessage="1" showErrorMessage="1" sqref="C33" xr:uid="{F7079E2B-EFD3-47DE-BDF4-665E54B83F4F}">
      <formula1>50</formula1>
      <formula2>200</formula2>
    </dataValidation>
    <dataValidation type="decimal" allowBlank="1" showInputMessage="1" showErrorMessage="1" sqref="C34" xr:uid="{E5B90033-1A16-481F-A32A-569442C232E6}">
      <formula1>1</formula1>
      <formula2>30</formula2>
    </dataValidation>
    <dataValidation type="decimal" allowBlank="1" showInputMessage="1" showErrorMessage="1" sqref="C38" xr:uid="{1F0F3869-098C-44E7-B4FB-C2B141CDEC97}">
      <formula1>0</formula1>
      <formula2>100</formula2>
    </dataValidation>
    <dataValidation type="list" allowBlank="1" showInputMessage="1" showErrorMessage="1" sqref="C19" xr:uid="{B00F7CAE-86FA-4169-8EC8-C23AF696FE42}">
      <formula1>$I$260:$L$260</formula1>
    </dataValidation>
    <dataValidation type="list" allowBlank="1" showInputMessage="1" showErrorMessage="1" sqref="C21" xr:uid="{F3EED643-07F5-4009-8044-4034025FF55B}">
      <formula1>OFFSET($C$255,0,0,1,COUNTIF($C$255:$G$255, "&gt;"""))</formula1>
    </dataValidation>
    <dataValidation type="list" errorStyle="warning" allowBlank="1" showInputMessage="1" showErrorMessage="1" error="This is an atypical nominal pipe diameter." sqref="C12" xr:uid="{DB7E6DC3-AC19-4CB7-81DC-7CDD893E8B84}">
      <formula1>$D$170:$AE$170</formula1>
    </dataValidation>
    <dataValidation type="list" errorStyle="warning" allowBlank="1" showInputMessage="1" showErrorMessage="1" error="The wall thickness that was entered is atypical for this pipe size." sqref="C14" xr:uid="{8E2DC6AA-1092-4E7F-B670-F73BB5AFF5AB}">
      <formula1>OFFSET($D$197,0,0,1,COUNT($D$197:$Y$197))</formula1>
    </dataValidation>
    <dataValidation type="list" allowBlank="1" showInputMessage="1" showErrorMessage="1" sqref="C16" xr:uid="{2060AC2B-33C6-478E-A2A4-8AA6169E96D0}">
      <formula1>OFFSET($C$231,0,0,1,COUNTIF($C$231:$AG$231, "&gt;"""))</formula1>
    </dataValidation>
    <dataValidation type="list" allowBlank="1" showInputMessage="1" showErrorMessage="1" sqref="C18" xr:uid="{CDDDFE8E-FCB9-4A36-B84A-EF9369D708F8}">
      <formula1>$H$261:$H$269</formula1>
    </dataValidation>
    <dataValidation type="list" allowBlank="1" showInputMessage="1" showErrorMessage="1" sqref="C35" xr:uid="{8D509A1B-0063-4334-9DAF-CA6EE25C3846}">
      <formula1>$B$165:$B$167</formula1>
    </dataValidation>
    <dataValidation type="list" allowBlank="1" showInputMessage="1" showErrorMessage="1" sqref="C15" xr:uid="{5ED1D0BA-8074-4BF3-9DE6-D25902640377}">
      <formula1>$B$201:$B$208</formula1>
    </dataValidation>
    <dataValidation type="list" allowBlank="1" showInputMessage="1" showErrorMessage="1" sqref="C30" xr:uid="{6A006560-47E4-4302-AE54-2EAE364AB560}">
      <formula1>$B$272:$B$277</formula1>
    </dataValidation>
    <dataValidation type="list" allowBlank="1" showInputMessage="1" showErrorMessage="1" sqref="C23" xr:uid="{2B3745DF-BE76-4423-AF82-6475BA7AD5D9}">
      <formula1>$B$299:$B$308</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A1377-92B9-4BFF-8F4A-C49B15A942A4}">
  <sheetPr codeName="Sheet7"/>
  <dimension ref="A1:O112"/>
  <sheetViews>
    <sheetView zoomScale="67" zoomScaleNormal="100" workbookViewId="0">
      <selection activeCell="D38" sqref="D38"/>
    </sheetView>
  </sheetViews>
  <sheetFormatPr defaultRowHeight="14.4"/>
  <cols>
    <col min="1" max="1" width="52.33203125" bestFit="1" customWidth="1"/>
    <col min="2" max="2" width="28.33203125" customWidth="1"/>
    <col min="3" max="3" width="21.6640625" bestFit="1" customWidth="1"/>
    <col min="4" max="4" width="100.44140625" bestFit="1" customWidth="1"/>
    <col min="5" max="5" width="15.6640625" customWidth="1"/>
    <col min="6" max="6" width="8.88671875" customWidth="1"/>
    <col min="12" max="12" width="8.88671875" customWidth="1"/>
  </cols>
  <sheetData>
    <row r="1" spans="1:7">
      <c r="A1" s="1" t="s">
        <v>206</v>
      </c>
    </row>
    <row r="2" spans="1:7">
      <c r="A2" t="s">
        <v>97</v>
      </c>
      <c r="B2" s="3">
        <v>12</v>
      </c>
      <c r="C2" t="s">
        <v>98</v>
      </c>
    </row>
    <row r="3" spans="1:7">
      <c r="A3" t="s">
        <v>99</v>
      </c>
      <c r="B3">
        <f>IFERROR(VLOOKUP(B2, 'Railroad Loading'!B312:C347, 2, FALSE), B2)</f>
        <v>12.75</v>
      </c>
      <c r="C3" t="s">
        <v>98</v>
      </c>
    </row>
    <row r="4" spans="1:7">
      <c r="A4" t="s">
        <v>100</v>
      </c>
      <c r="B4" s="3">
        <v>0.25</v>
      </c>
      <c r="C4" t="s">
        <v>98</v>
      </c>
    </row>
    <row r="5" spans="1:7">
      <c r="A5" t="s">
        <v>101</v>
      </c>
      <c r="B5" s="3">
        <v>42000</v>
      </c>
      <c r="C5" t="s">
        <v>88</v>
      </c>
    </row>
    <row r="6" spans="1:7">
      <c r="A6" t="s">
        <v>102</v>
      </c>
      <c r="B6" s="3">
        <v>1</v>
      </c>
    </row>
    <row r="7" spans="1:7">
      <c r="A7" t="s">
        <v>104</v>
      </c>
      <c r="B7">
        <f>VLOOKUP(B6,'Railroad Loading'!B280:C283,2, FALSE)</f>
        <v>0.72</v>
      </c>
    </row>
    <row r="8" spans="1:7">
      <c r="A8" t="s">
        <v>105</v>
      </c>
      <c r="B8" s="3" t="s">
        <v>106</v>
      </c>
    </row>
    <row r="9" spans="1:7">
      <c r="A9" t="s">
        <v>107</v>
      </c>
      <c r="B9">
        <f>VLOOKUP(B8,'Railroad Loading'!B287:C294,2, FALSE)</f>
        <v>1</v>
      </c>
    </row>
    <row r="10" spans="1:7">
      <c r="A10" t="s">
        <v>108</v>
      </c>
      <c r="B10" s="3" t="s">
        <v>109</v>
      </c>
    </row>
    <row r="11" spans="1:7">
      <c r="A11" t="s">
        <v>110</v>
      </c>
      <c r="B11" s="182">
        <v>30000000</v>
      </c>
      <c r="C11" t="s">
        <v>88</v>
      </c>
    </row>
    <row r="12" spans="1:7">
      <c r="A12" t="s">
        <v>111</v>
      </c>
      <c r="B12">
        <f>(VLOOKUP(B10,'Railroad Loading'!B299:E308,3, FALSE))</f>
        <v>0.3</v>
      </c>
    </row>
    <row r="13" spans="1:7">
      <c r="A13" t="s">
        <v>112</v>
      </c>
      <c r="B13">
        <f>(VLOOKUP(B10,'Railroad Loading'!B299:E308,4, FALSE))</f>
        <v>6.4999999999999996E-6</v>
      </c>
      <c r="C13" t="s">
        <v>113</v>
      </c>
    </row>
    <row r="14" spans="1:7">
      <c r="A14" t="s">
        <v>114</v>
      </c>
      <c r="B14" s="3">
        <v>1</v>
      </c>
      <c r="G14" t="s">
        <v>115</v>
      </c>
    </row>
    <row r="15" spans="1:7">
      <c r="A15" t="s">
        <v>116</v>
      </c>
      <c r="B15" s="3">
        <v>70</v>
      </c>
      <c r="C15" t="s">
        <v>117</v>
      </c>
    </row>
    <row r="16" spans="1:7">
      <c r="A16" t="s">
        <v>118</v>
      </c>
      <c r="B16" s="3">
        <v>800</v>
      </c>
      <c r="C16" t="s">
        <v>88</v>
      </c>
    </row>
    <row r="17" spans="1:15" ht="28.8">
      <c r="A17" t="s">
        <v>119</v>
      </c>
      <c r="B17" s="6" t="s">
        <v>207</v>
      </c>
    </row>
    <row r="18" spans="1:15">
      <c r="A18" t="s">
        <v>121</v>
      </c>
      <c r="B18">
        <f>VLOOKUP(B17, 'Railroad Loading'!B272:D277,2, FALSE)</f>
        <v>200</v>
      </c>
      <c r="C18" t="s">
        <v>88</v>
      </c>
    </row>
    <row r="19" spans="1:15">
      <c r="A19" t="s">
        <v>122</v>
      </c>
      <c r="B19">
        <f>VLOOKUP(B17, 'Railroad Loading'!B272:D277,3, FALSE)</f>
        <v>5000</v>
      </c>
      <c r="C19" t="s">
        <v>88</v>
      </c>
    </row>
    <row r="20" spans="1:15">
      <c r="A20" t="s">
        <v>123</v>
      </c>
      <c r="B20" s="3">
        <v>120</v>
      </c>
      <c r="C20" t="s">
        <v>124</v>
      </c>
      <c r="G20" t="s">
        <v>125</v>
      </c>
    </row>
    <row r="21" spans="1:15">
      <c r="A21" t="s">
        <v>126</v>
      </c>
      <c r="B21" s="3">
        <v>6</v>
      </c>
      <c r="C21" t="s">
        <v>127</v>
      </c>
    </row>
    <row r="22" spans="1:15">
      <c r="A22" t="s">
        <v>128</v>
      </c>
      <c r="B22" s="3">
        <v>14.8</v>
      </c>
      <c r="C22" t="s">
        <v>129</v>
      </c>
      <c r="G22" t="s">
        <v>208</v>
      </c>
    </row>
    <row r="23" spans="1:15">
      <c r="A23" t="s">
        <v>131</v>
      </c>
      <c r="B23" s="3">
        <v>70</v>
      </c>
      <c r="C23" t="s">
        <v>117</v>
      </c>
    </row>
    <row r="24" spans="1:15">
      <c r="A24" t="s">
        <v>132</v>
      </c>
      <c r="B24" s="3">
        <v>2</v>
      </c>
    </row>
    <row r="25" spans="1:15">
      <c r="A25" t="s">
        <v>133</v>
      </c>
      <c r="B25" s="3">
        <v>13.9</v>
      </c>
      <c r="C25" t="s">
        <v>88</v>
      </c>
      <c r="G25" t="s">
        <v>134</v>
      </c>
    </row>
    <row r="27" spans="1:15">
      <c r="A27" s="1" t="s">
        <v>209</v>
      </c>
      <c r="B27" s="9" t="s">
        <v>210</v>
      </c>
      <c r="D27" s="1" t="s">
        <v>211</v>
      </c>
      <c r="E27" s="1" t="s">
        <v>212</v>
      </c>
      <c r="G27" s="1" t="s">
        <v>213</v>
      </c>
    </row>
    <row r="28" spans="1:15">
      <c r="A28" t="s">
        <v>137</v>
      </c>
      <c r="B28">
        <f>'Railroad Loading'!C43</f>
        <v>20400</v>
      </c>
      <c r="C28" t="s">
        <v>88</v>
      </c>
      <c r="D28" t="str">
        <f>ROUND(B16*B3/(2*B4),2)&amp;" = "&amp;B16&amp;"*"&amp;B3&amp;"/(2*"&amp;B4&amp;")"</f>
        <v>20400 = 800*12.75/(2*0.25)</v>
      </c>
      <c r="E28">
        <f>B16*B3/(2*B4)</f>
        <v>20400</v>
      </c>
    </row>
    <row r="29" spans="1:15">
      <c r="A29" t="s">
        <v>138</v>
      </c>
      <c r="B29">
        <f>'Railroad Loading'!C44</f>
        <v>30240</v>
      </c>
      <c r="C29" t="s">
        <v>88</v>
      </c>
      <c r="D29" t="str">
        <f>ROUND(B7*B9*B14*B5,2)&amp;" = "&amp;B7&amp;"*"&amp;B9&amp;"*"&amp;B14&amp;"*"&amp;B5</f>
        <v>30240 = 0.72*1*1*42000</v>
      </c>
      <c r="E29">
        <f>B7*B9*B14*B5</f>
        <v>30240</v>
      </c>
    </row>
    <row r="30" spans="1:15">
      <c r="M30" s="212" t="s">
        <v>214</v>
      </c>
      <c r="N30" s="212"/>
      <c r="O30" s="212"/>
    </row>
    <row r="31" spans="1:15">
      <c r="A31" t="s">
        <v>139</v>
      </c>
      <c r="B31" s="3">
        <f>'Railroad Loading'!C46</f>
        <v>3141.176470588237</v>
      </c>
      <c r="G31" t="s">
        <v>215</v>
      </c>
      <c r="M31" s="2" t="s">
        <v>216</v>
      </c>
    </row>
    <row r="32" spans="1:15">
      <c r="A32" t="s">
        <v>140</v>
      </c>
      <c r="B32" s="3">
        <f>'Railroad Loading'!C47</f>
        <v>1.0658474576271186</v>
      </c>
      <c r="G32" t="s">
        <v>217</v>
      </c>
      <c r="M32" t="str" cm="1">
        <f t="array" ref="M32:N33">F84:G85</f>
        <v>H/Bd</v>
      </c>
      <c r="N32" t="str">
        <v/>
      </c>
    </row>
    <row r="33" spans="1:14">
      <c r="A33" t="s">
        <v>141</v>
      </c>
      <c r="B33" s="3">
        <f>'Railroad Loading'!C48</f>
        <v>1.104107843137256</v>
      </c>
      <c r="G33" t="s">
        <v>218</v>
      </c>
      <c r="M33" t="str">
        <v/>
      </c>
      <c r="N33" t="str">
        <v/>
      </c>
    </row>
    <row r="34" spans="1:14">
      <c r="A34" t="s">
        <v>142</v>
      </c>
      <c r="B34">
        <f>'Railroad Loading'!C49</f>
        <v>3273.0043075720805</v>
      </c>
      <c r="C34" t="s">
        <v>88</v>
      </c>
      <c r="D34" t="str">
        <f>ROUND(B31*B32*B33*(B20/12^3)*B3,2)&amp;" = "&amp;ROUND(B31,2)&amp;"*"&amp;ROUND(B32,2)&amp;"*"&amp;ROUND(B33,2)&amp;"*("&amp;B20&amp;"/12^3)*"&amp;B3</f>
        <v>3273 = 3141.18*1.07*1.1*(120/12^3)*12.75</v>
      </c>
      <c r="E34">
        <f>B31*B32*B33*(B20/12^3)*B3</f>
        <v>3273.0043075720805</v>
      </c>
      <c r="M34" t="e" vm="1">
        <f>VLOOKUP(M30,Tables!A2:B12,2, FALSE)</f>
        <v>#VALUE!</v>
      </c>
    </row>
    <row r="36" spans="1:14">
      <c r="A36" t="s">
        <v>143</v>
      </c>
      <c r="B36" s="3">
        <f>'Railroad Loading'!C51</f>
        <v>1.7263922518159807</v>
      </c>
      <c r="G36" t="s">
        <v>219</v>
      </c>
    </row>
    <row r="38" spans="1:14">
      <c r="A38" t="s">
        <v>144</v>
      </c>
      <c r="B38" s="3">
        <f>'Railroad Loading'!C53</f>
        <v>1.1398774999999999</v>
      </c>
      <c r="G38" t="s">
        <v>220</v>
      </c>
    </row>
    <row r="39" spans="1:14">
      <c r="A39" t="s">
        <v>145</v>
      </c>
      <c r="B39" s="3">
        <f>'Railroad Loading'!C54</f>
        <v>441.03808503674605</v>
      </c>
      <c r="G39" t="s">
        <v>221</v>
      </c>
    </row>
    <row r="40" spans="1:14">
      <c r="A40" t="s">
        <v>146</v>
      </c>
      <c r="B40" s="3">
        <f>'Railroad Loading'!C55</f>
        <v>0.98524999999999996</v>
      </c>
      <c r="G40" t="s">
        <v>222</v>
      </c>
    </row>
    <row r="41" spans="1:14">
      <c r="A41" t="s">
        <v>147</v>
      </c>
      <c r="B41">
        <f>'Railroad Loading'!C56</f>
        <v>11885.980050483402</v>
      </c>
      <c r="C41" t="s">
        <v>88</v>
      </c>
      <c r="D41" t="str">
        <f>ROUND(B39*B40*B38*B36*B25,2)&amp;" = "&amp;ROUND(B39,2)&amp;"*"&amp;ROUND(B40,2)&amp;"*"&amp;ROUND(B38,2)&amp;"*"&amp;ROUND(B36,2)&amp;"*"&amp;B25</f>
        <v>11885.98 = 441.04*0.99*1.14*1.73*13.9</v>
      </c>
      <c r="E41">
        <f>B39*B40*B38*B36*B25</f>
        <v>11885.980050483402</v>
      </c>
    </row>
    <row r="42" spans="1:14">
      <c r="A42" t="s">
        <v>148</v>
      </c>
      <c r="B42" s="3">
        <f>'Railroad Loading'!C57</f>
        <v>1.0207290836653387</v>
      </c>
      <c r="G42" t="s">
        <v>223</v>
      </c>
    </row>
    <row r="43" spans="1:14">
      <c r="A43" t="s">
        <v>149</v>
      </c>
      <c r="B43" s="3">
        <f>'Railroad Loading'!C58</f>
        <v>464.98039215686276</v>
      </c>
      <c r="G43" t="s">
        <v>224</v>
      </c>
    </row>
    <row r="44" spans="1:14">
      <c r="A44" t="s">
        <v>150</v>
      </c>
      <c r="B44" s="3">
        <f>'Railroad Loading'!C59</f>
        <v>1.1100000000000001</v>
      </c>
      <c r="G44" t="s">
        <v>225</v>
      </c>
    </row>
    <row r="45" spans="1:14">
      <c r="A45" t="s">
        <v>151</v>
      </c>
      <c r="B45">
        <f>'Railroad Loading'!C60</f>
        <v>12642.192122436551</v>
      </c>
      <c r="C45" t="s">
        <v>88</v>
      </c>
      <c r="D45" t="str">
        <f>ROUND(B43*B44*B42*B36*B25,2)&amp;" = "&amp;ROUND(B43,2)&amp;"*"&amp;ROUND(B44,2)&amp;"*"&amp;ROUND(B42,2)&amp;"*"&amp;ROUND(B36,2)&amp;"*"&amp;B25</f>
        <v>12642.19 = 464.98*1.11*1.02*1.73*13.9</v>
      </c>
      <c r="E45">
        <f>B43*B44*B42*B36*B25</f>
        <v>12642.192122436551</v>
      </c>
    </row>
    <row r="47" spans="1:14">
      <c r="A47" t="s">
        <v>152</v>
      </c>
      <c r="B47">
        <f>'Railroad Loading'!C62</f>
        <v>20000</v>
      </c>
      <c r="C47" t="s">
        <v>88</v>
      </c>
      <c r="D47" t="str">
        <f>ROUND(B16*(B3-B4)/(2*B4),2)&amp;" = "&amp;B16&amp;"*("&amp;B3&amp;"-"&amp;B4&amp;")/(2*"&amp;B4&amp;")"</f>
        <v>20000 = 800*(12.75-0.25)/(2*0.25)</v>
      </c>
      <c r="E47">
        <f>B16*(B3-B4)/(2*B4)</f>
        <v>20000</v>
      </c>
    </row>
    <row r="48" spans="1:14">
      <c r="A48" t="s">
        <v>153</v>
      </c>
      <c r="B48">
        <f>'Railroad Loading'!C63</f>
        <v>35158.984358055481</v>
      </c>
      <c r="C48" t="s">
        <v>88</v>
      </c>
      <c r="D48" t="str">
        <f>ROUND(B34+B41+B47,2)&amp;" = "&amp;ROUND(B34,2)&amp;"+"&amp;ROUND(B41,2)&amp;"+"&amp;ROUND(B47,2)</f>
        <v>35158.98 = 3273+11885.98+20000</v>
      </c>
      <c r="E48">
        <f>B34+B41+B47</f>
        <v>35158.984358055481</v>
      </c>
    </row>
    <row r="49" spans="1:7">
      <c r="A49" t="s">
        <v>154</v>
      </c>
      <c r="B49">
        <f>'Railroad Loading'!C64</f>
        <v>19624.093414708175</v>
      </c>
      <c r="C49" t="s">
        <v>88</v>
      </c>
      <c r="D49" t="str">
        <f>ROUND(B45-B11*B13*(B23-B15)+B12*(B34+B47),2)&amp;" = "&amp;ROUND(B45,2)&amp;"-"&amp;B11&amp;"*"&amp;B13&amp;"*("&amp;B23&amp;"-"&amp;B15&amp;")+"&amp;B12&amp;"*("&amp;ROUND(B34,2)&amp;"+"&amp;ROUND(B47,2)&amp;")"</f>
        <v>19624.09 = 12642.19-30000000*0.0000065*(70-70)+0.3*(3273+20000)</v>
      </c>
      <c r="E49" s="183">
        <f>B45-B11*B13*(B23-B15)+B12*(B34+B47)</f>
        <v>19624.093414708175</v>
      </c>
    </row>
    <row r="50" spans="1:7">
      <c r="A50" t="s">
        <v>155</v>
      </c>
      <c r="B50">
        <f>'Railroad Loading'!C65</f>
        <v>-800</v>
      </c>
      <c r="C50" t="s">
        <v>88</v>
      </c>
      <c r="D50" t="str">
        <f>ROUND(-B16,2)&amp;" = -"&amp;B16</f>
        <v>-800 = -800</v>
      </c>
      <c r="E50">
        <f>-B16</f>
        <v>-800</v>
      </c>
    </row>
    <row r="51" spans="1:7">
      <c r="A51" t="s">
        <v>156</v>
      </c>
      <c r="B51">
        <f>'Railroad Loading'!C66</f>
        <v>31237.197253413266</v>
      </c>
      <c r="C51" t="s">
        <v>88</v>
      </c>
      <c r="D51" t="str">
        <f>ROUND(SQRT(0.5*((B48-B49)^2+(B49-B50)^2+(B50-B48)^2)),2)&amp;" = SQRT(0.5*(("&amp;ROUND(B48,2)&amp;"-"&amp;ROUND(B49,2)&amp;")^2+("&amp;ROUND(B49,2)&amp;"-"&amp;ROUND(B50,2)&amp;")^2+("&amp;ROUND(B50,2)&amp;"-"&amp;ROUND(B48,2)&amp;")^2))"</f>
        <v>31237.2 = SQRT(0.5*((35158.98-19624.09)^2+(19624.09--800)^2+(-800-35158.98)^2))</v>
      </c>
      <c r="E51">
        <f>SQRT(0.5*((B48-B49)^2+(B49-B50)^2+(B50-B48)^2))</f>
        <v>31237.197253413266</v>
      </c>
    </row>
    <row r="54" spans="1:7">
      <c r="A54" t="s">
        <v>157</v>
      </c>
      <c r="B54">
        <f>'Railroad Loading'!C69</f>
        <v>30240</v>
      </c>
      <c r="C54" t="s">
        <v>88</v>
      </c>
      <c r="D54" t="str">
        <f>ROUND(B5*B7,2)&amp;" = "&amp;B5&amp;"*"&amp;B7</f>
        <v>30240 = 42000*0.72</v>
      </c>
      <c r="E54">
        <f>B5*B7</f>
        <v>30240</v>
      </c>
    </row>
    <row r="56" spans="1:7">
      <c r="A56" t="s">
        <v>158</v>
      </c>
      <c r="B56" s="3">
        <f>'Railroad Loading'!C71</f>
        <v>12000</v>
      </c>
      <c r="G56" t="s">
        <v>226</v>
      </c>
    </row>
    <row r="57" spans="1:7">
      <c r="A57" t="s">
        <v>159</v>
      </c>
      <c r="B57" s="3">
        <f>'Railroad Loading'!C72</f>
        <v>21000</v>
      </c>
      <c r="G57" t="s">
        <v>227</v>
      </c>
    </row>
    <row r="58" spans="1:7">
      <c r="A58" t="s">
        <v>160</v>
      </c>
      <c r="B58">
        <f>'Railroad Loading'!C73</f>
        <v>8640</v>
      </c>
      <c r="C58" t="s">
        <v>88</v>
      </c>
      <c r="D58" t="str">
        <f>ROUND(B56*B7,2)&amp;" = "&amp;B56&amp;"*"&amp;B7</f>
        <v>8640 = 12000*0.72</v>
      </c>
      <c r="E58">
        <f>B56*B7</f>
        <v>8640</v>
      </c>
    </row>
    <row r="59" spans="1:7">
      <c r="A59" t="s">
        <v>161</v>
      </c>
      <c r="B59">
        <f>'Railroad Loading'!C74</f>
        <v>15120</v>
      </c>
      <c r="C59" t="s">
        <v>88</v>
      </c>
      <c r="D59" t="str">
        <f>ROUND(B57*B7,2)&amp;" = "&amp;B57&amp;"*"&amp;B7</f>
        <v>15120 = 21000*0.72</v>
      </c>
      <c r="E59">
        <f>B57*B7</f>
        <v>15120</v>
      </c>
    </row>
    <row r="62" spans="1:7">
      <c r="A62" s="2" t="s">
        <v>163</v>
      </c>
      <c r="B62" s="2" t="str">
        <f>'Railroad Loading'!C77</f>
        <v>Calculated (psi)</v>
      </c>
      <c r="C62" s="2" t="s">
        <v>165</v>
      </c>
      <c r="D62" s="2" t="s">
        <v>166</v>
      </c>
      <c r="E62" s="2"/>
    </row>
    <row r="63" spans="1:7">
      <c r="A63" t="s">
        <v>86</v>
      </c>
      <c r="B63">
        <f>'Railroad Loading'!C78</f>
        <v>20400</v>
      </c>
      <c r="C63">
        <f>B29</f>
        <v>30240</v>
      </c>
      <c r="D63" t="str">
        <f>IF(B63&gt;=C63, "Fail", "Pass")</f>
        <v>Pass</v>
      </c>
    </row>
    <row r="64" spans="1:7">
      <c r="A64" t="s">
        <v>89</v>
      </c>
      <c r="B64">
        <f>'Railroad Loading'!C79</f>
        <v>31237.197253413266</v>
      </c>
      <c r="C64">
        <f>B54</f>
        <v>30240</v>
      </c>
      <c r="D64" t="str">
        <f t="shared" ref="D64:D66" si="0">IF(B64&gt;=C64, "Fail", "Pass")</f>
        <v>Fail</v>
      </c>
    </row>
    <row r="65" spans="1:4">
      <c r="A65" t="s">
        <v>167</v>
      </c>
      <c r="B65">
        <f>'Railroad Loading'!C80</f>
        <v>12385.453030337561</v>
      </c>
      <c r="C65">
        <f>B58</f>
        <v>8640</v>
      </c>
      <c r="D65" t="str">
        <f t="shared" si="0"/>
        <v>Fail</v>
      </c>
    </row>
    <row r="66" spans="1:4">
      <c r="A66" t="s">
        <v>168</v>
      </c>
      <c r="B66">
        <f>'Railroad Loading'!C81</f>
        <v>10427.418780073651</v>
      </c>
      <c r="C66">
        <f>B59</f>
        <v>15120</v>
      </c>
      <c r="D66" t="str">
        <f t="shared" si="0"/>
        <v>Pass</v>
      </c>
    </row>
    <row r="68" spans="1:4">
      <c r="B68" s="203" t="s">
        <v>228</v>
      </c>
      <c r="C68" s="203"/>
    </row>
    <row r="69" spans="1:4">
      <c r="A69" t="s">
        <v>86</v>
      </c>
      <c r="B69" t="str">
        <f>ROUND(E28,2)&amp;" = "&amp;B16&amp;"*"&amp;B3&amp;"/(2*"&amp;B4&amp;")"</f>
        <v>20400 = 800*12.75/(2*0.25)</v>
      </c>
      <c r="C69" t="str">
        <f>ROUND(E29,2)&amp;" = "&amp;B7&amp;"*"&amp;B9&amp;"*"&amp;B14&amp;"*"&amp;B5</f>
        <v>30240 = 0.72*1*1*42000</v>
      </c>
    </row>
    <row r="70" spans="1:4">
      <c r="A70" t="s">
        <v>89</v>
      </c>
      <c r="B70" s="7" t="str">
        <f>ROUND(E51,2)&amp;" = SQRT(0.5*(("&amp;ROUND(B48,2)&amp;"-"&amp;ROUND(B49,2)&amp;")^2+("&amp;ROUND(B49,2)&amp;"-"&amp;ROUND(B50,2)&amp;")^2+("&amp;ROUND(B50,2)&amp;"-"&amp;ROUND(B48,2)&amp;")^2))"</f>
        <v>31237.2 = SQRT(0.5*((35158.98-19624.09)^2+(19624.09--800)^2+(-800-35158.98)^2))</v>
      </c>
      <c r="C70" t="str">
        <f>ROUND(E54,2)&amp;" = "&amp;B5&amp;"*"&amp;B7</f>
        <v>30240 = 42000*0.72</v>
      </c>
    </row>
    <row r="71" spans="1:4">
      <c r="A71" t="s">
        <v>167</v>
      </c>
      <c r="B71" t="str">
        <f>ROUND(E45,2)&amp;" = "&amp;ROUND(B43,2)&amp;"*"&amp;ROUND(B44,2)&amp;"*"&amp;ROUND(B42,2)&amp;"*"&amp;ROUND(B36,2)&amp;"*"&amp;B25</f>
        <v>12642.19 = 464.98*1.11*1.02*1.73*13.9</v>
      </c>
      <c r="C71" t="str">
        <f>ROUND(E58,2)&amp;" = "&amp;B56&amp;"*"&amp;B7</f>
        <v>8640 = 12000*0.72</v>
      </c>
    </row>
    <row r="72" spans="1:4">
      <c r="A72" t="s">
        <v>168</v>
      </c>
      <c r="B72" t="str">
        <f>ROUND(E41,2)&amp;" = "&amp;ROUND(B39,2)&amp;"*"&amp;ROUND(B40,2)&amp;"*"&amp;ROUND(B38,2)&amp;"*"&amp;ROUND(B36,2)&amp;"*"&amp;B25</f>
        <v>11885.98 = 441.04*0.99*1.14*1.73*13.9</v>
      </c>
      <c r="C72" t="str">
        <f>ROUND(E59,2)&amp;" = "&amp;B57&amp;"*"&amp;B7</f>
        <v>15120 = 21000*0.72</v>
      </c>
    </row>
    <row r="74" spans="1:4">
      <c r="B74" s="203" t="s">
        <v>212</v>
      </c>
      <c r="C74" s="203"/>
    </row>
    <row r="75" spans="1:4">
      <c r="A75" t="s">
        <v>86</v>
      </c>
      <c r="B75">
        <f>E28</f>
        <v>20400</v>
      </c>
      <c r="C75">
        <f>E29</f>
        <v>30240</v>
      </c>
    </row>
    <row r="76" spans="1:4">
      <c r="A76" t="s">
        <v>89</v>
      </c>
      <c r="B76" s="7">
        <f>E51</f>
        <v>31237.197253413266</v>
      </c>
      <c r="C76">
        <f>E54</f>
        <v>30240</v>
      </c>
    </row>
    <row r="77" spans="1:4">
      <c r="A77" t="s">
        <v>167</v>
      </c>
      <c r="B77">
        <f>E45</f>
        <v>12642.192122436551</v>
      </c>
      <c r="C77">
        <f>E58</f>
        <v>8640</v>
      </c>
    </row>
    <row r="78" spans="1:4">
      <c r="A78" t="s">
        <v>168</v>
      </c>
      <c r="B78">
        <f>E41</f>
        <v>11885.980050483402</v>
      </c>
      <c r="C78">
        <f>E59</f>
        <v>15120</v>
      </c>
    </row>
    <row r="79" spans="1:4" ht="15" customHeight="1"/>
    <row r="81" spans="1:7" ht="15" hidden="1" customHeight="1"/>
    <row r="82" spans="1:7" hidden="1"/>
    <row r="83" spans="1:7" ht="15" hidden="1" thickBot="1">
      <c r="A83" s="201" t="s">
        <v>229</v>
      </c>
      <c r="B83" s="213"/>
      <c r="C83" s="213"/>
      <c r="D83" s="202"/>
      <c r="F83" s="214" t="s">
        <v>230</v>
      </c>
      <c r="G83" s="215"/>
    </row>
    <row r="84" spans="1:7" hidden="1">
      <c r="A84" s="11" t="s">
        <v>231</v>
      </c>
      <c r="B84" s="11" t="s">
        <v>232</v>
      </c>
      <c r="C84" s="11">
        <f>B18</f>
        <v>200</v>
      </c>
      <c r="D84" s="11" t="s">
        <v>88</v>
      </c>
      <c r="F84" s="11" t="str" cm="1">
        <f t="array" ref="F84">IF(IFERROR(INDEX(B$84:B$101, SMALL(IF($M$30=$A$84:$A$101, ROW($A$84:$A$101)-ROW($A$84)+1), ROW(1:1))),"")=0, "", IFERROR(INDEX(B$84:B$101, SMALL(IF($M$30=$A$84:$A$101, ROW($A$84:$A$101)-ROW($A$84)+1), ROW(1:1))),""))</f>
        <v>H/Bd</v>
      </c>
      <c r="G84" s="11" t="str" cm="1">
        <f t="array" ref="G84">IF(IFERROR(INDEX(D$84:D$101, SMALL(IF($M$30=$A$84:$A$101, ROW($A$84:$A$101)-ROW($A$84)+1), ROW(1:1))),"")=0, "", IFERROR(INDEX(D$84:D$101, SMALL(IF($M$30=$A$84:$A$101, ROW($A$84:$A$101)-ROW($A$84)+1), ROW(1:1))),""))</f>
        <v/>
      </c>
    </row>
    <row r="85" spans="1:7" hidden="1">
      <c r="A85" s="10" t="s">
        <v>231</v>
      </c>
      <c r="B85" s="10" t="s">
        <v>170</v>
      </c>
      <c r="C85" s="10">
        <f>B4/B3</f>
        <v>1.9607843137254902E-2</v>
      </c>
      <c r="D85" s="10" t="s">
        <v>233</v>
      </c>
      <c r="F85" s="11" t="str" cm="1">
        <f t="array" ref="F85">IF(IFERROR(INDEX(B$84:B$101, SMALL(IF($M$30=$A$84:$A$101, ROW($A$84:$A$101)-ROW($A$84)+1), ROW(2:2))),"")=0, "", IFERROR(INDEX(B$84:B$101, SMALL(IF($M$30=$A$84:$A$101, ROW($A$84:$A$101)-ROW($A$84)+1), ROW(2:2))),""))</f>
        <v/>
      </c>
      <c r="G85" s="11" t="str" cm="1">
        <f t="array" ref="G85">IF(IFERROR(INDEX(D$84:D$101, SMALL(IF($M$30=$A$84:$A$101, ROW($A$84:$A$101)-ROW($A$84)+1), ROW(2:2))),"")=0, "", IFERROR(INDEX(D$84:D$101, SMALL(IF($M$30=$A$84:$A$101, ROW($A$84:$A$101)-ROW($A$84)+1), ROW(2:2))),""))</f>
        <v/>
      </c>
    </row>
    <row r="86" spans="1:7" hidden="1">
      <c r="A86" s="10" t="s">
        <v>214</v>
      </c>
      <c r="B86" s="10" t="s">
        <v>171</v>
      </c>
      <c r="C86" s="10">
        <f>B21*12/B22</f>
        <v>4.8648648648648649</v>
      </c>
      <c r="D86" s="10"/>
    </row>
    <row r="87" spans="1:7" hidden="1">
      <c r="A87" s="10" t="s">
        <v>234</v>
      </c>
      <c r="B87" s="10" t="s">
        <v>172</v>
      </c>
      <c r="C87" s="10">
        <f>B22/B3</f>
        <v>1.1607843137254903</v>
      </c>
      <c r="D87" s="10"/>
    </row>
    <row r="88" spans="1:7" hidden="1">
      <c r="A88" s="10" t="s">
        <v>188</v>
      </c>
      <c r="B88" s="10" t="s">
        <v>235</v>
      </c>
      <c r="C88" s="10">
        <f>B21</f>
        <v>6</v>
      </c>
      <c r="D88" s="10" t="s">
        <v>127</v>
      </c>
    </row>
    <row r="89" spans="1:7" hidden="1">
      <c r="A89" s="10" t="s">
        <v>236</v>
      </c>
      <c r="B89" s="10" t="s">
        <v>235</v>
      </c>
      <c r="C89" s="10">
        <f>B21</f>
        <v>6</v>
      </c>
      <c r="D89" s="10" t="s">
        <v>127</v>
      </c>
    </row>
    <row r="90" spans="1:7" hidden="1">
      <c r="A90" s="10" t="s">
        <v>236</v>
      </c>
      <c r="B90" s="10" t="s">
        <v>237</v>
      </c>
      <c r="C90" s="10">
        <f>B3</f>
        <v>12.75</v>
      </c>
      <c r="D90" s="10" t="s">
        <v>98</v>
      </c>
    </row>
    <row r="91" spans="1:7" hidden="1">
      <c r="A91" s="10" t="s">
        <v>238</v>
      </c>
      <c r="B91" s="10" t="s">
        <v>239</v>
      </c>
      <c r="C91" s="10">
        <f>B19</f>
        <v>5000</v>
      </c>
      <c r="D91" s="10" t="s">
        <v>88</v>
      </c>
    </row>
    <row r="92" spans="1:7" hidden="1">
      <c r="A92" s="10" t="s">
        <v>238</v>
      </c>
      <c r="B92" s="10" t="s">
        <v>170</v>
      </c>
      <c r="C92" s="10">
        <f>B4/B3</f>
        <v>1.9607843137254902E-2</v>
      </c>
      <c r="D92" s="10"/>
    </row>
    <row r="93" spans="1:7" hidden="1">
      <c r="A93" s="10" t="s">
        <v>240</v>
      </c>
      <c r="B93" s="10" t="s">
        <v>235</v>
      </c>
      <c r="C93" s="10">
        <f>B21</f>
        <v>6</v>
      </c>
      <c r="D93" s="10" t="s">
        <v>127</v>
      </c>
    </row>
    <row r="94" spans="1:7" hidden="1">
      <c r="A94" s="10" t="s">
        <v>240</v>
      </c>
      <c r="B94" s="10" t="s">
        <v>237</v>
      </c>
      <c r="C94" s="10">
        <f>B3</f>
        <v>12.75</v>
      </c>
      <c r="D94" s="10" t="s">
        <v>98</v>
      </c>
    </row>
    <row r="95" spans="1:7" hidden="1">
      <c r="A95" s="10" t="s">
        <v>241</v>
      </c>
      <c r="B95" s="10" t="s">
        <v>235</v>
      </c>
      <c r="C95" s="10">
        <f>B21</f>
        <v>6</v>
      </c>
      <c r="D95" s="10" t="s">
        <v>127</v>
      </c>
    </row>
    <row r="96" spans="1:7" hidden="1">
      <c r="A96" s="10" t="s">
        <v>241</v>
      </c>
      <c r="B96" s="10" t="s">
        <v>237</v>
      </c>
      <c r="C96" s="10">
        <f>B3</f>
        <v>12.75</v>
      </c>
      <c r="D96" s="10" t="s">
        <v>98</v>
      </c>
    </row>
    <row r="97" spans="1:4" hidden="1">
      <c r="A97" s="10" t="s">
        <v>242</v>
      </c>
      <c r="B97" s="10" t="s">
        <v>239</v>
      </c>
      <c r="C97" s="10">
        <f>B19</f>
        <v>5000</v>
      </c>
      <c r="D97" s="10" t="s">
        <v>88</v>
      </c>
    </row>
    <row r="98" spans="1:4" hidden="1">
      <c r="A98" s="10" t="s">
        <v>242</v>
      </c>
      <c r="B98" s="10" t="s">
        <v>170</v>
      </c>
      <c r="C98" s="10">
        <f>B4/B3</f>
        <v>1.9607843137254902E-2</v>
      </c>
      <c r="D98" s="10"/>
    </row>
    <row r="99" spans="1:4" hidden="1">
      <c r="A99" s="10" t="s">
        <v>243</v>
      </c>
      <c r="B99" s="10" t="s">
        <v>235</v>
      </c>
      <c r="C99" s="10">
        <f>B21</f>
        <v>6</v>
      </c>
      <c r="D99" s="10" t="s">
        <v>127</v>
      </c>
    </row>
    <row r="100" spans="1:4" hidden="1">
      <c r="A100" s="10" t="s">
        <v>243</v>
      </c>
      <c r="B100" s="10" t="s">
        <v>237</v>
      </c>
      <c r="C100" s="10">
        <f>B3</f>
        <v>12.75</v>
      </c>
      <c r="D100" s="10" t="s">
        <v>98</v>
      </c>
    </row>
    <row r="101" spans="1:4" hidden="1">
      <c r="A101" s="10" t="s">
        <v>244</v>
      </c>
      <c r="B101" s="10" t="s">
        <v>101</v>
      </c>
      <c r="C101" s="10">
        <f>B5</f>
        <v>42000</v>
      </c>
      <c r="D101" s="10" t="s">
        <v>88</v>
      </c>
    </row>
    <row r="102" spans="1:4" hidden="1"/>
    <row r="103" spans="1:4" hidden="1"/>
    <row r="108" spans="1:4">
      <c r="A108" s="1" t="s">
        <v>49</v>
      </c>
    </row>
    <row r="109" spans="1:4">
      <c r="A109" t="s">
        <v>493</v>
      </c>
    </row>
    <row r="110" spans="1:4">
      <c r="A110" t="s">
        <v>245</v>
      </c>
    </row>
    <row r="111" spans="1:4">
      <c r="A111" t="s">
        <v>246</v>
      </c>
    </row>
    <row r="112" spans="1:4">
      <c r="A112" t="s">
        <v>247</v>
      </c>
    </row>
  </sheetData>
  <mergeCells count="5">
    <mergeCell ref="M30:O30"/>
    <mergeCell ref="B68:C68"/>
    <mergeCell ref="B74:C74"/>
    <mergeCell ref="A83:D83"/>
    <mergeCell ref="F83:G83"/>
  </mergeCells>
  <conditionalFormatting sqref="D63:E66">
    <cfRule type="containsText" dxfId="3" priority="1" operator="containsText" text="Pass">
      <formula>NOT(ISERROR(SEARCH("Pass",D63)))</formula>
    </cfRule>
    <cfRule type="containsText" dxfId="2" priority="2" operator="containsText" text="Fail">
      <formula>NOT(ISERROR(SEARCH("Fail",D63)))</formula>
    </cfRule>
    <cfRule type="containsText" dxfId="1" priority="3" operator="containsText" text="Fail">
      <formula>NOT(ISERROR(SEARCH("Fail",D63)))</formula>
    </cfRule>
    <cfRule type="containsText" dxfId="0" priority="4" operator="containsText" text="Pass">
      <formula>NOT(ISERROR(SEARCH("Pass",D63)))</formula>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7">
        <x14:dataValidation type="list" allowBlank="1" showInputMessage="1" showErrorMessage="1" xr:uid="{01453AFB-1D4A-4C57-B568-0AD5E03E6BF0}">
          <x14:formula1>
            <xm:f>Tables!$A$2:$A$12</xm:f>
          </x14:formula1>
          <xm:sqref>M30</xm:sqref>
        </x14:dataValidation>
        <x14:dataValidation type="list" allowBlank="1" showInputMessage="1" showErrorMessage="1" xr:uid="{8F08F16D-25DF-496C-B25A-968728076094}">
          <x14:formula1>
            <xm:f>'Railroad Loading'!$B$272:$B$277</xm:f>
          </x14:formula1>
          <xm:sqref>B17</xm:sqref>
        </x14:dataValidation>
        <x14:dataValidation type="list" allowBlank="1" showInputMessage="1" showErrorMessage="1" xr:uid="{47DB0968-35FE-4374-959F-4BC3981F5434}">
          <x14:formula1>
            <xm:f>'Railroad Loading'!$B$280:$B$283</xm:f>
          </x14:formula1>
          <xm:sqref>B6</xm:sqref>
        </x14:dataValidation>
        <x14:dataValidation type="list" allowBlank="1" showInputMessage="1" showErrorMessage="1" xr:uid="{26878404-D564-435B-9B2D-3B2C3F5C61CA}">
          <x14:formula1>
            <xm:f>'Railroad Loading'!$B$287:$B$294</xm:f>
          </x14:formula1>
          <xm:sqref>B8</xm:sqref>
        </x14:dataValidation>
        <x14:dataValidation type="list" allowBlank="1" showInputMessage="1" showErrorMessage="1" xr:uid="{E18DF588-5E6E-4B20-A5B2-A1B64AB7A496}">
          <x14:formula1>
            <xm:f>'Railroad Loading'!$B$299:$B$308</xm:f>
          </x14:formula1>
          <xm:sqref>B10</xm:sqref>
        </x14:dataValidation>
        <x14:dataValidation type="list" errorStyle="warning" allowBlank="1" showInputMessage="1" showErrorMessage="1" error="This is an atypical nominal pipe diameter." xr:uid="{8A1A8439-E68B-47A8-94E9-C7959056153E}">
          <x14:formula1>
            <xm:f>'Railroad Loading'!$B$312:$B$347</xm:f>
          </x14:formula1>
          <xm:sqref>B2</xm:sqref>
        </x14:dataValidation>
        <x14:dataValidation type="list" errorStyle="warning" allowBlank="1" showInputMessage="1" showErrorMessage="1" error="Not a common SMYS value." xr:uid="{05CD841F-35E2-45A5-A472-40D8A55D1DF0}">
          <x14:formula1>
            <xm:f>'Railroad Loading'!$B$361:$B$371</xm:f>
          </x14:formula1>
          <xm:sqref>B5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767F2-CA64-4D0D-B6FD-91EB1FBBDAB7}">
  <sheetPr codeName="Sheet8"/>
  <dimension ref="A1:H281"/>
  <sheetViews>
    <sheetView tabSelected="1" topLeftCell="A221" zoomScale="71" workbookViewId="0">
      <selection activeCell="R222" sqref="R222"/>
    </sheetView>
  </sheetViews>
  <sheetFormatPr defaultRowHeight="14.4"/>
  <cols>
    <col min="1" max="1" width="51.6640625" bestFit="1" customWidth="1"/>
    <col min="2" max="2" width="21.109375" bestFit="1" customWidth="1"/>
    <col min="3" max="3" width="19.33203125" bestFit="1" customWidth="1"/>
    <col min="4" max="4" width="37.44140625" bestFit="1" customWidth="1"/>
    <col min="5" max="5" width="10" bestFit="1" customWidth="1"/>
  </cols>
  <sheetData>
    <row r="1" spans="1:8">
      <c r="A1" s="5" t="s">
        <v>248</v>
      </c>
    </row>
    <row r="2" spans="1:8">
      <c r="A2" t="s">
        <v>231</v>
      </c>
      <c r="B2" t="e" vm="2">
        <v>#VALUE!</v>
      </c>
    </row>
    <row r="3" spans="1:8">
      <c r="A3" t="s">
        <v>214</v>
      </c>
      <c r="B3" t="e" vm="3">
        <v>#VALUE!</v>
      </c>
    </row>
    <row r="4" spans="1:8">
      <c r="A4" t="s">
        <v>234</v>
      </c>
      <c r="B4" t="e" vm="4">
        <v>#VALUE!</v>
      </c>
    </row>
    <row r="5" spans="1:8">
      <c r="A5" t="s">
        <v>188</v>
      </c>
      <c r="B5" t="e" vm="5">
        <v>#VALUE!</v>
      </c>
    </row>
    <row r="6" spans="1:8">
      <c r="A6" t="s">
        <v>236</v>
      </c>
      <c r="B6" s="4" t="e" vm="6">
        <v>#VALUE!</v>
      </c>
    </row>
    <row r="7" spans="1:8">
      <c r="A7" t="s">
        <v>238</v>
      </c>
      <c r="B7" t="e" vm="7">
        <v>#VALUE!</v>
      </c>
    </row>
    <row r="8" spans="1:8">
      <c r="A8" t="s">
        <v>240</v>
      </c>
      <c r="B8" t="e" vm="8">
        <v>#VALUE!</v>
      </c>
    </row>
    <row r="9" spans="1:8">
      <c r="A9" t="s">
        <v>241</v>
      </c>
      <c r="B9" t="e" vm="9">
        <v>#VALUE!</v>
      </c>
    </row>
    <row r="10" spans="1:8">
      <c r="A10" t="s">
        <v>242</v>
      </c>
      <c r="B10" t="e" vm="10">
        <v>#VALUE!</v>
      </c>
    </row>
    <row r="11" spans="1:8">
      <c r="A11" t="s">
        <v>243</v>
      </c>
      <c r="B11" t="e" vm="11">
        <v>#VALUE!</v>
      </c>
    </row>
    <row r="12" spans="1:8">
      <c r="A12" t="s">
        <v>244</v>
      </c>
      <c r="B12" t="e" vm="12">
        <v>#VALUE!</v>
      </c>
    </row>
    <row r="14" spans="1:8" ht="15" thickBot="1"/>
    <row r="15" spans="1:8" ht="15" thickBot="1">
      <c r="A15" s="219" t="s">
        <v>178</v>
      </c>
      <c r="B15" s="221"/>
      <c r="C15" s="221"/>
      <c r="D15" s="221"/>
      <c r="E15" s="221"/>
      <c r="F15" s="221"/>
      <c r="G15" s="221"/>
      <c r="H15" s="220"/>
    </row>
    <row r="16" spans="1:8" ht="15" thickBot="1">
      <c r="A16" s="219" t="s">
        <v>293</v>
      </c>
      <c r="B16" s="220"/>
      <c r="C16" s="219" t="s">
        <v>294</v>
      </c>
      <c r="D16" s="220"/>
      <c r="E16" s="219" t="s">
        <v>295</v>
      </c>
      <c r="F16" s="220"/>
      <c r="G16" s="219" t="s">
        <v>296</v>
      </c>
      <c r="H16" s="220"/>
    </row>
    <row r="17" spans="1:8" ht="15" thickBot="1">
      <c r="A17" s="82" t="s">
        <v>474</v>
      </c>
      <c r="B17" s="83" t="s">
        <v>475</v>
      </c>
      <c r="C17" s="82" t="s">
        <v>474</v>
      </c>
      <c r="D17" s="83" t="s">
        <v>475</v>
      </c>
      <c r="E17" s="82" t="s">
        <v>474</v>
      </c>
      <c r="F17" s="83" t="s">
        <v>475</v>
      </c>
      <c r="G17" s="82" t="s">
        <v>474</v>
      </c>
      <c r="H17" s="83" t="s">
        <v>475</v>
      </c>
    </row>
    <row r="18" spans="1:8">
      <c r="A18" s="11">
        <v>0</v>
      </c>
      <c r="B18" s="11">
        <v>11632</v>
      </c>
      <c r="C18" s="11">
        <v>0</v>
      </c>
      <c r="D18" s="11">
        <v>7625</v>
      </c>
      <c r="E18" s="11">
        <v>0</v>
      </c>
      <c r="F18" s="11">
        <v>5772</v>
      </c>
      <c r="G18" s="11">
        <v>0</v>
      </c>
      <c r="H18" s="11">
        <v>4443</v>
      </c>
    </row>
    <row r="19" spans="1:8">
      <c r="A19" s="10">
        <v>7.26E-3</v>
      </c>
      <c r="B19" s="10">
        <v>11632</v>
      </c>
      <c r="C19" s="10">
        <v>7.26E-3</v>
      </c>
      <c r="D19" s="10">
        <v>7625</v>
      </c>
      <c r="E19" s="10">
        <v>7.3800000000000003E-3</v>
      </c>
      <c r="F19" s="10">
        <v>5772</v>
      </c>
      <c r="G19" s="10">
        <v>7.26E-3</v>
      </c>
      <c r="H19" s="10">
        <v>4443</v>
      </c>
    </row>
    <row r="20" spans="1:8">
      <c r="A20" s="10">
        <v>8.1099999999999992E-3</v>
      </c>
      <c r="B20" s="10">
        <v>11632</v>
      </c>
      <c r="C20" s="10">
        <v>7.92E-3</v>
      </c>
      <c r="D20" s="10">
        <v>7625</v>
      </c>
      <c r="E20" s="10">
        <v>7.7499999999999999E-3</v>
      </c>
      <c r="F20" s="10">
        <v>5449</v>
      </c>
      <c r="G20" s="10">
        <v>7.7499999999999999E-3</v>
      </c>
      <c r="H20" s="10">
        <v>4000</v>
      </c>
    </row>
    <row r="21" spans="1:8">
      <c r="A21" s="10">
        <v>8.2500000000000004E-3</v>
      </c>
      <c r="B21" s="10">
        <v>11338</v>
      </c>
      <c r="C21" s="10">
        <v>8.2500000000000004E-3</v>
      </c>
      <c r="D21" s="10">
        <v>7286</v>
      </c>
      <c r="E21" s="10">
        <v>8.2500000000000004E-3</v>
      </c>
      <c r="F21" s="10">
        <v>5175</v>
      </c>
      <c r="G21" s="10">
        <v>8.2500000000000004E-3</v>
      </c>
      <c r="H21" s="10">
        <v>3804</v>
      </c>
    </row>
    <row r="22" spans="1:8">
      <c r="A22" s="10">
        <v>0.01</v>
      </c>
      <c r="B22" s="10">
        <v>8552</v>
      </c>
      <c r="C22" s="10">
        <v>0.01</v>
      </c>
      <c r="D22" s="10">
        <v>6280</v>
      </c>
      <c r="E22" s="10">
        <v>0.01</v>
      </c>
      <c r="F22" s="10">
        <v>4499</v>
      </c>
      <c r="G22" s="10">
        <v>0.01</v>
      </c>
      <c r="H22" s="10">
        <v>3208</v>
      </c>
    </row>
    <row r="23" spans="1:8">
      <c r="A23" s="10">
        <v>1.2500000000000001E-2</v>
      </c>
      <c r="B23" s="10">
        <v>6564</v>
      </c>
      <c r="C23" s="10">
        <v>1.2500000000000001E-2</v>
      </c>
      <c r="D23" s="10">
        <v>5374</v>
      </c>
      <c r="E23" s="10">
        <v>1.2500000000000001E-2</v>
      </c>
      <c r="F23" s="10">
        <v>3882</v>
      </c>
      <c r="G23" s="10">
        <v>1.2500000000000001E-2</v>
      </c>
      <c r="H23" s="10">
        <v>2777</v>
      </c>
    </row>
    <row r="24" spans="1:8">
      <c r="A24" s="10">
        <v>1.4999999999999999E-2</v>
      </c>
      <c r="B24" s="10">
        <v>4873</v>
      </c>
      <c r="C24" s="10">
        <v>1.4999999999999999E-2</v>
      </c>
      <c r="D24" s="10">
        <v>4305</v>
      </c>
      <c r="E24" s="10">
        <v>1.4999999999999999E-2</v>
      </c>
      <c r="F24" s="10">
        <v>3261</v>
      </c>
      <c r="G24" s="10">
        <v>1.4999999999999999E-2</v>
      </c>
      <c r="H24" s="10">
        <v>2404</v>
      </c>
    </row>
    <row r="25" spans="1:8">
      <c r="A25" s="10">
        <v>1.7500000000000002E-2</v>
      </c>
      <c r="B25" s="10">
        <v>3900</v>
      </c>
      <c r="C25" s="10">
        <v>1.7500000000000002E-2</v>
      </c>
      <c r="D25" s="10">
        <v>3476</v>
      </c>
      <c r="E25" s="10">
        <v>1.7500000000000002E-2</v>
      </c>
      <c r="F25" s="10">
        <v>2791</v>
      </c>
      <c r="G25" s="10">
        <v>1.7500000000000002E-2</v>
      </c>
      <c r="H25" s="10">
        <v>2145</v>
      </c>
    </row>
    <row r="26" spans="1:8">
      <c r="A26" s="10">
        <v>0.02</v>
      </c>
      <c r="B26" s="10">
        <v>3000</v>
      </c>
      <c r="C26" s="10">
        <v>0.02</v>
      </c>
      <c r="D26" s="10">
        <v>2663</v>
      </c>
      <c r="E26" s="10">
        <v>0.02</v>
      </c>
      <c r="F26" s="10">
        <v>2292</v>
      </c>
      <c r="G26" s="10">
        <v>0.02</v>
      </c>
      <c r="H26" s="10">
        <v>1852</v>
      </c>
    </row>
    <row r="27" spans="1:8">
      <c r="A27" s="10">
        <v>2.5000000000000001E-2</v>
      </c>
      <c r="B27" s="10">
        <v>1781</v>
      </c>
      <c r="C27" s="10">
        <v>2.5000000000000001E-2</v>
      </c>
      <c r="D27" s="10">
        <v>1642</v>
      </c>
      <c r="E27" s="10">
        <v>2.5000000000000001E-2</v>
      </c>
      <c r="F27" s="10">
        <v>1545</v>
      </c>
      <c r="G27" s="10">
        <v>2.5000000000000001E-2</v>
      </c>
      <c r="H27" s="10">
        <v>1387</v>
      </c>
    </row>
    <row r="28" spans="1:8">
      <c r="A28" s="10">
        <v>0.03</v>
      </c>
      <c r="B28" s="10">
        <v>1153</v>
      </c>
      <c r="C28" s="10">
        <v>0.03</v>
      </c>
      <c r="D28" s="10">
        <v>1077</v>
      </c>
      <c r="E28" s="10">
        <v>0.03</v>
      </c>
      <c r="F28" s="10">
        <v>1066</v>
      </c>
      <c r="G28" s="10">
        <v>0.03</v>
      </c>
      <c r="H28" s="10">
        <v>1000</v>
      </c>
    </row>
    <row r="29" spans="1:8">
      <c r="A29" s="10">
        <v>3.5000000000000003E-2</v>
      </c>
      <c r="B29" s="10">
        <v>819</v>
      </c>
      <c r="C29" s="10">
        <v>3.5000000000000003E-2</v>
      </c>
      <c r="D29" s="10">
        <v>819</v>
      </c>
      <c r="E29" s="10">
        <v>3.5000000000000003E-2</v>
      </c>
      <c r="F29" s="10">
        <v>819</v>
      </c>
      <c r="G29" s="10">
        <v>3.5000000000000003E-2</v>
      </c>
      <c r="H29" s="10">
        <v>819</v>
      </c>
    </row>
    <row r="30" spans="1:8">
      <c r="A30" s="10">
        <v>0.04</v>
      </c>
      <c r="B30" s="10">
        <v>642</v>
      </c>
      <c r="C30" s="10">
        <v>0.04</v>
      </c>
      <c r="D30" s="10">
        <v>642</v>
      </c>
      <c r="E30" s="10">
        <v>0.04</v>
      </c>
      <c r="F30" s="10">
        <v>642</v>
      </c>
      <c r="G30" s="10">
        <v>0.04</v>
      </c>
      <c r="H30" s="10">
        <v>642</v>
      </c>
    </row>
    <row r="31" spans="1:8">
      <c r="A31" s="10">
        <v>4.4999999999999998E-2</v>
      </c>
      <c r="B31" s="10">
        <v>525</v>
      </c>
      <c r="C31" s="10">
        <v>4.4999999999999998E-2</v>
      </c>
      <c r="D31" s="10">
        <v>525</v>
      </c>
      <c r="E31" s="10">
        <v>4.4999999999999998E-2</v>
      </c>
      <c r="F31" s="10">
        <v>525</v>
      </c>
      <c r="G31" s="10">
        <v>4.4999999999999998E-2</v>
      </c>
      <c r="H31" s="10">
        <v>525</v>
      </c>
    </row>
    <row r="32" spans="1:8">
      <c r="A32" s="10">
        <v>0.05</v>
      </c>
      <c r="B32" s="10">
        <v>460</v>
      </c>
      <c r="C32" s="10">
        <v>0.05</v>
      </c>
      <c r="D32" s="10">
        <v>460</v>
      </c>
      <c r="E32" s="10">
        <v>0.05</v>
      </c>
      <c r="F32" s="10">
        <v>460</v>
      </c>
      <c r="G32" s="10">
        <v>0.05</v>
      </c>
      <c r="H32" s="10">
        <v>460</v>
      </c>
    </row>
    <row r="33" spans="1:8">
      <c r="A33" s="10">
        <v>5.5E-2</v>
      </c>
      <c r="B33" s="10">
        <v>393</v>
      </c>
      <c r="C33" s="10">
        <v>5.5E-2</v>
      </c>
      <c r="D33" s="10">
        <v>393</v>
      </c>
      <c r="E33" s="10">
        <v>5.5E-2</v>
      </c>
      <c r="F33" s="10">
        <v>393</v>
      </c>
      <c r="G33" s="10">
        <v>5.5E-2</v>
      </c>
      <c r="H33" s="10">
        <v>393</v>
      </c>
    </row>
    <row r="34" spans="1:8">
      <c r="A34" s="10">
        <v>0.06</v>
      </c>
      <c r="B34" s="10">
        <v>335</v>
      </c>
      <c r="C34" s="10">
        <v>0.06</v>
      </c>
      <c r="D34" s="10">
        <v>335</v>
      </c>
      <c r="E34" s="10">
        <v>0.06</v>
      </c>
      <c r="F34" s="10">
        <v>335</v>
      </c>
      <c r="G34" s="10">
        <v>0.06</v>
      </c>
      <c r="H34" s="10">
        <v>335</v>
      </c>
    </row>
    <row r="35" spans="1:8">
      <c r="A35" s="10">
        <v>6.5000000000000002E-2</v>
      </c>
      <c r="B35" s="10">
        <v>273</v>
      </c>
      <c r="C35" s="10">
        <v>6.5000000000000002E-2</v>
      </c>
      <c r="D35" s="10">
        <v>273</v>
      </c>
      <c r="E35" s="10">
        <v>6.5000000000000002E-2</v>
      </c>
      <c r="F35" s="10">
        <v>273</v>
      </c>
      <c r="G35" s="10">
        <v>6.5000000000000002E-2</v>
      </c>
      <c r="H35" s="10">
        <v>273</v>
      </c>
    </row>
    <row r="36" spans="1:8">
      <c r="A36" s="10">
        <v>7.0000000000000007E-2</v>
      </c>
      <c r="B36" s="10">
        <v>207</v>
      </c>
      <c r="C36" s="10">
        <v>7.0000000000000007E-2</v>
      </c>
      <c r="D36" s="10">
        <v>207</v>
      </c>
      <c r="E36" s="10">
        <v>7.0000000000000007E-2</v>
      </c>
      <c r="F36" s="10">
        <v>207</v>
      </c>
      <c r="G36" s="10">
        <v>7.0000000000000007E-2</v>
      </c>
      <c r="H36" s="10">
        <v>207</v>
      </c>
    </row>
    <row r="37" spans="1:8">
      <c r="A37" s="10">
        <v>7.4999999999999997E-2</v>
      </c>
      <c r="B37" s="10">
        <v>143</v>
      </c>
      <c r="C37" s="10">
        <v>7.4999999999999997E-2</v>
      </c>
      <c r="D37" s="10">
        <v>143</v>
      </c>
      <c r="E37" s="10">
        <v>7.4999999999999997E-2</v>
      </c>
      <c r="F37" s="10">
        <v>143</v>
      </c>
      <c r="G37" s="10">
        <v>7.4999999999999997E-2</v>
      </c>
      <c r="H37" s="10">
        <v>143</v>
      </c>
    </row>
    <row r="38" spans="1:8">
      <c r="A38" s="10">
        <v>0.08</v>
      </c>
      <c r="B38" s="10">
        <v>88</v>
      </c>
      <c r="C38" s="10">
        <v>0.08</v>
      </c>
      <c r="D38" s="10">
        <v>88</v>
      </c>
      <c r="E38" s="10">
        <v>0.08</v>
      </c>
      <c r="F38" s="10">
        <v>88</v>
      </c>
      <c r="G38" s="10">
        <v>0.08</v>
      </c>
      <c r="H38" s="10">
        <v>88</v>
      </c>
    </row>
    <row r="39" spans="1:8">
      <c r="A39" s="10">
        <v>5</v>
      </c>
      <c r="B39" s="10">
        <v>88</v>
      </c>
      <c r="C39" s="10">
        <v>5</v>
      </c>
      <c r="D39" s="10">
        <v>88</v>
      </c>
      <c r="E39" s="10">
        <v>5</v>
      </c>
      <c r="F39" s="10">
        <v>88</v>
      </c>
      <c r="G39" s="10">
        <v>5</v>
      </c>
      <c r="H39" s="10">
        <v>88</v>
      </c>
    </row>
    <row r="40" spans="1:8" ht="15" thickBot="1"/>
    <row r="41" spans="1:8" ht="15" thickBot="1">
      <c r="A41" s="216" t="s">
        <v>297</v>
      </c>
      <c r="B41" s="217"/>
      <c r="C41" s="217"/>
      <c r="D41" s="218"/>
    </row>
    <row r="42" spans="1:8" ht="15" thickBot="1">
      <c r="A42" s="219" t="s">
        <v>298</v>
      </c>
      <c r="B42" s="221"/>
      <c r="C42" s="221" t="s">
        <v>299</v>
      </c>
      <c r="D42" s="220"/>
    </row>
    <row r="43" spans="1:8">
      <c r="A43" s="11" t="s">
        <v>476</v>
      </c>
      <c r="B43" s="11" t="s">
        <v>477</v>
      </c>
      <c r="C43" s="11" t="s">
        <v>476</v>
      </c>
      <c r="D43" s="11" t="s">
        <v>477</v>
      </c>
    </row>
    <row r="44" spans="1:8">
      <c r="A44" s="10">
        <v>0</v>
      </c>
      <c r="B44" s="10">
        <v>0</v>
      </c>
      <c r="C44" s="10">
        <v>0</v>
      </c>
      <c r="D44" s="10">
        <v>0</v>
      </c>
    </row>
    <row r="45" spans="1:8">
      <c r="A45" s="10">
        <v>1</v>
      </c>
      <c r="B45" s="10">
        <v>0.32100000000000001</v>
      </c>
      <c r="C45" s="10">
        <v>1</v>
      </c>
      <c r="D45" s="10">
        <v>0.32100000000000001</v>
      </c>
    </row>
    <row r="46" spans="1:8">
      <c r="A46" s="10">
        <v>2</v>
      </c>
      <c r="B46" s="10">
        <v>0.64400000000000002</v>
      </c>
      <c r="C46" s="10">
        <v>2</v>
      </c>
      <c r="D46" s="10">
        <v>0.63100000000000001</v>
      </c>
    </row>
    <row r="47" spans="1:8">
      <c r="A47" s="10">
        <v>3</v>
      </c>
      <c r="B47" s="10">
        <v>0.84399999999999997</v>
      </c>
      <c r="C47" s="10">
        <v>3</v>
      </c>
      <c r="D47" s="10">
        <v>0.77600000000000002</v>
      </c>
    </row>
    <row r="48" spans="1:8">
      <c r="A48" s="10">
        <v>4</v>
      </c>
      <c r="B48" s="10">
        <v>0.98299999999999998</v>
      </c>
      <c r="C48" s="10">
        <v>4</v>
      </c>
      <c r="D48" s="10">
        <v>0.89300000000000002</v>
      </c>
    </row>
    <row r="49" spans="1:4">
      <c r="A49" s="10">
        <v>5</v>
      </c>
      <c r="B49" s="10">
        <v>1.077</v>
      </c>
      <c r="C49" s="10">
        <v>5</v>
      </c>
      <c r="D49" s="10">
        <v>0.96399999999999997</v>
      </c>
    </row>
    <row r="50" spans="1:4">
      <c r="A50" s="10">
        <v>6</v>
      </c>
      <c r="B50" s="10">
        <v>1.1619999999999999</v>
      </c>
      <c r="C50" s="10">
        <v>6</v>
      </c>
      <c r="D50" s="10">
        <v>1.032</v>
      </c>
    </row>
    <row r="51" spans="1:4">
      <c r="A51" s="10">
        <v>7</v>
      </c>
      <c r="B51" s="10">
        <v>1.2150000000000001</v>
      </c>
      <c r="C51" s="10">
        <v>7</v>
      </c>
      <c r="D51" s="10">
        <v>1.071</v>
      </c>
    </row>
    <row r="52" spans="1:4">
      <c r="A52" s="10">
        <v>8</v>
      </c>
      <c r="B52" s="10">
        <v>1.26</v>
      </c>
      <c r="C52" s="10">
        <v>8</v>
      </c>
      <c r="D52" s="10">
        <v>1.1080000000000001</v>
      </c>
    </row>
    <row r="53" spans="1:4">
      <c r="A53" s="10">
        <v>9</v>
      </c>
      <c r="B53" s="10">
        <v>1.2949999999999999</v>
      </c>
      <c r="C53" s="10">
        <v>9</v>
      </c>
      <c r="D53" s="10">
        <v>1.133</v>
      </c>
    </row>
    <row r="54" spans="1:4">
      <c r="A54" s="10">
        <v>10</v>
      </c>
      <c r="B54" s="10">
        <v>1.325</v>
      </c>
      <c r="C54" s="10">
        <v>10</v>
      </c>
      <c r="D54" s="10">
        <v>1.1519999999999999</v>
      </c>
    </row>
    <row r="55" spans="1:4">
      <c r="A55" s="10">
        <v>11</v>
      </c>
      <c r="B55" s="10">
        <v>1.3420000000000001</v>
      </c>
      <c r="C55" s="10">
        <v>11</v>
      </c>
      <c r="D55" s="10">
        <v>1.1639999999999999</v>
      </c>
    </row>
    <row r="56" spans="1:4">
      <c r="A56" s="10">
        <v>12</v>
      </c>
      <c r="B56" s="10">
        <v>1.3560000000000001</v>
      </c>
      <c r="C56" s="10">
        <v>12</v>
      </c>
      <c r="D56" s="10">
        <v>1.1719999999999999</v>
      </c>
    </row>
    <row r="57" spans="1:4">
      <c r="A57" s="10">
        <v>13</v>
      </c>
      <c r="B57" s="10">
        <v>1.363</v>
      </c>
      <c r="C57" s="10">
        <v>13</v>
      </c>
      <c r="D57" s="10">
        <v>1.173</v>
      </c>
    </row>
    <row r="58" spans="1:4">
      <c r="A58" s="10">
        <v>14</v>
      </c>
      <c r="B58" s="10">
        <v>1.3640000000000001</v>
      </c>
      <c r="C58" s="10">
        <v>14</v>
      </c>
      <c r="D58" s="10">
        <v>1.173</v>
      </c>
    </row>
    <row r="59" spans="1:4">
      <c r="A59" s="10">
        <v>15</v>
      </c>
      <c r="B59" s="10">
        <v>1.3640000000000001</v>
      </c>
      <c r="C59" s="10">
        <v>15</v>
      </c>
      <c r="D59" s="10">
        <v>1.173</v>
      </c>
    </row>
    <row r="60" spans="1:4">
      <c r="A60" s="10">
        <v>16</v>
      </c>
      <c r="B60" s="10">
        <v>1.3640000000000001</v>
      </c>
      <c r="C60" s="10">
        <v>16</v>
      </c>
      <c r="D60" s="10">
        <v>1.173</v>
      </c>
    </row>
    <row r="61" spans="1:4">
      <c r="A61" s="10">
        <v>17</v>
      </c>
      <c r="B61" s="10">
        <v>1.3640000000000001</v>
      </c>
      <c r="C61" s="10">
        <v>17</v>
      </c>
      <c r="D61" s="10">
        <v>1.173</v>
      </c>
    </row>
    <row r="62" spans="1:4">
      <c r="A62" s="10">
        <v>18</v>
      </c>
      <c r="B62" s="10">
        <v>1.3640000000000001</v>
      </c>
      <c r="C62" s="10">
        <v>18</v>
      </c>
      <c r="D62" s="10">
        <v>1.173</v>
      </c>
    </row>
    <row r="63" spans="1:4">
      <c r="A63" s="10">
        <v>19</v>
      </c>
      <c r="B63" s="10">
        <v>1.3640000000000001</v>
      </c>
      <c r="C63" s="10">
        <v>19</v>
      </c>
      <c r="D63" s="10">
        <v>1.173</v>
      </c>
    </row>
    <row r="64" spans="1:4">
      <c r="A64" s="10">
        <v>20</v>
      </c>
      <c r="B64" s="10">
        <v>1.3640000000000001</v>
      </c>
      <c r="C64" s="10">
        <v>20</v>
      </c>
      <c r="D64" s="10">
        <v>1.173</v>
      </c>
    </row>
    <row r="65" spans="1:4">
      <c r="A65" s="10">
        <v>21</v>
      </c>
      <c r="B65" s="10">
        <v>1.3640000000000001</v>
      </c>
      <c r="C65" s="10">
        <v>21</v>
      </c>
      <c r="D65" s="10">
        <v>1.173</v>
      </c>
    </row>
    <row r="66" spans="1:4">
      <c r="A66" s="10">
        <v>22</v>
      </c>
      <c r="B66" s="10">
        <v>1.3640000000000001</v>
      </c>
      <c r="C66" s="10">
        <v>22</v>
      </c>
      <c r="D66" s="10">
        <v>1.173</v>
      </c>
    </row>
    <row r="67" spans="1:4">
      <c r="A67" s="10">
        <v>23</v>
      </c>
      <c r="B67" s="10">
        <v>1.3640000000000001</v>
      </c>
      <c r="C67" s="10">
        <v>23</v>
      </c>
      <c r="D67" s="10">
        <v>1.173</v>
      </c>
    </row>
    <row r="68" spans="1:4">
      <c r="A68" s="10">
        <v>24</v>
      </c>
      <c r="B68" s="10">
        <v>1.3640000000000001</v>
      </c>
      <c r="C68" s="10">
        <v>24</v>
      </c>
      <c r="D68" s="10">
        <v>1.173</v>
      </c>
    </row>
    <row r="69" spans="1:4">
      <c r="A69" s="10">
        <v>25</v>
      </c>
      <c r="B69" s="10">
        <v>1.3640000000000001</v>
      </c>
      <c r="C69" s="10">
        <v>25</v>
      </c>
      <c r="D69" s="10">
        <v>1.173</v>
      </c>
    </row>
    <row r="70" spans="1:4">
      <c r="A70" s="10">
        <v>26</v>
      </c>
      <c r="B70" s="10">
        <v>1.3640000000000001</v>
      </c>
      <c r="C70" s="10">
        <v>26</v>
      </c>
      <c r="D70" s="10">
        <v>1.173</v>
      </c>
    </row>
    <row r="71" spans="1:4">
      <c r="A71" s="10">
        <v>27</v>
      </c>
      <c r="B71" s="10">
        <v>1.3640000000000001</v>
      </c>
      <c r="C71" s="10">
        <v>27</v>
      </c>
      <c r="D71" s="10">
        <v>1.173</v>
      </c>
    </row>
    <row r="72" spans="1:4">
      <c r="A72" s="10">
        <v>28</v>
      </c>
      <c r="B72" s="10">
        <v>1.3640000000000001</v>
      </c>
      <c r="C72" s="10">
        <v>28</v>
      </c>
      <c r="D72" s="10">
        <v>1.173</v>
      </c>
    </row>
    <row r="73" spans="1:4">
      <c r="A73" s="10">
        <v>29</v>
      </c>
      <c r="B73" s="10">
        <v>1.3640000000000001</v>
      </c>
      <c r="C73" s="10">
        <v>29</v>
      </c>
      <c r="D73" s="10">
        <v>1.173</v>
      </c>
    </row>
    <row r="74" spans="1:4">
      <c r="A74" s="10">
        <v>30</v>
      </c>
      <c r="B74" s="10">
        <v>1.3640000000000001</v>
      </c>
      <c r="C74" s="10">
        <v>30</v>
      </c>
      <c r="D74" s="10">
        <v>1.173</v>
      </c>
    </row>
    <row r="75" spans="1:4">
      <c r="A75" s="10">
        <v>31</v>
      </c>
      <c r="B75" s="10">
        <v>1.3640000000000001</v>
      </c>
      <c r="C75" s="10">
        <v>31</v>
      </c>
      <c r="D75" s="10">
        <v>1.173</v>
      </c>
    </row>
    <row r="76" spans="1:4">
      <c r="A76" s="10">
        <v>32</v>
      </c>
      <c r="B76" s="10">
        <v>1.3640000000000001</v>
      </c>
      <c r="C76" s="10">
        <v>32</v>
      </c>
      <c r="D76" s="10">
        <v>1.173</v>
      </c>
    </row>
    <row r="77" spans="1:4">
      <c r="A77" s="10">
        <v>60</v>
      </c>
      <c r="B77" s="10">
        <v>1.3640000000000001</v>
      </c>
      <c r="C77" s="10">
        <v>60</v>
      </c>
      <c r="D77" s="10">
        <v>1.173</v>
      </c>
    </row>
    <row r="78" spans="1:4" ht="15" thickBot="1"/>
    <row r="79" spans="1:4" ht="15" thickBot="1">
      <c r="A79" s="219" t="s">
        <v>187</v>
      </c>
      <c r="B79" s="220"/>
    </row>
    <row r="80" spans="1:4" ht="15" thickBot="1">
      <c r="A80" s="82" t="s">
        <v>478</v>
      </c>
      <c r="B80" s="84" t="s">
        <v>479</v>
      </c>
    </row>
    <row r="81" spans="1:2">
      <c r="A81" s="11">
        <v>1</v>
      </c>
      <c r="B81" s="11">
        <v>0.83069999999999999</v>
      </c>
    </row>
    <row r="82" spans="1:2">
      <c r="A82" s="10">
        <v>1.05</v>
      </c>
      <c r="B82" s="10">
        <v>0.90900000000000003</v>
      </c>
    </row>
    <row r="83" spans="1:2">
      <c r="A83" s="10">
        <v>1.1000000000000001</v>
      </c>
      <c r="B83" s="10">
        <v>0.99660000000000004</v>
      </c>
    </row>
    <row r="84" spans="1:2">
      <c r="A84" s="10">
        <v>1.1499999999999999</v>
      </c>
      <c r="B84" s="10">
        <v>1.0903</v>
      </c>
    </row>
    <row r="85" spans="1:2">
      <c r="A85" s="10">
        <v>1.2</v>
      </c>
      <c r="B85" s="10">
        <v>1.1909000000000001</v>
      </c>
    </row>
    <row r="86" spans="1:2">
      <c r="A86" s="10">
        <v>1.25</v>
      </c>
      <c r="B86" s="10">
        <v>1.2941</v>
      </c>
    </row>
    <row r="87" spans="1:2">
      <c r="A87" s="10">
        <v>1.3</v>
      </c>
      <c r="B87" s="10">
        <v>1.4</v>
      </c>
    </row>
    <row r="88" spans="1:2">
      <c r="A88" s="10">
        <v>5</v>
      </c>
      <c r="B88" s="10">
        <f>(B87-B86)/(A87-A86)*(A88-A87)+B87</f>
        <v>9.236599999999985</v>
      </c>
    </row>
    <row r="89" spans="1:2" ht="15" thickBot="1"/>
    <row r="90" spans="1:2" ht="15" thickBot="1">
      <c r="A90" s="219" t="s">
        <v>188</v>
      </c>
      <c r="B90" s="220"/>
    </row>
    <row r="91" spans="1:2" ht="15" thickBot="1">
      <c r="A91" s="82" t="s">
        <v>480</v>
      </c>
      <c r="B91" s="84" t="s">
        <v>481</v>
      </c>
    </row>
    <row r="92" spans="1:2">
      <c r="A92" s="11">
        <v>0</v>
      </c>
      <c r="B92" s="11">
        <v>1.75</v>
      </c>
    </row>
    <row r="93" spans="1:2">
      <c r="A93" s="10">
        <v>5.22</v>
      </c>
      <c r="B93" s="10">
        <v>1.75</v>
      </c>
    </row>
    <row r="94" spans="1:2">
      <c r="A94" s="10">
        <v>30</v>
      </c>
      <c r="B94" s="10">
        <v>1</v>
      </c>
    </row>
    <row r="95" spans="1:2">
      <c r="A95" s="10">
        <v>100</v>
      </c>
      <c r="B95" s="10">
        <v>1</v>
      </c>
    </row>
    <row r="96" spans="1:2" ht="15" thickBot="1"/>
    <row r="97" spans="1:6" ht="15" thickBot="1">
      <c r="A97" s="219" t="s">
        <v>300</v>
      </c>
      <c r="B97" s="221"/>
      <c r="C97" s="221"/>
      <c r="D97" s="221"/>
      <c r="E97" s="221"/>
      <c r="F97" s="220"/>
    </row>
    <row r="98" spans="1:6" ht="15" thickBot="1">
      <c r="A98" s="219" t="s">
        <v>301</v>
      </c>
      <c r="B98" s="220"/>
      <c r="C98" s="219" t="s">
        <v>302</v>
      </c>
      <c r="D98" s="220"/>
      <c r="E98" s="219" t="s">
        <v>303</v>
      </c>
      <c r="F98" s="220"/>
    </row>
    <row r="99" spans="1:6" ht="15" thickBot="1">
      <c r="A99" s="82" t="s">
        <v>474</v>
      </c>
      <c r="B99" s="83" t="s">
        <v>483</v>
      </c>
      <c r="C99" s="82" t="s">
        <v>474</v>
      </c>
      <c r="D99" s="83" t="s">
        <v>483</v>
      </c>
      <c r="E99" s="82" t="s">
        <v>474</v>
      </c>
      <c r="F99" s="83" t="s">
        <v>483</v>
      </c>
    </row>
    <row r="100" spans="1:6">
      <c r="A100" s="11">
        <v>0</v>
      </c>
      <c r="B100" s="11">
        <v>454</v>
      </c>
      <c r="C100" s="11">
        <v>0</v>
      </c>
      <c r="D100" s="11">
        <v>315</v>
      </c>
      <c r="E100" s="11">
        <v>0</v>
      </c>
      <c r="F100" s="11">
        <v>196</v>
      </c>
    </row>
    <row r="101" spans="1:6">
      <c r="A101" s="11">
        <v>1.0580000000000001E-2</v>
      </c>
      <c r="B101" s="11">
        <v>454</v>
      </c>
      <c r="C101" s="11">
        <v>1.0580000000000001E-2</v>
      </c>
      <c r="D101" s="11">
        <v>315</v>
      </c>
      <c r="E101" s="11">
        <v>1.0580000000000001E-2</v>
      </c>
      <c r="F101" s="10">
        <v>196</v>
      </c>
    </row>
    <row r="102" spans="1:6">
      <c r="A102" s="10">
        <v>1.2960000000000001E-2</v>
      </c>
      <c r="B102" s="11">
        <v>474</v>
      </c>
      <c r="C102" s="10">
        <v>1.2960000000000001E-2</v>
      </c>
      <c r="D102" s="10">
        <v>336</v>
      </c>
      <c r="E102" s="10">
        <v>1.2960000000000001E-2</v>
      </c>
      <c r="F102" s="10">
        <v>226</v>
      </c>
    </row>
    <row r="103" spans="1:6">
      <c r="A103" s="10">
        <v>1.444E-2</v>
      </c>
      <c r="B103" s="11">
        <v>474</v>
      </c>
      <c r="C103" s="10">
        <v>1.444E-2</v>
      </c>
      <c r="D103" s="10">
        <v>339</v>
      </c>
      <c r="E103" s="10">
        <v>1.444E-2</v>
      </c>
      <c r="F103" s="10">
        <v>233</v>
      </c>
    </row>
    <row r="104" spans="1:6">
      <c r="A104" s="10">
        <v>1.8669999999999999E-2</v>
      </c>
      <c r="B104" s="11">
        <v>451</v>
      </c>
      <c r="C104" s="10">
        <v>1.8669999999999999E-2</v>
      </c>
      <c r="D104" s="10">
        <v>332</v>
      </c>
      <c r="E104" s="10">
        <v>1.8669999999999999E-2</v>
      </c>
      <c r="F104" s="10">
        <v>240</v>
      </c>
    </row>
    <row r="105" spans="1:6">
      <c r="A105" s="10">
        <v>2.5259999999999998E-2</v>
      </c>
      <c r="B105" s="11">
        <v>381</v>
      </c>
      <c r="C105" s="10">
        <v>2.5259999999999998E-2</v>
      </c>
      <c r="D105" s="10">
        <v>295</v>
      </c>
      <c r="E105" s="10">
        <v>2.5259999999999998E-2</v>
      </c>
      <c r="F105" s="10">
        <v>226</v>
      </c>
    </row>
    <row r="106" spans="1:6">
      <c r="A106" s="10">
        <v>3.5150000000000001E-2</v>
      </c>
      <c r="B106" s="11">
        <v>240</v>
      </c>
      <c r="C106" s="10">
        <v>3.5150000000000001E-2</v>
      </c>
      <c r="D106" s="10">
        <v>211</v>
      </c>
      <c r="E106" s="10">
        <v>3.5150000000000001E-2</v>
      </c>
      <c r="F106" s="10">
        <v>179</v>
      </c>
    </row>
    <row r="107" spans="1:6">
      <c r="A107" s="10">
        <v>4.258E-2</v>
      </c>
      <c r="B107" s="11">
        <v>183</v>
      </c>
      <c r="C107" s="10">
        <v>4.258E-2</v>
      </c>
      <c r="D107" s="10">
        <v>165</v>
      </c>
      <c r="E107" s="10">
        <v>4.258E-2</v>
      </c>
      <c r="F107" s="10">
        <v>148</v>
      </c>
    </row>
    <row r="108" spans="1:6">
      <c r="A108" s="10">
        <v>5.015E-2</v>
      </c>
      <c r="B108" s="11">
        <v>143</v>
      </c>
      <c r="C108" s="10">
        <v>5.015E-2</v>
      </c>
      <c r="D108" s="10">
        <v>131</v>
      </c>
      <c r="E108" s="10">
        <v>5.015E-2</v>
      </c>
      <c r="F108" s="10">
        <v>119</v>
      </c>
    </row>
    <row r="109" spans="1:6">
      <c r="A109" s="10">
        <v>6.5180000000000002E-2</v>
      </c>
      <c r="B109" s="11">
        <v>87</v>
      </c>
      <c r="C109" s="10">
        <v>6.5180000000000002E-2</v>
      </c>
      <c r="D109" s="10">
        <v>79</v>
      </c>
      <c r="E109" s="10">
        <v>6.5180000000000002E-2</v>
      </c>
      <c r="F109" s="10">
        <v>72</v>
      </c>
    </row>
    <row r="110" spans="1:6">
      <c r="A110" s="10">
        <v>0.08</v>
      </c>
      <c r="B110" s="10">
        <v>48</v>
      </c>
      <c r="C110" s="10">
        <v>0.08</v>
      </c>
      <c r="D110" s="10">
        <v>42</v>
      </c>
      <c r="E110" s="10">
        <v>0.08</v>
      </c>
      <c r="F110" s="10">
        <v>37</v>
      </c>
    </row>
    <row r="111" spans="1:6">
      <c r="A111" s="10">
        <v>5</v>
      </c>
      <c r="B111" s="10">
        <v>48</v>
      </c>
      <c r="C111" s="10">
        <v>5</v>
      </c>
      <c r="D111" s="10">
        <v>42</v>
      </c>
      <c r="E111" s="10">
        <v>5</v>
      </c>
      <c r="F111" s="10">
        <v>37</v>
      </c>
    </row>
    <row r="120" spans="1:6" ht="15" thickBot="1"/>
    <row r="121" spans="1:6" ht="15" thickBot="1">
      <c r="A121" s="216" t="s">
        <v>304</v>
      </c>
      <c r="B121" s="217"/>
      <c r="C121" s="217"/>
      <c r="D121" s="217"/>
      <c r="E121" s="217"/>
      <c r="F121" s="218"/>
    </row>
    <row r="122" spans="1:6" ht="15" thickBot="1">
      <c r="A122" s="219" t="s">
        <v>305</v>
      </c>
      <c r="B122" s="220"/>
      <c r="C122" s="219" t="s">
        <v>306</v>
      </c>
      <c r="D122" s="220"/>
      <c r="E122" s="219" t="s">
        <v>307</v>
      </c>
      <c r="F122" s="220"/>
    </row>
    <row r="123" spans="1:6" ht="15" thickBot="1">
      <c r="A123" s="82" t="s">
        <v>482</v>
      </c>
      <c r="B123" s="83" t="s">
        <v>484</v>
      </c>
      <c r="C123" s="82" t="s">
        <v>482</v>
      </c>
      <c r="D123" s="83" t="s">
        <v>484</v>
      </c>
      <c r="E123" s="82" t="s">
        <v>482</v>
      </c>
      <c r="F123" s="83" t="s">
        <v>484</v>
      </c>
    </row>
    <row r="124" spans="1:6">
      <c r="A124" s="11">
        <v>0</v>
      </c>
      <c r="B124" s="11">
        <v>1.006</v>
      </c>
      <c r="C124" s="11">
        <v>0</v>
      </c>
      <c r="D124" s="11">
        <v>0.68100000000000005</v>
      </c>
      <c r="E124" s="11">
        <v>0</v>
      </c>
      <c r="F124" s="11">
        <v>0.48599999999999999</v>
      </c>
    </row>
    <row r="125" spans="1:6">
      <c r="A125" s="10">
        <v>2</v>
      </c>
      <c r="B125" s="11">
        <v>1.006</v>
      </c>
      <c r="C125" s="10">
        <v>2</v>
      </c>
      <c r="D125" s="11">
        <v>0.68100000000000005</v>
      </c>
      <c r="E125" s="10">
        <v>2</v>
      </c>
      <c r="F125" s="11">
        <v>0.48599999999999999</v>
      </c>
    </row>
    <row r="126" spans="1:6">
      <c r="A126" s="10">
        <v>4</v>
      </c>
      <c r="B126" s="10">
        <v>1.0609999999999999</v>
      </c>
      <c r="C126" s="10">
        <v>4</v>
      </c>
      <c r="D126" s="10">
        <v>0.72</v>
      </c>
      <c r="E126" s="10">
        <v>4</v>
      </c>
      <c r="F126" s="10">
        <v>0.51300000000000001</v>
      </c>
    </row>
    <row r="127" spans="1:6">
      <c r="A127" s="10">
        <v>6</v>
      </c>
      <c r="B127" s="10">
        <v>1.085</v>
      </c>
      <c r="C127" s="10">
        <v>6</v>
      </c>
      <c r="D127" s="10">
        <v>0.73</v>
      </c>
      <c r="E127" s="10">
        <v>6</v>
      </c>
      <c r="F127" s="10">
        <v>0.51300000000000001</v>
      </c>
    </row>
    <row r="128" spans="1:6">
      <c r="A128" s="10">
        <v>8</v>
      </c>
      <c r="B128" s="10">
        <v>1.08</v>
      </c>
      <c r="C128" s="10">
        <v>8</v>
      </c>
      <c r="D128" s="10">
        <v>0.72399999999999998</v>
      </c>
      <c r="E128" s="10">
        <v>8</v>
      </c>
      <c r="F128" s="10">
        <v>0.50700000000000001</v>
      </c>
    </row>
    <row r="129" spans="1:6">
      <c r="A129" s="10">
        <v>10</v>
      </c>
      <c r="B129" s="10">
        <v>1.048</v>
      </c>
      <c r="C129" s="10">
        <v>10</v>
      </c>
      <c r="D129" s="10">
        <v>0.70599999999999996</v>
      </c>
      <c r="E129" s="10">
        <v>10</v>
      </c>
      <c r="F129" s="10">
        <v>0.495</v>
      </c>
    </row>
    <row r="130" spans="1:6">
      <c r="A130" s="10">
        <v>12</v>
      </c>
      <c r="B130" s="10">
        <v>1</v>
      </c>
      <c r="C130" s="10">
        <v>12</v>
      </c>
      <c r="D130" s="10">
        <v>0.68100000000000005</v>
      </c>
      <c r="E130" s="10">
        <v>12</v>
      </c>
      <c r="F130" s="10">
        <v>0.48299999999999998</v>
      </c>
    </row>
    <row r="131" spans="1:6">
      <c r="A131" s="10">
        <v>18</v>
      </c>
      <c r="B131" s="10">
        <v>0.88200000000000001</v>
      </c>
      <c r="C131" s="10">
        <v>18</v>
      </c>
      <c r="D131" s="10">
        <v>0.625</v>
      </c>
      <c r="E131" s="10">
        <v>18</v>
      </c>
      <c r="F131" s="10">
        <v>0.45100000000000001</v>
      </c>
    </row>
    <row r="132" spans="1:6">
      <c r="A132" s="10">
        <v>24</v>
      </c>
      <c r="B132" s="10">
        <v>0.78100000000000003</v>
      </c>
      <c r="C132" s="10">
        <v>24</v>
      </c>
      <c r="D132" s="10">
        <v>0.57299999999999995</v>
      </c>
      <c r="E132" s="10">
        <v>24</v>
      </c>
      <c r="F132" s="10">
        <v>0.42099999999999999</v>
      </c>
    </row>
    <row r="133" spans="1:6">
      <c r="A133" s="10">
        <v>34</v>
      </c>
      <c r="B133" s="10">
        <v>0.65300000000000002</v>
      </c>
      <c r="C133" s="10">
        <v>34</v>
      </c>
      <c r="D133" s="10">
        <v>0.501</v>
      </c>
      <c r="E133" s="10">
        <v>34</v>
      </c>
      <c r="F133" s="10">
        <v>0.374</v>
      </c>
    </row>
    <row r="134" spans="1:6">
      <c r="A134" s="10">
        <v>42</v>
      </c>
      <c r="B134" s="10">
        <v>0.57899999999999996</v>
      </c>
      <c r="C134" s="10">
        <v>42</v>
      </c>
      <c r="D134" s="10">
        <v>0.45300000000000001</v>
      </c>
      <c r="E134" s="10">
        <v>42</v>
      </c>
      <c r="F134" s="10">
        <v>0.34</v>
      </c>
    </row>
    <row r="135" spans="1:6">
      <c r="A135" s="10">
        <v>100</v>
      </c>
      <c r="B135" s="10">
        <v>0.57899999999999996</v>
      </c>
      <c r="C135" s="10">
        <v>100</v>
      </c>
      <c r="D135" s="10">
        <v>0.45300000000000001</v>
      </c>
      <c r="E135" s="10">
        <v>100</v>
      </c>
      <c r="F135" s="10">
        <v>0.34</v>
      </c>
    </row>
    <row r="136" spans="1:6" ht="15" thickBot="1"/>
    <row r="137" spans="1:6" ht="15" thickBot="1">
      <c r="A137" s="216" t="s">
        <v>308</v>
      </c>
      <c r="B137" s="217"/>
      <c r="C137" s="217"/>
      <c r="D137" s="217"/>
      <c r="E137" s="217"/>
      <c r="F137" s="218"/>
    </row>
    <row r="138" spans="1:6" ht="15" thickBot="1">
      <c r="A138" s="219" t="s">
        <v>305</v>
      </c>
      <c r="B138" s="220"/>
      <c r="C138" s="219" t="s">
        <v>306</v>
      </c>
      <c r="D138" s="220"/>
      <c r="E138" s="219" t="s">
        <v>307</v>
      </c>
      <c r="F138" s="220"/>
    </row>
    <row r="139" spans="1:6" ht="15" thickBot="1">
      <c r="A139" s="82" t="s">
        <v>482</v>
      </c>
      <c r="B139" s="83" t="s">
        <v>485</v>
      </c>
      <c r="C139" s="82" t="s">
        <v>482</v>
      </c>
      <c r="D139" s="83" t="s">
        <v>485</v>
      </c>
      <c r="E139" s="82" t="s">
        <v>482</v>
      </c>
      <c r="F139" s="83" t="s">
        <v>485</v>
      </c>
    </row>
    <row r="140" spans="1:6">
      <c r="A140">
        <v>0</v>
      </c>
      <c r="B140">
        <v>1.0628</v>
      </c>
      <c r="C140">
        <v>0</v>
      </c>
      <c r="D140">
        <v>1.2107000000000001</v>
      </c>
      <c r="E140">
        <v>0</v>
      </c>
      <c r="F140">
        <v>1.3594999999999999</v>
      </c>
    </row>
    <row r="141" spans="1:6">
      <c r="A141">
        <v>2</v>
      </c>
      <c r="B141">
        <v>1.0628</v>
      </c>
      <c r="C141">
        <v>2</v>
      </c>
      <c r="D141">
        <v>1.2107000000000001</v>
      </c>
      <c r="E141">
        <v>2</v>
      </c>
      <c r="F141">
        <v>1.3594999999999999</v>
      </c>
    </row>
    <row r="142" spans="1:6">
      <c r="A142">
        <v>42</v>
      </c>
      <c r="B142">
        <v>1.3495999999999999</v>
      </c>
      <c r="C142">
        <v>42</v>
      </c>
      <c r="D142">
        <v>1.4106000000000001</v>
      </c>
      <c r="E142">
        <v>42</v>
      </c>
      <c r="F142">
        <v>1.5620000000000001</v>
      </c>
    </row>
    <row r="143" spans="1:6">
      <c r="A143">
        <v>100</v>
      </c>
      <c r="B143">
        <f>(B142-B141)/(A142-A141)*(A143-A142)+B142</f>
        <v>1.7654599999999998</v>
      </c>
      <c r="C143">
        <v>100</v>
      </c>
      <c r="D143">
        <f>(D142-D141)/(C142-C141)*(C143-C142)+D142</f>
        <v>1.700455</v>
      </c>
      <c r="E143">
        <v>100</v>
      </c>
      <c r="F143">
        <f>(F142-F141)/(E142-E141)*(E143-E142)+F142</f>
        <v>1.8556250000000003</v>
      </c>
    </row>
    <row r="153" spans="1:5">
      <c r="A153" s="10" t="s">
        <v>309</v>
      </c>
      <c r="B153" s="10" t="s">
        <v>310</v>
      </c>
      <c r="C153" s="10" t="s">
        <v>311</v>
      </c>
      <c r="D153" s="10" t="s">
        <v>312</v>
      </c>
      <c r="E153" s="10" t="s">
        <v>313</v>
      </c>
    </row>
    <row r="154" spans="1:5">
      <c r="A154" s="10" t="str">
        <f>_xlfn.CONCAT(B154, " ", C154)</f>
        <v>24000 Seamless</v>
      </c>
      <c r="B154" s="10">
        <v>24000</v>
      </c>
      <c r="C154" s="10" t="s">
        <v>256</v>
      </c>
      <c r="D154" s="10">
        <v>12000</v>
      </c>
      <c r="E154" s="10">
        <v>21000</v>
      </c>
    </row>
    <row r="155" spans="1:5">
      <c r="A155" s="10" t="str">
        <f t="shared" ref="A155:A218" si="0">_xlfn.CONCAT(B155, " ", C155)</f>
        <v>30000 Seamless</v>
      </c>
      <c r="B155" s="10">
        <v>30000</v>
      </c>
      <c r="C155" s="10" t="s">
        <v>256</v>
      </c>
      <c r="D155" s="10">
        <v>12000</v>
      </c>
      <c r="E155" s="10">
        <v>21000</v>
      </c>
    </row>
    <row r="156" spans="1:5">
      <c r="A156" s="10" t="str">
        <f t="shared" si="0"/>
        <v>35000 Seamless</v>
      </c>
      <c r="B156" s="10">
        <v>35000</v>
      </c>
      <c r="C156" s="10" t="s">
        <v>256</v>
      </c>
      <c r="D156" s="10">
        <v>12000</v>
      </c>
      <c r="E156" s="10">
        <v>21000</v>
      </c>
    </row>
    <row r="157" spans="1:5">
      <c r="A157" s="10" t="str">
        <f t="shared" si="0"/>
        <v>42000 Seamless</v>
      </c>
      <c r="B157" s="10">
        <v>42000</v>
      </c>
      <c r="C157" s="10" t="s">
        <v>256</v>
      </c>
      <c r="D157" s="10">
        <v>12000</v>
      </c>
      <c r="E157" s="10">
        <v>21000</v>
      </c>
    </row>
    <row r="158" spans="1:5">
      <c r="A158" s="10" t="str">
        <f t="shared" si="0"/>
        <v>46000 Seamless</v>
      </c>
      <c r="B158" s="10">
        <v>46000</v>
      </c>
      <c r="C158" s="10" t="s">
        <v>256</v>
      </c>
      <c r="D158" s="10">
        <v>12000</v>
      </c>
      <c r="E158" s="10">
        <v>21000</v>
      </c>
    </row>
    <row r="159" spans="1:5">
      <c r="A159" s="10" t="str">
        <f t="shared" si="0"/>
        <v>52000 Seamless</v>
      </c>
      <c r="B159" s="10">
        <v>52000</v>
      </c>
      <c r="C159" s="10" t="s">
        <v>256</v>
      </c>
      <c r="D159" s="10">
        <v>12000</v>
      </c>
      <c r="E159" s="10">
        <v>21000</v>
      </c>
    </row>
    <row r="160" spans="1:5">
      <c r="A160" s="10" t="str">
        <f t="shared" si="0"/>
        <v>56000 Seamless</v>
      </c>
      <c r="B160" s="10">
        <v>56000</v>
      </c>
      <c r="C160" s="10" t="s">
        <v>256</v>
      </c>
      <c r="D160" s="10">
        <v>12000</v>
      </c>
      <c r="E160" s="10">
        <v>23000</v>
      </c>
    </row>
    <row r="161" spans="1:5">
      <c r="A161" s="10" t="str">
        <f t="shared" si="0"/>
        <v>60000 Seamless</v>
      </c>
      <c r="B161" s="10">
        <v>60000</v>
      </c>
      <c r="C161" s="10" t="s">
        <v>256</v>
      </c>
      <c r="D161" s="10">
        <v>12000</v>
      </c>
      <c r="E161" s="10">
        <v>23000</v>
      </c>
    </row>
    <row r="162" spans="1:5">
      <c r="A162" s="10" t="str">
        <f t="shared" si="0"/>
        <v>65000 Seamless</v>
      </c>
      <c r="B162" s="10">
        <v>65000</v>
      </c>
      <c r="C162" s="10" t="s">
        <v>256</v>
      </c>
      <c r="D162" s="10">
        <v>12000</v>
      </c>
      <c r="E162" s="10">
        <v>23000</v>
      </c>
    </row>
    <row r="163" spans="1:5">
      <c r="A163" s="10" t="str">
        <f t="shared" si="0"/>
        <v>70000 Seamless</v>
      </c>
      <c r="B163" s="10">
        <v>70000</v>
      </c>
      <c r="C163" s="10" t="s">
        <v>256</v>
      </c>
      <c r="D163" s="10">
        <v>12000</v>
      </c>
      <c r="E163" s="10">
        <v>25000</v>
      </c>
    </row>
    <row r="164" spans="1:5">
      <c r="A164" s="10" t="str">
        <f t="shared" si="0"/>
        <v>80000 Seamless</v>
      </c>
      <c r="B164" s="10">
        <v>80000</v>
      </c>
      <c r="C164" s="10" t="s">
        <v>256</v>
      </c>
      <c r="D164" s="10">
        <v>12000</v>
      </c>
      <c r="E164" s="10">
        <v>27000</v>
      </c>
    </row>
    <row r="165" spans="1:5">
      <c r="A165" s="10" t="str">
        <f t="shared" si="0"/>
        <v>24000 Electric Resistance Welded</v>
      </c>
      <c r="B165" s="10">
        <v>24000</v>
      </c>
      <c r="C165" s="10" t="s">
        <v>106</v>
      </c>
      <c r="D165" s="10">
        <v>12000</v>
      </c>
      <c r="E165" s="10">
        <v>21000</v>
      </c>
    </row>
    <row r="166" spans="1:5">
      <c r="A166" s="10" t="str">
        <f t="shared" si="0"/>
        <v>30000 Electric Resistance Welded</v>
      </c>
      <c r="B166" s="10">
        <v>30000</v>
      </c>
      <c r="C166" s="10" t="s">
        <v>106</v>
      </c>
      <c r="D166" s="10">
        <v>12000</v>
      </c>
      <c r="E166" s="10">
        <v>21000</v>
      </c>
    </row>
    <row r="167" spans="1:5">
      <c r="A167" s="10" t="str">
        <f t="shared" si="0"/>
        <v>35000 Electric Resistance Welded</v>
      </c>
      <c r="B167" s="10">
        <v>35000</v>
      </c>
      <c r="C167" s="10" t="s">
        <v>106</v>
      </c>
      <c r="D167" s="10">
        <v>12000</v>
      </c>
      <c r="E167" s="10">
        <v>21000</v>
      </c>
    </row>
    <row r="168" spans="1:5">
      <c r="A168" s="10" t="str">
        <f t="shared" si="0"/>
        <v>42000 Electric Resistance Welded</v>
      </c>
      <c r="B168" s="10">
        <v>42000</v>
      </c>
      <c r="C168" s="10" t="s">
        <v>106</v>
      </c>
      <c r="D168" s="10">
        <v>12000</v>
      </c>
      <c r="E168" s="10">
        <v>21000</v>
      </c>
    </row>
    <row r="169" spans="1:5">
      <c r="A169" s="10" t="str">
        <f t="shared" si="0"/>
        <v>46000 Electric Resistance Welded</v>
      </c>
      <c r="B169" s="10">
        <v>46000</v>
      </c>
      <c r="C169" s="10" t="s">
        <v>106</v>
      </c>
      <c r="D169" s="10">
        <v>12000</v>
      </c>
      <c r="E169" s="10">
        <v>21000</v>
      </c>
    </row>
    <row r="170" spans="1:5">
      <c r="A170" s="10" t="str">
        <f t="shared" si="0"/>
        <v>52000 Electric Resistance Welded</v>
      </c>
      <c r="B170" s="10">
        <v>52000</v>
      </c>
      <c r="C170" s="10" t="s">
        <v>106</v>
      </c>
      <c r="D170" s="10">
        <v>12000</v>
      </c>
      <c r="E170" s="10">
        <v>21000</v>
      </c>
    </row>
    <row r="171" spans="1:5">
      <c r="A171" s="10" t="str">
        <f t="shared" si="0"/>
        <v>56000 Electric Resistance Welded</v>
      </c>
      <c r="B171" s="10">
        <v>56000</v>
      </c>
      <c r="C171" s="10" t="s">
        <v>106</v>
      </c>
      <c r="D171" s="10">
        <v>12000</v>
      </c>
      <c r="E171" s="10">
        <v>23000</v>
      </c>
    </row>
    <row r="172" spans="1:5">
      <c r="A172" s="10" t="str">
        <f t="shared" si="0"/>
        <v>60000 Electric Resistance Welded</v>
      </c>
      <c r="B172" s="10">
        <v>60000</v>
      </c>
      <c r="C172" s="10" t="s">
        <v>106</v>
      </c>
      <c r="D172" s="10">
        <v>12000</v>
      </c>
      <c r="E172" s="10">
        <v>23000</v>
      </c>
    </row>
    <row r="173" spans="1:5">
      <c r="A173" s="10" t="str">
        <f t="shared" si="0"/>
        <v>65000 Electric Resistance Welded</v>
      </c>
      <c r="B173" s="10">
        <v>65000</v>
      </c>
      <c r="C173" s="10" t="s">
        <v>106</v>
      </c>
      <c r="D173" s="10">
        <v>12000</v>
      </c>
      <c r="E173" s="10">
        <v>23000</v>
      </c>
    </row>
    <row r="174" spans="1:5">
      <c r="A174" s="10" t="str">
        <f t="shared" si="0"/>
        <v>70000 Electric Resistance Welded</v>
      </c>
      <c r="B174" s="10">
        <v>70000</v>
      </c>
      <c r="C174" s="10" t="s">
        <v>106</v>
      </c>
      <c r="D174" s="10">
        <v>12000</v>
      </c>
      <c r="E174" s="10">
        <v>25000</v>
      </c>
    </row>
    <row r="175" spans="1:5">
      <c r="A175" s="10" t="str">
        <f t="shared" si="0"/>
        <v>80000 Electric Resistance Welded</v>
      </c>
      <c r="B175" s="10">
        <v>80000</v>
      </c>
      <c r="C175" s="10" t="s">
        <v>106</v>
      </c>
      <c r="D175" s="10">
        <v>12000</v>
      </c>
      <c r="E175" s="10">
        <v>27000</v>
      </c>
    </row>
    <row r="176" spans="1:5">
      <c r="A176" s="10" t="str">
        <f t="shared" si="0"/>
        <v>24000 Furnace Butt Welded</v>
      </c>
      <c r="B176" s="10">
        <v>24000</v>
      </c>
      <c r="C176" s="10" t="s">
        <v>257</v>
      </c>
      <c r="D176" s="10">
        <v>12000</v>
      </c>
      <c r="E176" s="10">
        <v>21000</v>
      </c>
    </row>
    <row r="177" spans="1:5">
      <c r="A177" s="10" t="str">
        <f t="shared" si="0"/>
        <v>30000 Furnace Butt Welded</v>
      </c>
      <c r="B177" s="10">
        <v>30000</v>
      </c>
      <c r="C177" s="10" t="s">
        <v>257</v>
      </c>
      <c r="D177" s="10">
        <v>12000</v>
      </c>
      <c r="E177" s="10">
        <v>21000</v>
      </c>
    </row>
    <row r="178" spans="1:5">
      <c r="A178" s="10" t="str">
        <f t="shared" si="0"/>
        <v>35000 Furnace Butt Welded</v>
      </c>
      <c r="B178" s="10">
        <v>35000</v>
      </c>
      <c r="C178" s="10" t="s">
        <v>257</v>
      </c>
      <c r="D178" s="10">
        <v>12000</v>
      </c>
      <c r="E178" s="10">
        <v>21000</v>
      </c>
    </row>
    <row r="179" spans="1:5">
      <c r="A179" s="10" t="str">
        <f t="shared" si="0"/>
        <v>42000 Furnace Butt Welded</v>
      </c>
      <c r="B179" s="10">
        <v>42000</v>
      </c>
      <c r="C179" s="10" t="s">
        <v>257</v>
      </c>
      <c r="D179" s="10">
        <v>12000</v>
      </c>
      <c r="E179" s="10">
        <v>21000</v>
      </c>
    </row>
    <row r="180" spans="1:5">
      <c r="A180" s="10" t="str">
        <f t="shared" si="0"/>
        <v>46000 Furnace Butt Welded</v>
      </c>
      <c r="B180" s="10">
        <v>46000</v>
      </c>
      <c r="C180" s="10" t="s">
        <v>257</v>
      </c>
      <c r="D180" s="10">
        <v>12000</v>
      </c>
      <c r="E180" s="10">
        <v>21000</v>
      </c>
    </row>
    <row r="181" spans="1:5">
      <c r="A181" s="10" t="str">
        <f t="shared" si="0"/>
        <v>52000 Furnace Butt Welded</v>
      </c>
      <c r="B181" s="10">
        <v>52000</v>
      </c>
      <c r="C181" s="10" t="s">
        <v>257</v>
      </c>
      <c r="D181" s="10">
        <v>12000</v>
      </c>
      <c r="E181" s="10">
        <v>21000</v>
      </c>
    </row>
    <row r="182" spans="1:5">
      <c r="A182" s="10" t="str">
        <f t="shared" si="0"/>
        <v>56000 Furnace Butt Welded</v>
      </c>
      <c r="B182" s="10">
        <v>56000</v>
      </c>
      <c r="C182" s="10" t="s">
        <v>257</v>
      </c>
      <c r="D182" s="10">
        <v>12000</v>
      </c>
      <c r="E182" s="10">
        <v>23000</v>
      </c>
    </row>
    <row r="183" spans="1:5">
      <c r="A183" s="10" t="str">
        <f t="shared" si="0"/>
        <v>60000 Furnace Butt Welded</v>
      </c>
      <c r="B183" s="10">
        <v>60000</v>
      </c>
      <c r="C183" s="10" t="s">
        <v>257</v>
      </c>
      <c r="D183" s="10">
        <v>12000</v>
      </c>
      <c r="E183" s="10">
        <v>23000</v>
      </c>
    </row>
    <row r="184" spans="1:5">
      <c r="A184" s="10" t="str">
        <f t="shared" si="0"/>
        <v>65000 Furnace Butt Welded</v>
      </c>
      <c r="B184" s="10">
        <v>65000</v>
      </c>
      <c r="C184" s="10" t="s">
        <v>257</v>
      </c>
      <c r="D184" s="10">
        <v>12000</v>
      </c>
      <c r="E184" s="10">
        <v>23000</v>
      </c>
    </row>
    <row r="185" spans="1:5">
      <c r="A185" s="10" t="str">
        <f t="shared" si="0"/>
        <v>70000 Furnace Butt Welded</v>
      </c>
      <c r="B185" s="10">
        <v>70000</v>
      </c>
      <c r="C185" s="10" t="s">
        <v>257</v>
      </c>
      <c r="D185" s="10">
        <v>12000</v>
      </c>
      <c r="E185" s="10">
        <v>25000</v>
      </c>
    </row>
    <row r="186" spans="1:5">
      <c r="A186" s="10" t="str">
        <f t="shared" si="0"/>
        <v>80000 Furnace Butt Welded</v>
      </c>
      <c r="B186" s="10">
        <v>80000</v>
      </c>
      <c r="C186" s="10" t="s">
        <v>257</v>
      </c>
      <c r="D186" s="10">
        <v>12000</v>
      </c>
      <c r="E186" s="10">
        <v>27000</v>
      </c>
    </row>
    <row r="187" spans="1:5">
      <c r="A187" s="10" t="str">
        <f t="shared" si="0"/>
        <v>24000 Double Submerged Arc Welded</v>
      </c>
      <c r="B187" s="10">
        <v>24000</v>
      </c>
      <c r="C187" s="10" t="s">
        <v>258</v>
      </c>
      <c r="D187" s="10">
        <v>12000</v>
      </c>
      <c r="E187" s="10">
        <v>12000</v>
      </c>
    </row>
    <row r="188" spans="1:5">
      <c r="A188" s="10" t="str">
        <f t="shared" si="0"/>
        <v>30000 Double Submerged Arc Welded</v>
      </c>
      <c r="B188" s="10">
        <v>30000</v>
      </c>
      <c r="C188" s="10" t="s">
        <v>258</v>
      </c>
      <c r="D188" s="10">
        <v>12000</v>
      </c>
      <c r="E188" s="10">
        <v>12000</v>
      </c>
    </row>
    <row r="189" spans="1:5">
      <c r="A189" s="10" t="str">
        <f t="shared" si="0"/>
        <v>35000 Double Submerged Arc Welded</v>
      </c>
      <c r="B189" s="10">
        <v>35000</v>
      </c>
      <c r="C189" s="10" t="s">
        <v>258</v>
      </c>
      <c r="D189" s="10">
        <v>12000</v>
      </c>
      <c r="E189" s="10">
        <v>12000</v>
      </c>
    </row>
    <row r="190" spans="1:5">
      <c r="A190" s="10" t="str">
        <f t="shared" si="0"/>
        <v>42000 Double Submerged Arc Welded</v>
      </c>
      <c r="B190" s="10">
        <v>42000</v>
      </c>
      <c r="C190" s="10" t="s">
        <v>258</v>
      </c>
      <c r="D190" s="10">
        <v>12000</v>
      </c>
      <c r="E190" s="10">
        <v>12000</v>
      </c>
    </row>
    <row r="191" spans="1:5">
      <c r="A191" s="10" t="str">
        <f t="shared" si="0"/>
        <v>46000 Double Submerged Arc Welded</v>
      </c>
      <c r="B191" s="10">
        <v>46000</v>
      </c>
      <c r="C191" s="10" t="s">
        <v>258</v>
      </c>
      <c r="D191" s="10">
        <v>12000</v>
      </c>
      <c r="E191" s="10">
        <v>12000</v>
      </c>
    </row>
    <row r="192" spans="1:5">
      <c r="A192" s="10" t="str">
        <f t="shared" si="0"/>
        <v>52000 Double Submerged Arc Welded</v>
      </c>
      <c r="B192" s="10">
        <v>52000</v>
      </c>
      <c r="C192" s="10" t="s">
        <v>258</v>
      </c>
      <c r="D192" s="10">
        <v>12000</v>
      </c>
      <c r="E192" s="10">
        <v>12000</v>
      </c>
    </row>
    <row r="193" spans="1:5">
      <c r="A193" s="10" t="str">
        <f t="shared" si="0"/>
        <v>56000 Double Submerged Arc Welded</v>
      </c>
      <c r="B193" s="10">
        <v>56000</v>
      </c>
      <c r="C193" s="10" t="s">
        <v>258</v>
      </c>
      <c r="D193" s="10">
        <v>12000</v>
      </c>
      <c r="E193" s="10">
        <v>12000</v>
      </c>
    </row>
    <row r="194" spans="1:5">
      <c r="A194" s="10" t="str">
        <f t="shared" si="0"/>
        <v>60000 Double Submerged Arc Welded</v>
      </c>
      <c r="B194" s="10">
        <v>60000</v>
      </c>
      <c r="C194" s="10" t="s">
        <v>258</v>
      </c>
      <c r="D194" s="10">
        <v>12000</v>
      </c>
      <c r="E194" s="10">
        <v>12000</v>
      </c>
    </row>
    <row r="195" spans="1:5">
      <c r="A195" s="10" t="str">
        <f t="shared" si="0"/>
        <v>65000 Double Submerged Arc Welded</v>
      </c>
      <c r="B195" s="10">
        <v>65000</v>
      </c>
      <c r="C195" s="10" t="s">
        <v>258</v>
      </c>
      <c r="D195" s="10">
        <v>12000</v>
      </c>
      <c r="E195" s="10">
        <v>12000</v>
      </c>
    </row>
    <row r="196" spans="1:5">
      <c r="A196" s="10" t="str">
        <f t="shared" si="0"/>
        <v>70000 Double Submerged Arc Welded</v>
      </c>
      <c r="B196" s="10">
        <v>70000</v>
      </c>
      <c r="C196" s="10" t="s">
        <v>258</v>
      </c>
      <c r="D196" s="10">
        <v>12000</v>
      </c>
      <c r="E196" s="10">
        <v>13000</v>
      </c>
    </row>
    <row r="197" spans="1:5">
      <c r="A197" s="10" t="str">
        <f t="shared" si="0"/>
        <v>80000 Double Submerged Arc Welded</v>
      </c>
      <c r="B197" s="10">
        <v>80000</v>
      </c>
      <c r="C197" s="10" t="s">
        <v>258</v>
      </c>
      <c r="D197" s="10">
        <v>12000</v>
      </c>
      <c r="E197" s="10">
        <v>14000</v>
      </c>
    </row>
    <row r="198" spans="1:5">
      <c r="A198" s="10" t="str">
        <f t="shared" si="0"/>
        <v>24000 Electric-Fusion Welded</v>
      </c>
      <c r="B198" s="10">
        <v>24000</v>
      </c>
      <c r="C198" s="10" t="s">
        <v>259</v>
      </c>
      <c r="D198" s="10">
        <v>12000</v>
      </c>
      <c r="E198" s="10">
        <v>21000</v>
      </c>
    </row>
    <row r="199" spans="1:5">
      <c r="A199" s="10" t="str">
        <f t="shared" si="0"/>
        <v>30000 Electric-Fusion Welded</v>
      </c>
      <c r="B199" s="10">
        <v>30000</v>
      </c>
      <c r="C199" s="10" t="s">
        <v>259</v>
      </c>
      <c r="D199" s="10">
        <v>12000</v>
      </c>
      <c r="E199" s="10">
        <v>21000</v>
      </c>
    </row>
    <row r="200" spans="1:5">
      <c r="A200" s="10" t="str">
        <f t="shared" si="0"/>
        <v>35000 Electric-Fusion Welded</v>
      </c>
      <c r="B200" s="10">
        <v>35000</v>
      </c>
      <c r="C200" s="10" t="s">
        <v>259</v>
      </c>
      <c r="D200" s="10">
        <v>12000</v>
      </c>
      <c r="E200" s="10">
        <v>21000</v>
      </c>
    </row>
    <row r="201" spans="1:5">
      <c r="A201" s="10" t="str">
        <f t="shared" si="0"/>
        <v>42000 Electric-Fusion Welded</v>
      </c>
      <c r="B201" s="10">
        <v>42000</v>
      </c>
      <c r="C201" s="10" t="s">
        <v>259</v>
      </c>
      <c r="D201" s="10">
        <v>12000</v>
      </c>
      <c r="E201" s="10">
        <v>21000</v>
      </c>
    </row>
    <row r="202" spans="1:5">
      <c r="A202" s="10" t="str">
        <f t="shared" si="0"/>
        <v>46000 Electric-Fusion Welded</v>
      </c>
      <c r="B202" s="10">
        <v>46000</v>
      </c>
      <c r="C202" s="10" t="s">
        <v>259</v>
      </c>
      <c r="D202" s="10">
        <v>12000</v>
      </c>
      <c r="E202" s="10">
        <v>21000</v>
      </c>
    </row>
    <row r="203" spans="1:5">
      <c r="A203" s="10" t="str">
        <f t="shared" si="0"/>
        <v>52000 Electric-Fusion Welded</v>
      </c>
      <c r="B203" s="10">
        <v>52000</v>
      </c>
      <c r="C203" s="10" t="s">
        <v>259</v>
      </c>
      <c r="D203" s="10">
        <v>12000</v>
      </c>
      <c r="E203" s="10">
        <v>21000</v>
      </c>
    </row>
    <row r="204" spans="1:5">
      <c r="A204" s="10" t="str">
        <f t="shared" si="0"/>
        <v>56000 Electric-Fusion Welded</v>
      </c>
      <c r="B204" s="10">
        <v>56000</v>
      </c>
      <c r="C204" s="10" t="s">
        <v>259</v>
      </c>
      <c r="D204" s="10">
        <v>12000</v>
      </c>
      <c r="E204" s="10">
        <v>23000</v>
      </c>
    </row>
    <row r="205" spans="1:5">
      <c r="A205" s="10" t="str">
        <f t="shared" si="0"/>
        <v>60000 Electric-Fusion Welded</v>
      </c>
      <c r="B205" s="10">
        <v>60000</v>
      </c>
      <c r="C205" s="10" t="s">
        <v>259</v>
      </c>
      <c r="D205" s="10">
        <v>12000</v>
      </c>
      <c r="E205" s="10">
        <v>23000</v>
      </c>
    </row>
    <row r="206" spans="1:5">
      <c r="A206" s="10" t="str">
        <f t="shared" si="0"/>
        <v>65000 Electric-Fusion Welded</v>
      </c>
      <c r="B206" s="10">
        <v>65000</v>
      </c>
      <c r="C206" s="10" t="s">
        <v>259</v>
      </c>
      <c r="D206" s="10">
        <v>12000</v>
      </c>
      <c r="E206" s="10">
        <v>23000</v>
      </c>
    </row>
    <row r="207" spans="1:5">
      <c r="A207" s="10" t="str">
        <f t="shared" si="0"/>
        <v>70000 Electric-Fusion Welded</v>
      </c>
      <c r="B207" s="10">
        <v>70000</v>
      </c>
      <c r="C207" s="10" t="s">
        <v>259</v>
      </c>
      <c r="D207" s="10">
        <v>12000</v>
      </c>
      <c r="E207" s="10">
        <v>25000</v>
      </c>
    </row>
    <row r="208" spans="1:5">
      <c r="A208" s="10" t="str">
        <f t="shared" si="0"/>
        <v>80000 Electric-Fusion Welded</v>
      </c>
      <c r="B208" s="10">
        <v>80000</v>
      </c>
      <c r="C208" s="10" t="s">
        <v>259</v>
      </c>
      <c r="D208" s="10">
        <v>12000</v>
      </c>
      <c r="E208" s="10">
        <v>27000</v>
      </c>
    </row>
    <row r="209" spans="1:5">
      <c r="A209" s="10" t="str">
        <f t="shared" si="0"/>
        <v>24000 Submerged Arc Welded</v>
      </c>
      <c r="B209" s="10">
        <v>24000</v>
      </c>
      <c r="C209" s="10" t="s">
        <v>260</v>
      </c>
      <c r="D209" s="10">
        <v>12000</v>
      </c>
      <c r="E209" s="10">
        <v>12000</v>
      </c>
    </row>
    <row r="210" spans="1:5">
      <c r="A210" s="10" t="str">
        <f t="shared" si="0"/>
        <v>30000 Submerged Arc Welded</v>
      </c>
      <c r="B210" s="10">
        <v>30000</v>
      </c>
      <c r="C210" s="10" t="s">
        <v>260</v>
      </c>
      <c r="D210" s="10">
        <v>12000</v>
      </c>
      <c r="E210" s="10">
        <v>12000</v>
      </c>
    </row>
    <row r="211" spans="1:5">
      <c r="A211" s="10" t="str">
        <f t="shared" si="0"/>
        <v>35000 Submerged Arc Welded</v>
      </c>
      <c r="B211" s="10">
        <v>35000</v>
      </c>
      <c r="C211" s="10" t="s">
        <v>260</v>
      </c>
      <c r="D211" s="10">
        <v>12000</v>
      </c>
      <c r="E211" s="10">
        <v>12000</v>
      </c>
    </row>
    <row r="212" spans="1:5">
      <c r="A212" s="10" t="str">
        <f t="shared" si="0"/>
        <v>42000 Submerged Arc Welded</v>
      </c>
      <c r="B212" s="10">
        <v>42000</v>
      </c>
      <c r="C212" s="10" t="s">
        <v>260</v>
      </c>
      <c r="D212" s="10">
        <v>12000</v>
      </c>
      <c r="E212" s="10">
        <v>12000</v>
      </c>
    </row>
    <row r="213" spans="1:5">
      <c r="A213" s="10" t="str">
        <f t="shared" si="0"/>
        <v>46000 Submerged Arc Welded</v>
      </c>
      <c r="B213" s="10">
        <v>46000</v>
      </c>
      <c r="C213" s="10" t="s">
        <v>260</v>
      </c>
      <c r="D213" s="10">
        <v>12000</v>
      </c>
      <c r="E213" s="10">
        <v>12000</v>
      </c>
    </row>
    <row r="214" spans="1:5">
      <c r="A214" s="10" t="str">
        <f t="shared" si="0"/>
        <v>52000 Submerged Arc Welded</v>
      </c>
      <c r="B214" s="10">
        <v>52000</v>
      </c>
      <c r="C214" s="10" t="s">
        <v>260</v>
      </c>
      <c r="D214" s="10">
        <v>12000</v>
      </c>
      <c r="E214" s="10">
        <v>12000</v>
      </c>
    </row>
    <row r="215" spans="1:5">
      <c r="A215" s="10" t="str">
        <f t="shared" si="0"/>
        <v>56000 Submerged Arc Welded</v>
      </c>
      <c r="B215" s="10">
        <v>56000</v>
      </c>
      <c r="C215" s="10" t="s">
        <v>260</v>
      </c>
      <c r="D215" s="10">
        <v>12000</v>
      </c>
      <c r="E215" s="10">
        <v>12000</v>
      </c>
    </row>
    <row r="216" spans="1:5">
      <c r="A216" s="10" t="str">
        <f t="shared" si="0"/>
        <v>60000 Submerged Arc Welded</v>
      </c>
      <c r="B216" s="10">
        <v>60000</v>
      </c>
      <c r="C216" s="10" t="s">
        <v>260</v>
      </c>
      <c r="D216" s="10">
        <v>12000</v>
      </c>
      <c r="E216" s="10">
        <v>12000</v>
      </c>
    </row>
    <row r="217" spans="1:5">
      <c r="A217" s="10" t="str">
        <f t="shared" si="0"/>
        <v>65000 Submerged Arc Welded</v>
      </c>
      <c r="B217" s="10">
        <v>65000</v>
      </c>
      <c r="C217" s="10" t="s">
        <v>260</v>
      </c>
      <c r="D217" s="10">
        <v>12000</v>
      </c>
      <c r="E217" s="10">
        <v>12000</v>
      </c>
    </row>
    <row r="218" spans="1:5">
      <c r="A218" s="10" t="str">
        <f t="shared" si="0"/>
        <v>70000 Submerged Arc Welded</v>
      </c>
      <c r="B218" s="10">
        <v>70000</v>
      </c>
      <c r="C218" s="10" t="s">
        <v>260</v>
      </c>
      <c r="D218" s="10">
        <v>12000</v>
      </c>
      <c r="E218" s="10">
        <v>13000</v>
      </c>
    </row>
    <row r="219" spans="1:5">
      <c r="A219" s="10" t="str">
        <f t="shared" ref="A219:A241" si="1">_xlfn.CONCAT(B219, " ", C219)</f>
        <v>80000 Submerged Arc Welded</v>
      </c>
      <c r="B219" s="10">
        <v>80000</v>
      </c>
      <c r="C219" s="10" t="s">
        <v>260</v>
      </c>
      <c r="D219" s="10">
        <v>12000</v>
      </c>
      <c r="E219" s="10">
        <v>14000</v>
      </c>
    </row>
    <row r="220" spans="1:5">
      <c r="A220" s="10" t="str">
        <f t="shared" si="1"/>
        <v>24000 Unknown Pipe Over 4 Inches</v>
      </c>
      <c r="B220" s="10">
        <v>24000</v>
      </c>
      <c r="C220" s="10" t="s">
        <v>261</v>
      </c>
      <c r="D220" s="10">
        <v>12000</v>
      </c>
      <c r="E220" s="10">
        <v>12000</v>
      </c>
    </row>
    <row r="221" spans="1:5">
      <c r="A221" s="10" t="str">
        <f t="shared" si="1"/>
        <v>30000 Unknown Pipe Over 4 Inches</v>
      </c>
      <c r="B221" s="10">
        <v>30000</v>
      </c>
      <c r="C221" s="10" t="s">
        <v>261</v>
      </c>
      <c r="D221" s="10">
        <v>12000</v>
      </c>
      <c r="E221" s="10">
        <v>12000</v>
      </c>
    </row>
    <row r="222" spans="1:5">
      <c r="A222" s="10" t="str">
        <f t="shared" si="1"/>
        <v>35000 Unknown Pipe Over 4 Inches</v>
      </c>
      <c r="B222" s="10">
        <v>35000</v>
      </c>
      <c r="C222" s="10" t="s">
        <v>261</v>
      </c>
      <c r="D222" s="10">
        <v>12000</v>
      </c>
      <c r="E222" s="10">
        <v>12000</v>
      </c>
    </row>
    <row r="223" spans="1:5">
      <c r="A223" s="10" t="str">
        <f t="shared" si="1"/>
        <v>42000 Unknown Pipe Over 4 Inches</v>
      </c>
      <c r="B223" s="10">
        <v>42000</v>
      </c>
      <c r="C223" s="10" t="s">
        <v>261</v>
      </c>
      <c r="D223" s="10">
        <v>12000</v>
      </c>
      <c r="E223" s="10">
        <v>12000</v>
      </c>
    </row>
    <row r="224" spans="1:5">
      <c r="A224" s="10" t="str">
        <f t="shared" si="1"/>
        <v>46000 Unknown Pipe Over 4 Inches</v>
      </c>
      <c r="B224" s="10">
        <v>46000</v>
      </c>
      <c r="C224" s="10" t="s">
        <v>261</v>
      </c>
      <c r="D224" s="10">
        <v>12000</v>
      </c>
      <c r="E224" s="10">
        <v>12000</v>
      </c>
    </row>
    <row r="225" spans="1:5">
      <c r="A225" s="10" t="str">
        <f t="shared" si="1"/>
        <v>52000 Unknown Pipe Over 4 Inches</v>
      </c>
      <c r="B225" s="10">
        <v>52000</v>
      </c>
      <c r="C225" s="10" t="s">
        <v>261</v>
      </c>
      <c r="D225" s="10">
        <v>12000</v>
      </c>
      <c r="E225" s="10">
        <v>12000</v>
      </c>
    </row>
    <row r="226" spans="1:5">
      <c r="A226" s="10" t="str">
        <f t="shared" si="1"/>
        <v>56000 Unknown Pipe Over 4 Inches</v>
      </c>
      <c r="B226" s="10">
        <v>56000</v>
      </c>
      <c r="C226" s="10" t="s">
        <v>261</v>
      </c>
      <c r="D226" s="10">
        <v>12000</v>
      </c>
      <c r="E226" s="10">
        <v>12000</v>
      </c>
    </row>
    <row r="227" spans="1:5">
      <c r="A227" s="10" t="str">
        <f t="shared" si="1"/>
        <v>60000 Unknown Pipe Over 4 Inches</v>
      </c>
      <c r="B227" s="10">
        <v>60000</v>
      </c>
      <c r="C227" s="10" t="s">
        <v>261</v>
      </c>
      <c r="D227" s="10">
        <v>12000</v>
      </c>
      <c r="E227" s="10">
        <v>12000</v>
      </c>
    </row>
    <row r="228" spans="1:5">
      <c r="A228" s="10" t="str">
        <f t="shared" si="1"/>
        <v>65000 Unknown Pipe Over 4 Inches</v>
      </c>
      <c r="B228" s="10">
        <v>65000</v>
      </c>
      <c r="C228" s="10" t="s">
        <v>261</v>
      </c>
      <c r="D228" s="10">
        <v>12000</v>
      </c>
      <c r="E228" s="10">
        <v>12000</v>
      </c>
    </row>
    <row r="229" spans="1:5">
      <c r="A229" s="10" t="str">
        <f t="shared" si="1"/>
        <v>70000 Unknown Pipe Over 4 Inches</v>
      </c>
      <c r="B229" s="10">
        <v>70000</v>
      </c>
      <c r="C229" s="10" t="s">
        <v>261</v>
      </c>
      <c r="D229" s="10">
        <v>12000</v>
      </c>
      <c r="E229" s="10">
        <v>13000</v>
      </c>
    </row>
    <row r="230" spans="1:5">
      <c r="A230" s="10" t="str">
        <f t="shared" si="1"/>
        <v>80000 Unknown Pipe Over 4 Inches</v>
      </c>
      <c r="B230" s="10">
        <v>80000</v>
      </c>
      <c r="C230" s="10" t="s">
        <v>261</v>
      </c>
      <c r="D230" s="10">
        <v>12000</v>
      </c>
      <c r="E230" s="10">
        <v>14000</v>
      </c>
    </row>
    <row r="231" spans="1:5">
      <c r="A231" s="10" t="str">
        <f t="shared" si="1"/>
        <v>24000 Unknown Pipe 4 Inches or Less</v>
      </c>
      <c r="B231" s="10">
        <v>24000</v>
      </c>
      <c r="C231" s="10" t="s">
        <v>262</v>
      </c>
      <c r="D231" s="10">
        <v>12000</v>
      </c>
      <c r="E231" s="10">
        <v>12000</v>
      </c>
    </row>
    <row r="232" spans="1:5">
      <c r="A232" s="10" t="str">
        <f t="shared" si="1"/>
        <v>30000 Unknown Pipe 4 Inches or Less</v>
      </c>
      <c r="B232" s="10">
        <v>30000</v>
      </c>
      <c r="C232" s="10" t="s">
        <v>262</v>
      </c>
      <c r="D232" s="10">
        <v>12000</v>
      </c>
      <c r="E232" s="10">
        <v>12000</v>
      </c>
    </row>
    <row r="233" spans="1:5">
      <c r="A233" s="10" t="str">
        <f t="shared" si="1"/>
        <v>35000 Unknown Pipe 4 Inches or Less</v>
      </c>
      <c r="B233" s="10">
        <v>35000</v>
      </c>
      <c r="C233" s="10" t="s">
        <v>262</v>
      </c>
      <c r="D233" s="10">
        <v>12000</v>
      </c>
      <c r="E233" s="10">
        <v>12000</v>
      </c>
    </row>
    <row r="234" spans="1:5">
      <c r="A234" s="10" t="str">
        <f t="shared" si="1"/>
        <v>42000 Unknown Pipe 4 Inches or Less</v>
      </c>
      <c r="B234" s="10">
        <v>42000</v>
      </c>
      <c r="C234" s="10" t="s">
        <v>262</v>
      </c>
      <c r="D234" s="10">
        <v>12000</v>
      </c>
      <c r="E234" s="10">
        <v>12000</v>
      </c>
    </row>
    <row r="235" spans="1:5">
      <c r="A235" s="10" t="str">
        <f t="shared" si="1"/>
        <v>46000 Unknown Pipe 4 Inches or Less</v>
      </c>
      <c r="B235" s="10">
        <v>46000</v>
      </c>
      <c r="C235" s="10" t="s">
        <v>262</v>
      </c>
      <c r="D235" s="10">
        <v>12000</v>
      </c>
      <c r="E235" s="10">
        <v>12000</v>
      </c>
    </row>
    <row r="236" spans="1:5">
      <c r="A236" s="10" t="str">
        <f t="shared" si="1"/>
        <v>52000 Unknown Pipe 4 Inches or Less</v>
      </c>
      <c r="B236" s="10">
        <v>52000</v>
      </c>
      <c r="C236" s="10" t="s">
        <v>262</v>
      </c>
      <c r="D236" s="10">
        <v>12000</v>
      </c>
      <c r="E236" s="10">
        <v>12000</v>
      </c>
    </row>
    <row r="237" spans="1:5">
      <c r="A237" s="10" t="str">
        <f t="shared" si="1"/>
        <v>56000 Unknown Pipe 4 Inches or Less</v>
      </c>
      <c r="B237" s="10">
        <v>56000</v>
      </c>
      <c r="C237" s="10" t="s">
        <v>262</v>
      </c>
      <c r="D237" s="10">
        <v>12000</v>
      </c>
      <c r="E237" s="10">
        <v>12000</v>
      </c>
    </row>
    <row r="238" spans="1:5">
      <c r="A238" s="10" t="str">
        <f t="shared" si="1"/>
        <v>60000 Unknown Pipe 4 Inches or Less</v>
      </c>
      <c r="B238" s="10">
        <v>60000</v>
      </c>
      <c r="C238" s="10" t="s">
        <v>262</v>
      </c>
      <c r="D238" s="10">
        <v>12000</v>
      </c>
      <c r="E238" s="10">
        <v>12000</v>
      </c>
    </row>
    <row r="239" spans="1:5">
      <c r="A239" s="10" t="str">
        <f t="shared" si="1"/>
        <v>65000 Unknown Pipe 4 Inches or Less</v>
      </c>
      <c r="B239" s="10">
        <v>65000</v>
      </c>
      <c r="C239" s="10" t="s">
        <v>262</v>
      </c>
      <c r="D239" s="10">
        <v>12000</v>
      </c>
      <c r="E239" s="10">
        <v>12000</v>
      </c>
    </row>
    <row r="240" spans="1:5">
      <c r="A240" s="10" t="str">
        <f t="shared" si="1"/>
        <v>70000 Unknown Pipe 4 Inches or Less</v>
      </c>
      <c r="B240" s="10">
        <v>70000</v>
      </c>
      <c r="C240" s="10" t="s">
        <v>262</v>
      </c>
      <c r="D240" s="10">
        <v>12000</v>
      </c>
      <c r="E240" s="10">
        <v>13000</v>
      </c>
    </row>
    <row r="241" spans="1:6">
      <c r="A241" s="10" t="str">
        <f t="shared" si="1"/>
        <v>80000 Unknown Pipe 4 Inches or Less</v>
      </c>
      <c r="B241" s="10">
        <v>80000</v>
      </c>
      <c r="C241" s="10" t="s">
        <v>262</v>
      </c>
      <c r="D241" s="10">
        <v>12000</v>
      </c>
      <c r="E241" s="10">
        <v>14000</v>
      </c>
    </row>
    <row r="242" spans="1:6" ht="15" thickBot="1"/>
    <row r="243" spans="1:6" ht="15" thickBot="1">
      <c r="A243" s="219" t="s">
        <v>314</v>
      </c>
      <c r="B243" s="221"/>
      <c r="C243" s="221"/>
      <c r="D243" s="221"/>
      <c r="E243" s="221"/>
      <c r="F243" s="220"/>
    </row>
    <row r="244" spans="1:6" ht="15" thickBot="1">
      <c r="A244" s="219" t="s">
        <v>301</v>
      </c>
      <c r="B244" s="220"/>
      <c r="C244" s="219" t="s">
        <v>302</v>
      </c>
      <c r="D244" s="220"/>
      <c r="E244" s="219" t="s">
        <v>303</v>
      </c>
      <c r="F244" s="220"/>
    </row>
    <row r="245" spans="1:6" ht="15" thickBot="1">
      <c r="A245" s="82" t="s">
        <v>474</v>
      </c>
      <c r="B245" s="83" t="s">
        <v>486</v>
      </c>
      <c r="C245" s="82" t="s">
        <v>474</v>
      </c>
      <c r="D245" s="83" t="s">
        <v>486</v>
      </c>
      <c r="E245" s="82" t="s">
        <v>474</v>
      </c>
      <c r="F245" s="83" t="s">
        <v>486</v>
      </c>
    </row>
    <row r="246" spans="1:6">
      <c r="A246" s="11">
        <v>0</v>
      </c>
      <c r="B246" s="11">
        <v>550</v>
      </c>
      <c r="C246" s="11">
        <v>0</v>
      </c>
      <c r="D246" s="11">
        <v>384</v>
      </c>
      <c r="E246" s="11">
        <v>0</v>
      </c>
      <c r="F246" s="11">
        <v>258</v>
      </c>
    </row>
    <row r="247" spans="1:6">
      <c r="A247" s="11">
        <v>1.03E-2</v>
      </c>
      <c r="B247" s="11">
        <v>550</v>
      </c>
      <c r="C247" s="11">
        <v>1.03E-2</v>
      </c>
      <c r="D247" s="10">
        <v>384</v>
      </c>
      <c r="E247" s="11">
        <v>1.03E-2</v>
      </c>
      <c r="F247" s="11">
        <v>258</v>
      </c>
    </row>
    <row r="248" spans="1:6">
      <c r="A248" s="10">
        <v>1.4999999999999999E-2</v>
      </c>
      <c r="B248" s="11">
        <v>500</v>
      </c>
      <c r="C248" s="10">
        <v>1.4999999999999999E-2</v>
      </c>
      <c r="D248" s="10">
        <v>340</v>
      </c>
      <c r="E248" s="10">
        <v>1.4999999999999999E-2</v>
      </c>
      <c r="F248" s="11">
        <v>232</v>
      </c>
    </row>
    <row r="249" spans="1:6">
      <c r="A249" s="10">
        <v>0.02</v>
      </c>
      <c r="B249" s="10">
        <v>462</v>
      </c>
      <c r="C249" s="10">
        <v>0.02</v>
      </c>
      <c r="D249" s="11">
        <v>313</v>
      </c>
      <c r="E249" s="10">
        <v>0.02</v>
      </c>
      <c r="F249" s="10">
        <v>216</v>
      </c>
    </row>
    <row r="250" spans="1:6">
      <c r="A250" s="10">
        <v>0.03</v>
      </c>
      <c r="B250" s="10">
        <v>412</v>
      </c>
      <c r="C250" s="10">
        <v>0.03</v>
      </c>
      <c r="D250" s="10">
        <v>274</v>
      </c>
      <c r="E250" s="10">
        <v>0.03</v>
      </c>
      <c r="F250" s="10">
        <v>192</v>
      </c>
    </row>
    <row r="251" spans="1:6">
      <c r="A251" s="10">
        <v>0.05</v>
      </c>
      <c r="B251" s="10">
        <v>318</v>
      </c>
      <c r="C251" s="10">
        <v>0.05</v>
      </c>
      <c r="D251" s="10">
        <v>212</v>
      </c>
      <c r="E251" s="10">
        <v>0.05</v>
      </c>
      <c r="F251" s="10">
        <v>152</v>
      </c>
    </row>
    <row r="252" spans="1:6">
      <c r="A252" s="10">
        <v>0.08</v>
      </c>
      <c r="B252" s="10">
        <v>228</v>
      </c>
      <c r="C252" s="10">
        <v>0.08</v>
      </c>
      <c r="D252" s="10">
        <v>169</v>
      </c>
      <c r="E252" s="10">
        <v>0.08</v>
      </c>
      <c r="F252" s="10">
        <v>126</v>
      </c>
    </row>
    <row r="253" spans="1:6">
      <c r="A253" s="10">
        <v>5</v>
      </c>
      <c r="B253" s="10">
        <v>228</v>
      </c>
      <c r="C253" s="10">
        <v>5</v>
      </c>
      <c r="D253" s="10">
        <v>169</v>
      </c>
      <c r="E253" s="10">
        <v>5</v>
      </c>
      <c r="F253" s="10">
        <v>126</v>
      </c>
    </row>
    <row r="258" spans="1:6" ht="15" thickBot="1"/>
    <row r="259" spans="1:6" ht="15" thickBot="1">
      <c r="A259" s="216" t="s">
        <v>315</v>
      </c>
      <c r="B259" s="217"/>
      <c r="C259" s="217"/>
      <c r="D259" s="217"/>
      <c r="E259" s="217"/>
      <c r="F259" s="218"/>
    </row>
    <row r="260" spans="1:6" ht="15" thickBot="1">
      <c r="A260" s="219" t="s">
        <v>305</v>
      </c>
      <c r="B260" s="220"/>
      <c r="C260" s="219" t="s">
        <v>306</v>
      </c>
      <c r="D260" s="220"/>
      <c r="E260" s="219" t="s">
        <v>307</v>
      </c>
      <c r="F260" s="220"/>
    </row>
    <row r="261" spans="1:6" ht="15" thickBot="1">
      <c r="A261" s="82" t="s">
        <v>482</v>
      </c>
      <c r="B261" s="83" t="s">
        <v>487</v>
      </c>
      <c r="C261" s="82" t="s">
        <v>482</v>
      </c>
      <c r="D261" s="83" t="s">
        <v>487</v>
      </c>
      <c r="E261" s="82" t="s">
        <v>482</v>
      </c>
      <c r="F261" s="83" t="s">
        <v>487</v>
      </c>
    </row>
    <row r="262" spans="1:6">
      <c r="A262" s="11">
        <v>0</v>
      </c>
      <c r="B262" s="11">
        <v>2.2610000000000001</v>
      </c>
      <c r="C262" s="11">
        <v>0</v>
      </c>
      <c r="D262" s="11">
        <v>1.7050000000000001</v>
      </c>
      <c r="E262" s="11">
        <v>0</v>
      </c>
      <c r="F262" s="11">
        <v>1.2430000000000001</v>
      </c>
    </row>
    <row r="263" spans="1:6">
      <c r="A263" s="11">
        <v>2</v>
      </c>
      <c r="B263" s="11">
        <v>2.2610000000000001</v>
      </c>
      <c r="C263" s="11">
        <v>2</v>
      </c>
      <c r="D263" s="11">
        <v>1.7050000000000001</v>
      </c>
      <c r="E263" s="11">
        <v>2</v>
      </c>
      <c r="F263" s="11">
        <v>1.2430000000000001</v>
      </c>
    </row>
    <row r="264" spans="1:6">
      <c r="A264" s="10">
        <v>4</v>
      </c>
      <c r="B264" s="11">
        <v>1.5309999999999999</v>
      </c>
      <c r="C264" s="10">
        <v>4</v>
      </c>
      <c r="D264" s="10">
        <v>1.117</v>
      </c>
      <c r="E264" s="10">
        <v>4</v>
      </c>
      <c r="F264" s="11">
        <v>0.85199999999999998</v>
      </c>
    </row>
    <row r="265" spans="1:6">
      <c r="A265" s="10">
        <v>6</v>
      </c>
      <c r="B265" s="10">
        <v>1.2450000000000001</v>
      </c>
      <c r="C265" s="10">
        <v>6</v>
      </c>
      <c r="D265" s="10">
        <v>0.91600000000000004</v>
      </c>
      <c r="E265" s="10">
        <v>6</v>
      </c>
      <c r="F265" s="10">
        <v>0.67900000000000005</v>
      </c>
    </row>
    <row r="266" spans="1:6">
      <c r="A266" s="10">
        <v>8</v>
      </c>
      <c r="B266" s="10">
        <v>1.115</v>
      </c>
      <c r="C266" s="10">
        <v>8</v>
      </c>
      <c r="D266" s="10">
        <v>0.81899999999999995</v>
      </c>
      <c r="E266" s="10">
        <v>8</v>
      </c>
      <c r="F266" s="10">
        <v>0.58199999999999996</v>
      </c>
    </row>
    <row r="267" spans="1:6">
      <c r="A267" s="10">
        <v>10</v>
      </c>
      <c r="B267" s="10">
        <v>1.038</v>
      </c>
      <c r="C267" s="10">
        <v>10</v>
      </c>
      <c r="D267" s="10">
        <v>0.77300000000000002</v>
      </c>
      <c r="E267" s="10">
        <v>10</v>
      </c>
      <c r="F267" s="10">
        <v>0.54100000000000004</v>
      </c>
    </row>
    <row r="268" spans="1:6">
      <c r="A268" s="10">
        <v>12</v>
      </c>
      <c r="B268" s="10">
        <v>0.98699999999999999</v>
      </c>
      <c r="C268" s="10">
        <v>12</v>
      </c>
      <c r="D268" s="10">
        <v>0.74</v>
      </c>
      <c r="E268" s="10">
        <v>12</v>
      </c>
      <c r="F268" s="10">
        <v>0.51600000000000001</v>
      </c>
    </row>
    <row r="269" spans="1:6">
      <c r="A269" s="10">
        <v>26</v>
      </c>
      <c r="B269" s="10">
        <v>0.7</v>
      </c>
      <c r="C269" s="10">
        <v>26</v>
      </c>
      <c r="D269" s="10">
        <v>0.53200000000000003</v>
      </c>
      <c r="E269" s="10">
        <v>26</v>
      </c>
      <c r="F269" s="10">
        <v>0.38100000000000001</v>
      </c>
    </row>
    <row r="270" spans="1:6">
      <c r="A270" s="10">
        <v>42</v>
      </c>
      <c r="B270" s="10">
        <v>0.40400000000000003</v>
      </c>
      <c r="C270" s="10">
        <v>42</v>
      </c>
      <c r="D270" s="10">
        <v>0.312</v>
      </c>
      <c r="E270" s="10">
        <v>42</v>
      </c>
      <c r="F270" s="10">
        <v>0.23100000000000001</v>
      </c>
    </row>
    <row r="271" spans="1:6">
      <c r="A271" s="10">
        <v>100</v>
      </c>
      <c r="B271" s="10">
        <v>0.40400000000000003</v>
      </c>
      <c r="C271" s="10">
        <v>100</v>
      </c>
      <c r="D271" s="10">
        <v>0.312</v>
      </c>
      <c r="E271" s="10">
        <v>100</v>
      </c>
      <c r="F271" s="10">
        <v>0.23100000000000001</v>
      </c>
    </row>
    <row r="272" spans="1:6" ht="15" thickBot="1"/>
    <row r="273" spans="1:6" ht="15" thickBot="1">
      <c r="A273" s="216" t="s">
        <v>316</v>
      </c>
      <c r="B273" s="217"/>
      <c r="C273" s="217"/>
      <c r="D273" s="217"/>
      <c r="E273" s="217"/>
      <c r="F273" s="218"/>
    </row>
    <row r="274" spans="1:6" ht="15" thickBot="1">
      <c r="A274" s="219" t="s">
        <v>305</v>
      </c>
      <c r="B274" s="220"/>
      <c r="C274" s="219" t="s">
        <v>306</v>
      </c>
      <c r="D274" s="220"/>
      <c r="E274" s="219" t="s">
        <v>307</v>
      </c>
      <c r="F274" s="220"/>
    </row>
    <row r="275" spans="1:6" ht="15" thickBot="1">
      <c r="A275" s="82" t="s">
        <v>488</v>
      </c>
      <c r="B275" s="83" t="s">
        <v>489</v>
      </c>
      <c r="C275" s="82" t="s">
        <v>488</v>
      </c>
      <c r="D275" s="83" t="s">
        <v>489</v>
      </c>
      <c r="E275" s="82" t="s">
        <v>488</v>
      </c>
      <c r="F275" s="83" t="s">
        <v>489</v>
      </c>
    </row>
    <row r="276" spans="1:6">
      <c r="A276" s="11">
        <v>0</v>
      </c>
      <c r="B276" s="11">
        <v>1.0329999999999999</v>
      </c>
      <c r="C276" s="11">
        <v>0</v>
      </c>
      <c r="D276" s="11">
        <v>1.0329999999999999</v>
      </c>
      <c r="E276" s="11">
        <v>0</v>
      </c>
      <c r="F276" s="11">
        <v>1.1319999999999999</v>
      </c>
    </row>
    <row r="277" spans="1:6">
      <c r="A277" s="11">
        <v>2.19</v>
      </c>
      <c r="B277" s="11">
        <v>1.0329999999999999</v>
      </c>
      <c r="C277" s="11">
        <v>2.19</v>
      </c>
      <c r="D277" s="11">
        <v>1.0329999999999999</v>
      </c>
      <c r="E277" s="11">
        <v>2.19</v>
      </c>
      <c r="F277" s="11">
        <v>1.1319999999999999</v>
      </c>
    </row>
    <row r="278" spans="1:6">
      <c r="A278" s="10">
        <v>14.238</v>
      </c>
      <c r="B278" s="11">
        <v>1.0189999999999999</v>
      </c>
      <c r="C278" s="10">
        <v>14.238</v>
      </c>
      <c r="D278" s="10">
        <v>1.07</v>
      </c>
      <c r="E278" s="10">
        <v>14.238</v>
      </c>
      <c r="F278" s="11">
        <v>1.32</v>
      </c>
    </row>
    <row r="279" spans="1:6">
      <c r="A279" s="10">
        <v>24.507000000000001</v>
      </c>
      <c r="B279" s="11">
        <v>1.008</v>
      </c>
      <c r="C279" s="10">
        <v>24.507000000000001</v>
      </c>
      <c r="D279" s="10">
        <v>1.1000000000000001</v>
      </c>
      <c r="E279" s="10">
        <v>24.507000000000001</v>
      </c>
      <c r="F279" s="10">
        <v>1.3080000000000001</v>
      </c>
    </row>
    <row r="280" spans="1:6">
      <c r="A280" s="10">
        <v>42</v>
      </c>
      <c r="B280" s="10">
        <v>1.29</v>
      </c>
      <c r="C280" s="10">
        <v>42</v>
      </c>
      <c r="D280" s="10">
        <v>1.4530000000000001</v>
      </c>
      <c r="E280" s="10">
        <v>42</v>
      </c>
      <c r="F280" s="10">
        <v>1.4970000000000001</v>
      </c>
    </row>
    <row r="281" spans="1:6">
      <c r="A281" s="10">
        <v>100</v>
      </c>
      <c r="B281" s="10">
        <f>(B280-B279)/(A280-A279)*(A281-A280)+B280</f>
        <v>2.2250025724575546</v>
      </c>
      <c r="C281" s="10">
        <v>100</v>
      </c>
      <c r="D281" s="10">
        <f>(D280-D279)/(C280-C279)*(C281-C280)+D280</f>
        <v>2.6234110215514779</v>
      </c>
      <c r="E281" s="10">
        <v>100</v>
      </c>
      <c r="F281" s="10">
        <f>(F280-F279)/(E280-E279)*(E281-E280)+F280</f>
        <v>2.1236506602641061</v>
      </c>
    </row>
  </sheetData>
  <mergeCells count="34">
    <mergeCell ref="A15:H15"/>
    <mergeCell ref="A16:B16"/>
    <mergeCell ref="C16:D16"/>
    <mergeCell ref="E16:F16"/>
    <mergeCell ref="G16:H16"/>
    <mergeCell ref="A41:D41"/>
    <mergeCell ref="A42:B42"/>
    <mergeCell ref="C42:D42"/>
    <mergeCell ref="A79:B79"/>
    <mergeCell ref="A90:B90"/>
    <mergeCell ref="A122:B122"/>
    <mergeCell ref="C122:D122"/>
    <mergeCell ref="E122:F122"/>
    <mergeCell ref="A121:F121"/>
    <mergeCell ref="A97:F97"/>
    <mergeCell ref="A98:B98"/>
    <mergeCell ref="C98:D98"/>
    <mergeCell ref="E98:F98"/>
    <mergeCell ref="A137:F137"/>
    <mergeCell ref="A138:B138"/>
    <mergeCell ref="C138:D138"/>
    <mergeCell ref="E138:F138"/>
    <mergeCell ref="A243:F243"/>
    <mergeCell ref="A273:F273"/>
    <mergeCell ref="A274:B274"/>
    <mergeCell ref="C274:D274"/>
    <mergeCell ref="E274:F274"/>
    <mergeCell ref="A244:B244"/>
    <mergeCell ref="C244:D244"/>
    <mergeCell ref="E244:F244"/>
    <mergeCell ref="A259:F259"/>
    <mergeCell ref="A260:B260"/>
    <mergeCell ref="C260:D260"/>
    <mergeCell ref="E260:F26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FF50-F389-4937-9A78-20247ED7E81B}">
  <sheetPr codeName="Sheet9"/>
  <dimension ref="A4:A93"/>
  <sheetViews>
    <sheetView topLeftCell="A478" zoomScale="136" zoomScaleNormal="130" workbookViewId="0">
      <selection activeCell="L237" sqref="L237"/>
    </sheetView>
  </sheetViews>
  <sheetFormatPr defaultRowHeight="14.4"/>
  <sheetData>
    <row r="4" spans="1:1">
      <c r="A4" s="8" t="s">
        <v>317</v>
      </c>
    </row>
    <row r="57" spans="1:1">
      <c r="A57" t="s">
        <v>247</v>
      </c>
    </row>
    <row r="93" spans="1:1">
      <c r="A93" t="s">
        <v>493</v>
      </c>
    </row>
  </sheetData>
  <hyperlinks>
    <hyperlink ref="A4" r:id="rId1" display="https://www.ecfr.gov/current/title-49/subtitle-B/chapter-I/subchapter-D/part-192/subpart-C" xr:uid="{D3E18D71-0E56-4F0E-AB06-D4D2A6E0C589}"/>
  </hyperlinks>
  <pageMargins left="0.7" right="0.7" top="0.75" bottom="0.75" header="0.3" footer="0.3"/>
  <drawing r:id="rId2"/>
</worksheet>
</file>

<file path=docMetadata/LabelInfo.xml><?xml version="1.0" encoding="utf-8"?>
<clbl:labelList xmlns:clbl="http://schemas.microsoft.com/office/2020/mipLabelMetadata">
  <clbl:label id="{b530ee07-aa2b-47c7-bd4c-7cc545b5d455}" enabled="1" method="Standard" siteId="{3667e201-cbdc-48b3-9b42-5d2d3f16e2a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Approval</vt:lpstr>
      <vt:lpstr>Instructions</vt:lpstr>
      <vt:lpstr>Contents</vt:lpstr>
      <vt:lpstr>Info</vt:lpstr>
      <vt:lpstr>Railroad Loading</vt:lpstr>
      <vt:lpstr>Hand Calcs</vt:lpstr>
      <vt:lpstr>Tables</vt:lpstr>
      <vt:lpstr>Sources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Brookins, Barry</dc:creator>
  <cp:keywords/>
  <dc:description/>
  <cp:lastModifiedBy>Brookins, Barry</cp:lastModifiedBy>
  <cp:revision/>
  <dcterms:created xsi:type="dcterms:W3CDTF">2015-06-05T18:17:20Z</dcterms:created>
  <dcterms:modified xsi:type="dcterms:W3CDTF">2026-06-02T00:34:58Z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530ee07-aa2b-47c7-bd4c-7cc545b5d455_Enabled">
    <vt:lpwstr>true</vt:lpwstr>
  </property>
  <property fmtid="{D5CDD505-2E9C-101B-9397-08002B2CF9AE}" pid="3" name="MSIP_Label_b530ee07-aa2b-47c7-bd4c-7cc545b5d455_SetDate">
    <vt:lpwstr>2024-07-02T12:46:13Z</vt:lpwstr>
  </property>
  <property fmtid="{D5CDD505-2E9C-101B-9397-08002B2CF9AE}" pid="4" name="MSIP_Label_b530ee07-aa2b-47c7-bd4c-7cc545b5d455_Method">
    <vt:lpwstr>Standard</vt:lpwstr>
  </property>
  <property fmtid="{D5CDD505-2E9C-101B-9397-08002B2CF9AE}" pid="5" name="MSIP_Label_b530ee07-aa2b-47c7-bd4c-7cc545b5d455_Name">
    <vt:lpwstr>HDR General Label</vt:lpwstr>
  </property>
  <property fmtid="{D5CDD505-2E9C-101B-9397-08002B2CF9AE}" pid="6" name="MSIP_Label_b530ee07-aa2b-47c7-bd4c-7cc545b5d455_SiteId">
    <vt:lpwstr>3667e201-cbdc-48b3-9b42-5d2d3f16e2a9</vt:lpwstr>
  </property>
  <property fmtid="{D5CDD505-2E9C-101B-9397-08002B2CF9AE}" pid="7" name="MSIP_Label_b530ee07-aa2b-47c7-bd4c-7cc545b5d455_ActionId">
    <vt:lpwstr>f95241e3-1176-4eea-9508-8d9dfa650ade</vt:lpwstr>
  </property>
  <property fmtid="{D5CDD505-2E9C-101B-9397-08002B2CF9AE}" pid="8" name="MSIP_Label_b530ee07-aa2b-47c7-bd4c-7cc545b5d455_ContentBits">
    <vt:lpwstr>0</vt:lpwstr>
  </property>
</Properties>
</file>