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23"/>
  <workbookPr defaultThemeVersion="166925"/>
  <mc:AlternateContent xmlns:mc="http://schemas.openxmlformats.org/markup-compatibility/2006">
    <mc:Choice Requires="x15">
      <x15ac:absPath xmlns:x15ac="http://schemas.microsoft.com/office/spreadsheetml/2010/11/ac" url="/Users/dase0016/Desktop/"/>
    </mc:Choice>
  </mc:AlternateContent>
  <xr:revisionPtr revIDLastSave="0" documentId="13_ncr:1_{BB69607E-471C-E643-AC7B-8E33187C8C9D}" xr6:coauthVersionLast="46" xr6:coauthVersionMax="46" xr10:uidLastSave="{00000000-0000-0000-0000-000000000000}"/>
  <bookViews>
    <workbookView xWindow="720" yWindow="500" windowWidth="32880" windowHeight="11840" xr2:uid="{6BCC0378-55E7-6145-A9D7-7834675E57F3}"/>
  </bookViews>
  <sheets>
    <sheet name="Data" sheetId="1" r:id="rId1"/>
    <sheet name="Comments" sheetId="2" r:id="rId2"/>
    <sheet name="Refs" sheetId="3" r:id="rId3"/>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4" i="1" l="1"/>
  <c r="J74" i="1"/>
  <c r="L72" i="1"/>
  <c r="L73" i="1"/>
  <c r="H73" i="1"/>
  <c r="H72" i="1"/>
  <c r="J73" i="1"/>
  <c r="J72" i="1"/>
  <c r="K71" i="1"/>
  <c r="L71" i="1" s="1"/>
  <c r="K70" i="1"/>
  <c r="L70" i="1" s="1"/>
  <c r="J70" i="1"/>
  <c r="J71" i="1"/>
  <c r="H71" i="1"/>
  <c r="H70" i="1"/>
  <c r="L68" i="1"/>
  <c r="L69" i="1"/>
  <c r="J69" i="1"/>
  <c r="J68" i="1"/>
  <c r="L67" i="1"/>
  <c r="I67" i="1"/>
  <c r="J66" i="1"/>
  <c r="K66" i="1"/>
  <c r="L66" i="1" s="1"/>
  <c r="E65" i="1"/>
  <c r="L65" i="1" s="1"/>
  <c r="L64" i="1"/>
  <c r="J64" i="1"/>
  <c r="L63" i="1"/>
  <c r="J63" i="1"/>
  <c r="L59" i="1"/>
  <c r="L60" i="1"/>
  <c r="L61" i="1"/>
  <c r="L62" i="1"/>
  <c r="J59" i="1"/>
  <c r="J60" i="1"/>
  <c r="J61" i="1"/>
  <c r="J62" i="1"/>
  <c r="L58" i="1"/>
  <c r="J58" i="1"/>
  <c r="L55" i="1"/>
  <c r="H57" i="1"/>
  <c r="H56" i="1"/>
  <c r="J57" i="1"/>
  <c r="J56" i="1"/>
  <c r="J55" i="1"/>
  <c r="L54" i="1"/>
  <c r="J54" i="1"/>
  <c r="K53" i="1"/>
  <c r="L53" i="1" s="1"/>
  <c r="J53" i="1"/>
  <c r="H52" i="1"/>
  <c r="L52" i="1"/>
  <c r="J52" i="1"/>
  <c r="I39" i="1"/>
  <c r="I40" i="1"/>
  <c r="I41" i="1"/>
  <c r="I42" i="1"/>
  <c r="I43" i="1"/>
  <c r="I38" i="1"/>
  <c r="K51" i="1"/>
  <c r="L51" i="1" s="1"/>
  <c r="K50" i="1"/>
  <c r="L50" i="1" s="1"/>
  <c r="J51" i="1"/>
  <c r="J50" i="1"/>
  <c r="H49" i="1"/>
  <c r="H48" i="1"/>
  <c r="H47" i="1"/>
  <c r="H46" i="1"/>
  <c r="J46" i="1"/>
  <c r="J47" i="1"/>
  <c r="J48" i="1"/>
  <c r="J49" i="1"/>
  <c r="K49" i="1"/>
  <c r="L49" i="1" s="1"/>
  <c r="K48" i="1"/>
  <c r="L48" i="1" s="1"/>
  <c r="K47" i="1"/>
  <c r="L47" i="1" s="1"/>
  <c r="K46" i="1"/>
  <c r="L46" i="1" s="1"/>
  <c r="L45" i="1"/>
  <c r="I45" i="1"/>
  <c r="E45" i="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44" i="1"/>
  <c r="J2" i="1"/>
  <c r="K43" i="1"/>
  <c r="L43" i="1" s="1"/>
  <c r="K42" i="1"/>
  <c r="L42" i="1" s="1"/>
  <c r="K41" i="1"/>
  <c r="L41" i="1" s="1"/>
  <c r="K40" i="1"/>
  <c r="L40" i="1" s="1"/>
  <c r="K39" i="1"/>
  <c r="L39" i="1" s="1"/>
  <c r="K44" i="1"/>
  <c r="L44" i="1" s="1"/>
  <c r="K38" i="1"/>
  <c r="L38" i="1" s="1"/>
  <c r="L21" i="1"/>
  <c r="L20" i="1"/>
  <c r="K31" i="1"/>
  <c r="K32" i="1"/>
  <c r="K33" i="1"/>
  <c r="K34" i="1"/>
  <c r="K35" i="1"/>
  <c r="K36" i="1"/>
  <c r="K37" i="1"/>
  <c r="K30" i="1"/>
  <c r="J45" i="1" l="1"/>
  <c r="J65" i="1"/>
  <c r="L3" i="1"/>
  <c r="L4" i="1"/>
  <c r="L5" i="1"/>
  <c r="L6" i="1"/>
  <c r="L7" i="1"/>
  <c r="L8" i="1"/>
  <c r="L9" i="1"/>
  <c r="L10" i="1"/>
  <c r="L11" i="1"/>
  <c r="L12" i="1"/>
  <c r="L13" i="1"/>
  <c r="L14" i="1"/>
  <c r="L15" i="1"/>
  <c r="L16" i="1"/>
  <c r="L17" i="1"/>
  <c r="L18" i="1"/>
  <c r="L19" i="1"/>
  <c r="L22" i="1"/>
  <c r="L23" i="1"/>
  <c r="L24" i="1"/>
  <c r="L25" i="1"/>
  <c r="L26" i="1"/>
  <c r="L27" i="1"/>
  <c r="L28" i="1"/>
  <c r="L29" i="1"/>
  <c r="L2" i="1"/>
</calcChain>
</file>

<file path=xl/sharedStrings.xml><?xml version="1.0" encoding="utf-8"?>
<sst xmlns="http://schemas.openxmlformats.org/spreadsheetml/2006/main" count="298" uniqueCount="171">
  <si>
    <t>Country</t>
  </si>
  <si>
    <t>Lake</t>
  </si>
  <si>
    <t>X</t>
  </si>
  <si>
    <t>Y</t>
  </si>
  <si>
    <t>Area (ha)</t>
  </si>
  <si>
    <t>TN (mg/L)</t>
  </si>
  <si>
    <t>DOC (mg/L)</t>
  </si>
  <si>
    <t>kd (m-1)</t>
  </si>
  <si>
    <t>Zmean (m)</t>
  </si>
  <si>
    <t>GPP (g C M-2 d-1)</t>
  </si>
  <si>
    <t xml:space="preserve">Tjabrak </t>
  </si>
  <si>
    <t xml:space="preserve">Almberga </t>
  </si>
  <si>
    <t xml:space="preserve">Vuorejaure </t>
  </si>
  <si>
    <t xml:space="preserve">Ruozutjaure </t>
  </si>
  <si>
    <t>Erkkijärvi</t>
  </si>
  <si>
    <t>Estvåjärvi</t>
  </si>
  <si>
    <t>Sourra</t>
  </si>
  <si>
    <t>Knivsjön</t>
  </si>
  <si>
    <t>Solbacka</t>
  </si>
  <si>
    <t>Sweden</t>
  </si>
  <si>
    <t>NE-8</t>
  </si>
  <si>
    <t>GTH-112</t>
  </si>
  <si>
    <t>GTH-114</t>
  </si>
  <si>
    <t>I-4</t>
  </si>
  <si>
    <t>I-8</t>
  </si>
  <si>
    <t>GTH-100</t>
  </si>
  <si>
    <t>NE-12</t>
  </si>
  <si>
    <t>Övre Björntjärn</t>
  </si>
  <si>
    <t>Nedre Björntjärn</t>
  </si>
  <si>
    <t>Lilla Björntjärn</t>
  </si>
  <si>
    <t>Holmtjärn</t>
  </si>
  <si>
    <t>Snotterjärn</t>
  </si>
  <si>
    <t>Abborrtjärn</t>
  </si>
  <si>
    <t>Rengårdstjärnen</t>
  </si>
  <si>
    <t>AT3</t>
  </si>
  <si>
    <t>AT4</t>
  </si>
  <si>
    <t>A7</t>
  </si>
  <si>
    <t>A9</t>
  </si>
  <si>
    <t>Comment</t>
  </si>
  <si>
    <t>GTH-99</t>
  </si>
  <si>
    <t>NA</t>
  </si>
  <si>
    <t xml:space="preserve">Northington et al. (2010) and Whalen et al. (2008) </t>
  </si>
  <si>
    <t xml:space="preserve">Northington et al. (2010) and Whalen et al. (2006) </t>
  </si>
  <si>
    <t>GPP gC d-1</t>
  </si>
  <si>
    <t>Finland</t>
  </si>
  <si>
    <t>Northington et al. (2010) and Whalen et al. (2008); TN data from: Giblin, A., Kling, G. 2001. Water chemistry data for various lakes near Toolik Research Station, Arctic LTER. Summer 2000 to 2009. Environmental Data Initiative. https://arc-lter.ecosystems.mbl.edu/arclakeschemistry2000-2009 Which is the average of multiple sumertime measurements at multiple depths</t>
  </si>
  <si>
    <t>Northington et al. (2010) and Whalen et al. (2008). TN comes from Whalen et al. They say the range of TN is 11-33 uM, and then that GTH-99 has the highest concentration, hence GTH-99 TN=33uM</t>
  </si>
  <si>
    <t>Mekkojärvi</t>
  </si>
  <si>
    <t>Horkkajärvi</t>
  </si>
  <si>
    <t>Huhmari</t>
  </si>
  <si>
    <t>Möläkkä</t>
  </si>
  <si>
    <t>Nimetön</t>
  </si>
  <si>
    <t>Taavilammi</t>
  </si>
  <si>
    <t>Keskinen Rjajärvi</t>
  </si>
  <si>
    <t>Haukijärvi</t>
  </si>
  <si>
    <t>Coment</t>
  </si>
  <si>
    <t>Measurement made by Ask et al. 2009, as reported in Seekell et al. 2015</t>
  </si>
  <si>
    <t>Data from Seekell et al. 2015, except surface area which was measured for this study</t>
  </si>
  <si>
    <t>Sources</t>
  </si>
  <si>
    <t>Ask J, Karlsson J, Persson L, Ask P, Byström P, Jansson M (2009) Terrestrial organic matter and light penetration: Effects on bacterial and primary production in lakes. Limnology &amp; Oceanography 54:2034-2040</t>
  </si>
  <si>
    <t>Seekell DA, Lapierre JF, Ask J, Bergström AK, Deininger A, Rodriguez P, Karlsson J (2015) The influence of dissolved organic carbon on primary production in northern lakes. Limnology &amp; Oceaanography 60:1276-1285</t>
  </si>
  <si>
    <t>Data from Seekell et al. 2015</t>
  </si>
  <si>
    <t>Northington et al. (2010) and Whalen et al. (2008). TN based on digitizing Whalen et al. 2008 Fig 2 and averaging across depths, there is not pattern with depth</t>
  </si>
  <si>
    <t>Northington RM, Keyse MD, Beaty SR, Whalen SC, Sokol ER, Hershey AE (2010) Benthic secondary production in eight oligotrphic arctic Alaskan lakes. Journal of the North Aamerican Benthological Society 29:465-479</t>
  </si>
  <si>
    <t>Whalen SC, Chalfant BA, Fischer EN, Fortino KA, Hershey AE (2006) Comparative influence of resuspended glacial sediment on physiochemical characteristics and primaary production in two aarctic lakes. Aquatic Sciences 68:65-77</t>
  </si>
  <si>
    <t>Whalen SC, Chalfant BA, Fischer EN (2008) Epipelic and pelagic primary production in Aalaskaan arctic lakes of varying depth. Hydrobiologica 614:243-257</t>
  </si>
  <si>
    <t>Vesterinen J, Devlin SSP, Syvärant J, Jones RI (2017) Influence of littoral periphyton on whole-lake metabolism reltaes to littoral vegetataion in humic lakes. Ecology 98:3074-3085.</t>
  </si>
  <si>
    <t>Vesterinen et al. 2017; Kd calcualted based on the equation for 1% light depth in Eloranta 1978. GPP digitized from figure</t>
  </si>
  <si>
    <t>Eloranta P (1978) Light penetration in different types of lakes in Central Finland. Ecography 1:362-366</t>
  </si>
  <si>
    <t>Alaska, USA</t>
  </si>
  <si>
    <t>Tundra Pond J</t>
  </si>
  <si>
    <t>Tundra Pond B</t>
  </si>
  <si>
    <t>Tundra Pond C</t>
  </si>
  <si>
    <t>Tundra Pond D</t>
  </si>
  <si>
    <t>Tundra Pond E</t>
  </si>
  <si>
    <t>Tundra Pond A</t>
  </si>
  <si>
    <t>Ikroavik</t>
  </si>
  <si>
    <t>Stanley DW (1976) Productivity of epipelic algae iini tundra ponds and a lke near barrow, alaska. Ecology 57:1015-1024</t>
  </si>
  <si>
    <t>Volume (m3)</t>
  </si>
  <si>
    <t>California USA</t>
  </si>
  <si>
    <t>Borax</t>
  </si>
  <si>
    <t>Data from Wetzel 1964, area and mean depth average of monthly values given in the paper</t>
  </si>
  <si>
    <t>Wetzel RG (1964) Aa comparative study of the primary productivity of higher aquatic plants, periphyton, nd phytoplnakton in a large, shallow lake. Int. Revue ges. Hydrobiol. 49:1-61.</t>
  </si>
  <si>
    <t>Paul</t>
  </si>
  <si>
    <t>West</t>
  </si>
  <si>
    <t>East</t>
  </si>
  <si>
    <t>Peter</t>
  </si>
  <si>
    <t>Michigan, USA</t>
  </si>
  <si>
    <t>Vadeboncoeur Y, Steinman AD (2002) Periphyton functioon in lake ecosystems. TheScientificWorldJournaal 2:1449-1468</t>
  </si>
  <si>
    <t>Coloso JJ, Cole JJ, Pace ML (2011) Difficulty in discerning drivers of lake ecosystem metabolism with high-frequency data. Ecosystems 14:935-948</t>
  </si>
  <si>
    <t>GPP annual data from Vadeboncoeur aand Steinman, converted to daily assuming five month growing season per the paper, TN and DOC from Coloso et al. 2011, kd calculated based on 1% light depth from Carpenter et al. 2001</t>
  </si>
  <si>
    <t>Carpenter SR, et al. (2001) Trophic cascades, nutrients, and lake productivity: Whole-lake experiments. Ecology 71:163-186.</t>
  </si>
  <si>
    <t>Annual data from Vadeboncoeur and Steinman, converted to daily assuming five month growing season per the paper, kd calculated based on 1% light depth from Carpenter et al. 2001, DOC from Christensen et al. 1996</t>
  </si>
  <si>
    <t>Christensen DL et al. (1996) Pelagic responses to changes in dissolved organic carbon following divission of a seepage lake 41:553-559.</t>
  </si>
  <si>
    <t>Denmark</t>
  </si>
  <si>
    <t>Gollinsee</t>
  </si>
  <si>
    <t>Schulzensee</t>
  </si>
  <si>
    <t>Data from Brothers et al. 2013, annual value divided by 365 per the annualization in the paper. Are described as eutrophic lakes (high TN!) but are in forested catchments in a rural area with no inlet or outlet (i.e. apparently are not human impacted)</t>
  </si>
  <si>
    <t>Brothers SM, Hilt S, Meyer S, Köhler J (2013) Plant community structure determines primary productivity in shallow, eutrophic lakes. Freshwater Biology 58:2264-2276</t>
  </si>
  <si>
    <t>Data from Stanley 1976. Assumed 78 day growing period per the paper, areas for the ponds measured by planimeter from maps in the article, volum based on the tuncated irregular cone method (Wetzel and Likens 2000) between 0 and 20 cm (no max depth given in paper)</t>
  </si>
  <si>
    <t>Wetzel RE, Likens GE (2000) Limnological Analyses, 3rd ed. Springer</t>
  </si>
  <si>
    <t>Lake 18</t>
  </si>
  <si>
    <t>NW Territories, Canada</t>
  </si>
  <si>
    <t>Ramlal et al. (1994) The organic carbon budget of a shallow Arctic tundra lke on the Tuktoyaktuk Peninsula, N.W.T., Canada. Biogeochemistry 24:145-172</t>
  </si>
  <si>
    <t>Data from Ramal et al. 1994; kd calculated from secchi depth according to the equation in Davies-Colley et al. 1993</t>
  </si>
  <si>
    <t>Davies-Colley RJ, Vant WN, Smith DG (1993) Colour and clarity of natural wters: Science and management of optical water quality. Blackburn Press.</t>
  </si>
  <si>
    <t>Kalgaard</t>
  </si>
  <si>
    <t>Søndergaard M, Sand-Jensen K (1978) Total autotrophic production in oligotrophic Lake Kalgaaard, Denmark. Internationale Vereiningung für theoretische und angewandte Limnologie: Verhandlungen 20:667-673</t>
  </si>
  <si>
    <t>Søndergaard M, Sand-Jensen K (1979) Physico-chemical environment, phytoplankton biomass and productin in oligotrophic, softwater Lake Kalgaard, Denmark. Hydrobiologia 63:241-253</t>
  </si>
  <si>
    <t>Sand-Jensen K, Søndergaard M (1981) Phytoplankton and epiphyte development and their shading effect on submerged maacrophytes in lakess of different nurtrient status. Int. Revue ges. Hydrobiol. 66:529-552</t>
  </si>
  <si>
    <t>GPP from Søndergaard and Sand-Jensen 1978, converted from annual to daily by dividing by 213, the number of days between 1 April 1976 and 31 October 1976, the period used for the annualization in the study. Mean depth, surface area, and coordinates are from Søndergaard and Sand-Jensen 1979. Kd is from Sand-Jensen aand Ssøndergaard 1981; DOC from Søndergaaard 1984</t>
  </si>
  <si>
    <t>Søndergaard M (1984) Dissolved organic carbon in Danish lakes: Concentrataion, composition, and lability. Verh. Internat. Verein. Limnol. 22:780-784</t>
  </si>
  <si>
    <t>Marion</t>
  </si>
  <si>
    <t>Efford IE (1967) Temporal and spatial differences in phytoplankton productivity in Marion Lake, British Columbia. Journal of the Fisheries Board of Canada 24:2283-2307</t>
  </si>
  <si>
    <t>Coordinates, area, mean depth, and phytoplankton production from Efford 1967. Phyto production converted from annual to daily assuming 150 productive days per the 5 month productive season given in the paper. Kd calculated from June depth profile of light transmission in Hargrave 1969. Annual epibenthic algal production taken from here and made daily based on 5 month growing season.</t>
  </si>
  <si>
    <t>Hargrave BT (1969) Epibenthic algal production and community respiration in the sediments of Marion Lake. Journal of the Fisheries Board of Canada 26:2003-2026</t>
  </si>
  <si>
    <t>New Hampshire, USA</t>
  </si>
  <si>
    <t>Mirror Lake</t>
  </si>
  <si>
    <t>All data from Likens 1985. Phytoplankton made daily based on a 227 day growing season, benthin based on 200, both season lenghts provided by the authors. TN based on summing the total mass of nitrogen (inorganaic+organic) dissolved, seston, bacterioplankton, and phytoplankton, then dividing by the lake volume.</t>
  </si>
  <si>
    <t>Likens GE, ed. (1985) An ecosystem approach to aquatic ecology: Mirror Lake and its environment</t>
  </si>
  <si>
    <t>Lake 239</t>
  </si>
  <si>
    <t>Lake 240</t>
  </si>
  <si>
    <t>Schindler DW, Frost VE, Schmidt RV (1973) Production of epilithiphyton in two laakes of the experimental lakes area, Northwestern Ontario. Journal of the Fisheries Reserach Board of Canada. 30:1511-1524.</t>
  </si>
  <si>
    <t>Schindler DW (1971) Light, temperature, and oxygen regimes of selected lakes in the experimental lakes area, Northwestern Ontario. Journal of the Fisheries Research Board of Canada 28:157-169</t>
  </si>
  <si>
    <t>Ontario, Canada</t>
  </si>
  <si>
    <t>Area, mean depth and production data from Schindler et al. 1973. Annual phyto data (growing season only) made to daily assuming 188 day growing seaon, per the paper. Kd is 1.7/secchi from Schindler 1971</t>
  </si>
  <si>
    <t>Char Lake</t>
  </si>
  <si>
    <t>Welch HE, Kalff J (1974) Benthic photosynthesis and respiration in Char Lake. J. Fish. Res. Boardd Can. 31:609-620</t>
  </si>
  <si>
    <t>Schindler et al. 1974. Physical and chemicallimnology of Char Lake, Cornwallis Island (75° N lat.). J. Fish. Res. Board. Can. 31:585-607.</t>
  </si>
  <si>
    <t>Nunavut, Canada</t>
  </si>
  <si>
    <t>Data from Welch and Kalff 1974. Annual production data made daily assuming 107 productive days (June 15-Sept30) based on figures of light penetration into water. Kd is the mean of white light values reported in Schindler et al. 1974. DOC from Belzile et al. 2002</t>
  </si>
  <si>
    <t>Belzile C, et al. 2002. Colored dissolved organic matter and dissolved organic carbon exclusion from lake ice: Implicaations for irradiance transmission and carbon cycling. Limnol. Oceanogr. 47:1283-1293.</t>
  </si>
  <si>
    <t>Little Rock</t>
  </si>
  <si>
    <t>Crystal</t>
  </si>
  <si>
    <t>Sparkling</t>
  </si>
  <si>
    <t>Trout</t>
  </si>
  <si>
    <t>Devlin SP, et al. 2016. Littoral-benthic primary production estimates: Sensitivity to simplifications with respect to periphyton productivity and basin morphometry. L&amp;O:Methods 14:138-149.</t>
  </si>
  <si>
    <t>Carpenter SR et al. (1991) Patterns of primary production and herbivory in 25 North Americna Lake Ecosystems. In Cole J, Lovett G, Findlay S (eds.) Comparative Analyses of Ecosystems: Patterns, Mechanisms, and Theories. Springer</t>
  </si>
  <si>
    <t>Wisconsin, USA</t>
  </si>
  <si>
    <t>Benthic GPP, area, mean depth, DOC, and kd from Devlin et al. 2015. Benthic gpp digitrized from the mean in their fig 2. Latitude, Phytoplankton GPP and TN from Carpenter et al. (1991)</t>
  </si>
  <si>
    <t>Pääjärvi</t>
  </si>
  <si>
    <t>Ilmaavirta V (1981) The ecosystem of the oligotrophis Lake Pääjärvi 1. Lake basin and primary production. Verh. Internat. Verein. Limnol. 21:442-447.</t>
  </si>
  <si>
    <t>Data from Ilmavirta1981, production converted from kJ to g C assuming 26 g C per MJ, as Vadeboncoeur and Ssteinman 2002 did. Data converted to daily values assuming a four month growing season based on the season figure provided by Ilmavirta. TN is the average of values digitized from Imavirta's Fig 1. kd back-calculated based on Pt-co color using the equation for 1% light depth for finnish lakes from Eloranta 1978</t>
  </si>
  <si>
    <t>Lake Eckarfjärden</t>
  </si>
  <si>
    <t>Andersson E, Brunberg A-K (2006) Net autotrophy in an oligotrophic lake rich in dissolved organic carbon and with high benthic primary production. Aquatic Microbial Ecology 43:1-10.</t>
  </si>
  <si>
    <t>All data from Anderson and Brunberg 2006. Annual value converted to daily assuming. Productive period of 213 days (1 April 2002 to 31 October 2002) per the seasonal diagram they provide (Fig2). Kd estimated from abs420 baesd on the equation for swedish lakes in Seekell et al. 2015 CJFAS</t>
  </si>
  <si>
    <t>Seekell DA, et al. 2015. Trade-offs between light and nutrient availability across gradients of dissolved organic carbon concentration in Swedish lakes: Implications for patterns in primary production. CJFAS 72:1663-1671</t>
  </si>
  <si>
    <t>Iceland</t>
  </si>
  <si>
    <t>Thingvallavatn</t>
  </si>
  <si>
    <t>Jonasson PM et al. (1992) Production and nutrient supply of phytoplankton in subarctic, dimictic Thingvallavatn, Iceland. Oikos 64:162-187</t>
  </si>
  <si>
    <t>Jonsson 1992: Area, benthic GPP, benthic season length (May-October), k (average of 1982 values). Jonasson et al. 1992 for mean depth, phyto gpp and phyto season lenght (-2 g C m-2 month-1 for December through March to subtract winter production) Season is April-November)</t>
  </si>
  <si>
    <t>Jonsson 1992 Photosynthesis and production of epilithic algaal communities in Thingvallavatn. Oikos 64:222-240</t>
  </si>
  <si>
    <t>Lawrence Lake</t>
  </si>
  <si>
    <t>https://www.osti.gov/servlets/purl/4614952</t>
  </si>
  <si>
    <t>Massachusetts, MA</t>
  </si>
  <si>
    <t>Lost Pond</t>
  </si>
  <si>
    <t>Cole J, Fisher SG (1978) Annual metabolism of a temporaray pond ecosystem. The American Midland Naturalist 100:15-22</t>
  </si>
  <si>
    <t>Data from Cole and Fisher who used a mix of diel oxygen and incubations. In this case the lake is extremeley shallow and the O2 is primarily reflecting the benthic processes. Used a 112 day period based on the dates aand % of annual production given for themost productive season. Used the volume and areas that coincided with this (these were lower than the max values quoted in the paper because of huge seasonal variation in size)</t>
  </si>
  <si>
    <t>Stigsholm</t>
  </si>
  <si>
    <t>Søbygård</t>
  </si>
  <si>
    <t>Liboriussen and Jeppesen (2003) Temporaal dynmaics in epipelic, pelagic and epiphytic algal production in a cler and a trubid shallow lake. Freshwater Biology 48:418-431</t>
  </si>
  <si>
    <t>Ave of daily values given for Mar-Oct (when the seasonal charts show is the primary growing season) digitzed from figure. TN is the summer average is combined prdocution of eppelon and phytoplnakton.Dataa from Liboriussen and Jeppesen 2003. kd is average of mar-oct values digitzed from figure</t>
  </si>
  <si>
    <t>Fog 2</t>
  </si>
  <si>
    <t>Fog 4</t>
  </si>
  <si>
    <t>E5 (pre-treatment)</t>
  </si>
  <si>
    <t>Data from Daniels et al. 2015, summer benthic gpp results given in the discussion transformed to daily assuing 77 day summer (June 15-Aug31 is given in the paper). Epilimnion PP given in the table is (0-3 m) is made areal and assumed to be a mean daily value. Doing this for the treatment lakes closely approximates the pre-treatment phyto NPP given in the discussion section. For the experimental lakes, pretretment values given in the discussion are included here. For all lakes, kd is 1.7/secchi given in their table</t>
  </si>
  <si>
    <t>E6 (pre-treatment)</t>
  </si>
  <si>
    <t>Daniels WC, Kling GW, Giblin AE (2015) Benthic community metabolism in deep and shallow Arctic lakes during 13 years of whole-lake fertilization. L&amp;O 60:1604-1618.</t>
  </si>
  <si>
    <t>Lake Stugsjön</t>
  </si>
  <si>
    <t>Took the average of (benthic algaae PP + phyto PP) for three years (benthic was mesaured for 4 years but phyto for only 3). Did not include Hymenjaure because it was fertilized each year and there were no pretreatament values. Dataa from: Björk-Ramberg and Ånell 1985. Assumed 4 month ice free season per the paper and seasonal diagrams</t>
  </si>
  <si>
    <t>Björk-Ramberg S, Ånell C (1985) Production and chlorophyll concentaation of epipelic nad epilithic algae in fertilized and nonfertilized subarctic lakes. Hydrobiologia 126:213-219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</si>
</sst>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
    <numFmt numFmtId="165" formatCode="0.0"/>
    <numFmt numFmtId="166" formatCode="0.00000"/>
  </numFmts>
  <fonts count="5">
    <font>
      <sz val="12"/>
      <color theme="1"/>
      <name val="Calibri"/>
      <family val="2"/>
      <scheme val="minor"/>
    </font>
    <font>
      <sz val="12"/>
      <color rgb="FF211E1E"/>
      <name val="Calibri"/>
      <family val="2"/>
      <scheme val="minor"/>
    </font>
    <font>
      <sz val="8"/>
      <name val="Calibri"/>
      <family val="2"/>
      <scheme val="minor"/>
    </font>
    <font>
      <sz val="12"/>
      <color rgb="FF211E1E"/>
      <name val="Arial"/>
      <family val="2"/>
    </font>
    <font>
      <sz val="12"/>
      <color rgb="FF211E1E"/>
      <name val="AdvSTONESF"/>
    </font>
  </fonts>
  <fills count="2">
    <fill>
      <patternFill patternType="none"/>
    </fill>
    <fill>
      <patternFill patternType="gray125"/>
    </fill>
  </fills>
  <borders count="1">
    <border>
      <left/>
      <right/>
      <top/>
      <bottom/>
      <diagonal/>
    </border>
  </borders>
  <cellStyleXfs count="1">
    <xf numFmtId="0" fontId="0" fillId="0" borderId="0"/>
  </cellStyleXfs>
  <cellXfs count="18">
    <xf numFmtId="0" fontId="0" fillId="0" borderId="0" xfId="0"/>
    <xf numFmtId="0" fontId="1" fillId="0" borderId="0" xfId="0" applyFont="1"/>
    <xf numFmtId="0" fontId="0" fillId="0" borderId="0" xfId="0" applyFont="1"/>
    <xf numFmtId="0" fontId="3" fillId="0" borderId="0" xfId="0" applyFont="1"/>
    <xf numFmtId="0" fontId="0" fillId="0" borderId="0" xfId="0" applyFill="1"/>
    <xf numFmtId="0" fontId="4" fillId="0" borderId="0" xfId="0" applyFont="1" applyFill="1"/>
    <xf numFmtId="0" fontId="0" fillId="0" borderId="0" xfId="0" applyFont="1" applyFill="1"/>
    <xf numFmtId="1" fontId="1" fillId="0" borderId="0" xfId="0" applyNumberFormat="1" applyFont="1"/>
    <xf numFmtId="1" fontId="0" fillId="0" borderId="0" xfId="0" applyNumberFormat="1"/>
    <xf numFmtId="164" fontId="1" fillId="0" borderId="0" xfId="0" applyNumberFormat="1" applyFont="1"/>
    <xf numFmtId="1" fontId="1" fillId="0" borderId="0" xfId="0" applyNumberFormat="1" applyFont="1" applyFill="1"/>
    <xf numFmtId="14" fontId="0" fillId="0" borderId="0" xfId="0" applyNumberFormat="1"/>
    <xf numFmtId="164" fontId="0" fillId="0" borderId="0" xfId="0" applyNumberFormat="1"/>
    <xf numFmtId="165" fontId="0" fillId="0" borderId="0" xfId="0" applyNumberFormat="1"/>
    <xf numFmtId="1" fontId="0" fillId="0" borderId="0" xfId="0" applyNumberFormat="1" applyFill="1"/>
    <xf numFmtId="2" fontId="0" fillId="0" borderId="0" xfId="0" applyNumberFormat="1"/>
    <xf numFmtId="166" fontId="0" fillId="0" borderId="0" xfId="0" applyNumberFormat="1"/>
    <xf numFmtId="2" fontId="1" fillId="0" borderId="0" xfId="0" applyNumberFormat="1"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EB62EB-032E-5C4A-A42D-E66632588822}">
  <dimension ref="A1:N83"/>
  <sheetViews>
    <sheetView tabSelected="1" zoomScaleNormal="110" workbookViewId="0">
      <pane ySplit="1" topLeftCell="A69" activePane="bottomLeft" state="frozen"/>
      <selection pane="bottomLeft" activeCell="G78" sqref="G78"/>
    </sheetView>
  </sheetViews>
  <sheetFormatPr baseColWidth="10" defaultRowHeight="16"/>
  <cols>
    <col min="1" max="1" width="15.6640625" customWidth="1"/>
    <col min="2" max="2" width="16.5" customWidth="1"/>
    <col min="3" max="3" width="16.1640625" customWidth="1"/>
    <col min="4" max="4" width="19.33203125" customWidth="1"/>
    <col min="5" max="5" width="17.1640625" customWidth="1"/>
    <col min="6" max="6" width="14.5" customWidth="1"/>
    <col min="7" max="7" width="18.5" customWidth="1"/>
    <col min="9" max="9" width="15.1640625" customWidth="1"/>
    <col min="10" max="10" width="15.6640625" customWidth="1"/>
    <col min="11" max="12" width="16.6640625" customWidth="1"/>
    <col min="13" max="13" width="11" bestFit="1" customWidth="1"/>
  </cols>
  <sheetData>
    <row r="1" spans="1:13">
      <c r="A1" t="s">
        <v>0</v>
      </c>
      <c r="B1" t="s">
        <v>1</v>
      </c>
      <c r="C1" t="s">
        <v>3</v>
      </c>
      <c r="D1" t="s">
        <v>2</v>
      </c>
      <c r="E1" t="s">
        <v>4</v>
      </c>
      <c r="F1" t="s">
        <v>5</v>
      </c>
      <c r="G1" t="s">
        <v>6</v>
      </c>
      <c r="H1" t="s">
        <v>7</v>
      </c>
      <c r="I1" t="s">
        <v>8</v>
      </c>
      <c r="J1" t="s">
        <v>78</v>
      </c>
      <c r="K1" t="s">
        <v>9</v>
      </c>
      <c r="L1" t="s">
        <v>43</v>
      </c>
      <c r="M1" t="s">
        <v>38</v>
      </c>
    </row>
    <row r="2" spans="1:13">
      <c r="A2" t="s">
        <v>19</v>
      </c>
      <c r="B2" s="1" t="s">
        <v>10</v>
      </c>
      <c r="C2">
        <v>68.171666999999999</v>
      </c>
      <c r="D2">
        <v>19.865832999999999</v>
      </c>
      <c r="E2" s="1">
        <v>6.23</v>
      </c>
      <c r="F2" s="3">
        <v>0.13100000000000001</v>
      </c>
      <c r="G2">
        <v>3.12</v>
      </c>
      <c r="H2">
        <v>0.46</v>
      </c>
      <c r="I2">
        <v>4.7</v>
      </c>
      <c r="J2">
        <f t="shared" ref="J2:J37" si="0">(E2*10000)*I2</f>
        <v>292810.00000000006</v>
      </c>
      <c r="K2" s="1">
        <v>9.7000000000000003E-2</v>
      </c>
      <c r="L2" s="7">
        <f t="shared" ref="L2:L19" si="1">K2*(10000*E2)</f>
        <v>6043.1000000000013</v>
      </c>
      <c r="M2">
        <v>1</v>
      </c>
    </row>
    <row r="3" spans="1:13">
      <c r="A3" t="s">
        <v>19</v>
      </c>
      <c r="B3" s="1" t="s">
        <v>11</v>
      </c>
      <c r="C3">
        <v>68.333332999999996</v>
      </c>
      <c r="D3">
        <v>19.157778</v>
      </c>
      <c r="E3" s="1">
        <v>5.48</v>
      </c>
      <c r="F3" s="3">
        <v>0.17799999999999999</v>
      </c>
      <c r="G3">
        <v>4.0199999999999996</v>
      </c>
      <c r="H3">
        <v>0.51</v>
      </c>
      <c r="I3">
        <v>3.2</v>
      </c>
      <c r="J3">
        <f t="shared" si="0"/>
        <v>175360.00000000003</v>
      </c>
      <c r="K3" s="1">
        <v>0.121</v>
      </c>
      <c r="L3" s="7">
        <f t="shared" si="1"/>
        <v>6630.8000000000011</v>
      </c>
      <c r="M3">
        <v>1</v>
      </c>
    </row>
    <row r="4" spans="1:13">
      <c r="A4" t="s">
        <v>19</v>
      </c>
      <c r="B4" s="1" t="s">
        <v>12</v>
      </c>
      <c r="C4">
        <v>68.191666999999995</v>
      </c>
      <c r="D4">
        <v>19.607500000000002</v>
      </c>
      <c r="E4" s="1">
        <v>4.28</v>
      </c>
      <c r="F4" s="3">
        <v>0.13500000000000001</v>
      </c>
      <c r="G4">
        <v>2.81</v>
      </c>
      <c r="H4">
        <v>0.44</v>
      </c>
      <c r="I4">
        <v>2.8</v>
      </c>
      <c r="J4">
        <f t="shared" si="0"/>
        <v>119839.99999999999</v>
      </c>
      <c r="K4" s="1">
        <v>0.109</v>
      </c>
      <c r="L4" s="7">
        <f t="shared" si="1"/>
        <v>4665.2</v>
      </c>
      <c r="M4">
        <v>1</v>
      </c>
    </row>
    <row r="5" spans="1:13">
      <c r="A5" t="s">
        <v>19</v>
      </c>
      <c r="B5" s="1" t="s">
        <v>13</v>
      </c>
      <c r="C5">
        <v>68.204166999999998</v>
      </c>
      <c r="D5">
        <v>19.566110999999999</v>
      </c>
      <c r="E5" s="1">
        <v>3.5</v>
      </c>
      <c r="F5" s="3">
        <v>0.11600000000000001</v>
      </c>
      <c r="G5">
        <v>2.4</v>
      </c>
      <c r="H5">
        <v>0.44</v>
      </c>
      <c r="I5">
        <v>2.8</v>
      </c>
      <c r="J5">
        <f t="shared" si="0"/>
        <v>98000</v>
      </c>
      <c r="K5" s="1">
        <v>0.114</v>
      </c>
      <c r="L5" s="7">
        <f t="shared" si="1"/>
        <v>3990</v>
      </c>
      <c r="M5">
        <v>1</v>
      </c>
    </row>
    <row r="6" spans="1:13">
      <c r="A6" t="s">
        <v>19</v>
      </c>
      <c r="B6" s="1" t="s">
        <v>14</v>
      </c>
      <c r="C6">
        <v>67.656655999999998</v>
      </c>
      <c r="D6">
        <v>21.511966999999999</v>
      </c>
      <c r="E6" s="1">
        <v>10.99</v>
      </c>
      <c r="F6" s="3">
        <v>0.43099999999999999</v>
      </c>
      <c r="G6">
        <v>7.07</v>
      </c>
      <c r="H6">
        <v>0.65</v>
      </c>
      <c r="I6">
        <v>2.2999999999999998</v>
      </c>
      <c r="J6">
        <f t="shared" si="0"/>
        <v>252769.99999999997</v>
      </c>
      <c r="K6" s="1">
        <v>0.21099999999999999</v>
      </c>
      <c r="L6" s="7">
        <f t="shared" si="1"/>
        <v>23188.899999999998</v>
      </c>
      <c r="M6">
        <v>1</v>
      </c>
    </row>
    <row r="7" spans="1:13">
      <c r="A7" t="s">
        <v>19</v>
      </c>
      <c r="B7" s="1" t="s">
        <v>15</v>
      </c>
      <c r="C7">
        <v>67.599108000000001</v>
      </c>
      <c r="D7">
        <v>20.897756000000001</v>
      </c>
      <c r="E7" s="1">
        <v>2.4700000000000002</v>
      </c>
      <c r="F7" s="3">
        <v>0.40600000000000003</v>
      </c>
      <c r="G7">
        <v>13.11</v>
      </c>
      <c r="H7">
        <v>1.62</v>
      </c>
      <c r="I7">
        <v>1.5</v>
      </c>
      <c r="J7">
        <f t="shared" si="0"/>
        <v>37050.000000000007</v>
      </c>
      <c r="K7" s="1">
        <v>0.19</v>
      </c>
      <c r="L7" s="7">
        <f t="shared" si="1"/>
        <v>4693.0000000000009</v>
      </c>
      <c r="M7">
        <v>1</v>
      </c>
    </row>
    <row r="8" spans="1:13">
      <c r="A8" t="s">
        <v>19</v>
      </c>
      <c r="B8" s="1" t="s">
        <v>16</v>
      </c>
      <c r="C8">
        <v>68.278246999999993</v>
      </c>
      <c r="D8">
        <v>19.095364</v>
      </c>
      <c r="E8" s="1">
        <v>17.420000000000002</v>
      </c>
      <c r="F8" s="3">
        <v>0.08</v>
      </c>
      <c r="G8">
        <v>1.8</v>
      </c>
      <c r="H8">
        <v>0.32</v>
      </c>
      <c r="I8">
        <v>4.7</v>
      </c>
      <c r="J8">
        <f t="shared" si="0"/>
        <v>818740.00000000012</v>
      </c>
      <c r="K8" s="1">
        <v>9.2999999999999999E-2</v>
      </c>
      <c r="L8" s="7">
        <f t="shared" si="1"/>
        <v>16200.600000000002</v>
      </c>
      <c r="M8">
        <v>1</v>
      </c>
    </row>
    <row r="9" spans="1:13">
      <c r="A9" t="s">
        <v>19</v>
      </c>
      <c r="B9" s="1" t="s">
        <v>17</v>
      </c>
      <c r="C9">
        <v>68.293906000000007</v>
      </c>
      <c r="D9">
        <v>19.111288999999999</v>
      </c>
      <c r="E9" s="1">
        <v>10.85</v>
      </c>
      <c r="F9" s="3">
        <v>8.8999999999999996E-2</v>
      </c>
      <c r="G9">
        <v>2.4300000000000002</v>
      </c>
      <c r="H9">
        <v>0.41</v>
      </c>
      <c r="I9">
        <v>4.5</v>
      </c>
      <c r="J9">
        <f t="shared" si="0"/>
        <v>488250</v>
      </c>
      <c r="K9" s="1">
        <v>0.13100000000000001</v>
      </c>
      <c r="L9" s="7">
        <f t="shared" si="1"/>
        <v>14213.5</v>
      </c>
      <c r="M9">
        <v>1</v>
      </c>
    </row>
    <row r="10" spans="1:13">
      <c r="A10" t="s">
        <v>19</v>
      </c>
      <c r="B10" s="1" t="s">
        <v>18</v>
      </c>
      <c r="C10">
        <v>68.347375</v>
      </c>
      <c r="D10">
        <v>18.911774999999999</v>
      </c>
      <c r="E10" s="1">
        <v>3.64</v>
      </c>
      <c r="F10" s="3">
        <v>0.36499999999999999</v>
      </c>
      <c r="G10">
        <v>9.4</v>
      </c>
      <c r="H10">
        <v>0.18</v>
      </c>
      <c r="I10">
        <v>1.8</v>
      </c>
      <c r="J10">
        <f t="shared" si="0"/>
        <v>65520</v>
      </c>
      <c r="K10" s="1">
        <v>0.34300000000000003</v>
      </c>
      <c r="L10" s="7">
        <f t="shared" si="1"/>
        <v>12485.2</v>
      </c>
      <c r="M10">
        <v>2</v>
      </c>
    </row>
    <row r="11" spans="1:13">
      <c r="A11" t="s">
        <v>19</v>
      </c>
      <c r="B11" s="1" t="s">
        <v>27</v>
      </c>
      <c r="C11">
        <v>64.123208000000005</v>
      </c>
      <c r="D11">
        <v>18.779381000000001</v>
      </c>
      <c r="E11" s="1">
        <v>4.84</v>
      </c>
      <c r="F11" s="3">
        <v>0.47599999999999998</v>
      </c>
      <c r="G11">
        <v>16.8</v>
      </c>
      <c r="H11">
        <v>3.77</v>
      </c>
      <c r="I11">
        <v>4</v>
      </c>
      <c r="J11">
        <f t="shared" si="0"/>
        <v>193600</v>
      </c>
      <c r="K11" s="1">
        <v>5.0000000000000001E-3</v>
      </c>
      <c r="L11" s="7">
        <f t="shared" si="1"/>
        <v>242</v>
      </c>
      <c r="M11">
        <v>1</v>
      </c>
    </row>
    <row r="12" spans="1:13">
      <c r="A12" t="s">
        <v>19</v>
      </c>
      <c r="B12" s="1" t="s">
        <v>28</v>
      </c>
      <c r="C12">
        <v>64.122011000000001</v>
      </c>
      <c r="D12">
        <v>18.784846999999999</v>
      </c>
      <c r="E12" s="1">
        <v>3.37</v>
      </c>
      <c r="F12" s="3">
        <v>0.42699999999999999</v>
      </c>
      <c r="G12">
        <v>15.1</v>
      </c>
      <c r="H12">
        <v>3.2</v>
      </c>
      <c r="I12">
        <v>6</v>
      </c>
      <c r="J12">
        <f t="shared" si="0"/>
        <v>202200</v>
      </c>
      <c r="K12" s="1">
        <v>6.0000000000000001E-3</v>
      </c>
      <c r="L12" s="7">
        <f t="shared" si="1"/>
        <v>202.20000000000002</v>
      </c>
      <c r="M12">
        <v>1</v>
      </c>
    </row>
    <row r="13" spans="1:13">
      <c r="A13" t="s">
        <v>19</v>
      </c>
      <c r="B13" s="1" t="s">
        <v>29</v>
      </c>
      <c r="C13">
        <v>64.119667000000007</v>
      </c>
      <c r="D13">
        <v>18.7803</v>
      </c>
      <c r="E13" s="1">
        <v>1.54</v>
      </c>
      <c r="F13" s="3">
        <v>0.48299999999999998</v>
      </c>
      <c r="G13">
        <v>15.91</v>
      </c>
      <c r="H13">
        <v>2.97</v>
      </c>
      <c r="I13">
        <v>4.5999999999999996</v>
      </c>
      <c r="J13">
        <f t="shared" si="0"/>
        <v>70840</v>
      </c>
      <c r="K13" s="1">
        <v>3.1E-2</v>
      </c>
      <c r="L13" s="7">
        <f t="shared" si="1"/>
        <v>477.4</v>
      </c>
      <c r="M13">
        <v>1</v>
      </c>
    </row>
    <row r="14" spans="1:13">
      <c r="A14" t="s">
        <v>19</v>
      </c>
      <c r="B14" s="1" t="s">
        <v>30</v>
      </c>
      <c r="C14">
        <v>63.997205999999998</v>
      </c>
      <c r="D14">
        <v>18.709130999999999</v>
      </c>
      <c r="E14" s="1">
        <v>3.72</v>
      </c>
      <c r="F14" s="3">
        <v>0.35399999999999998</v>
      </c>
      <c r="G14">
        <v>9.5</v>
      </c>
      <c r="H14">
        <v>1.89</v>
      </c>
      <c r="I14">
        <v>3.1</v>
      </c>
      <c r="J14">
        <f t="shared" si="0"/>
        <v>115320</v>
      </c>
      <c r="K14" s="1">
        <v>6.4000000000000001E-2</v>
      </c>
      <c r="L14" s="7">
        <f t="shared" si="1"/>
        <v>2380.8000000000002</v>
      </c>
      <c r="M14">
        <v>1</v>
      </c>
    </row>
    <row r="15" spans="1:13">
      <c r="A15" t="s">
        <v>19</v>
      </c>
      <c r="B15" s="1" t="s">
        <v>31</v>
      </c>
      <c r="C15">
        <v>63.915832999999999</v>
      </c>
      <c r="D15">
        <v>18.861044</v>
      </c>
      <c r="E15" s="1">
        <v>2.48</v>
      </c>
      <c r="F15" s="3">
        <v>0.33600000000000002</v>
      </c>
      <c r="G15">
        <v>10.119999999999999</v>
      </c>
      <c r="H15">
        <v>1.1399999999999999</v>
      </c>
      <c r="I15">
        <v>2</v>
      </c>
      <c r="J15">
        <f t="shared" si="0"/>
        <v>49600</v>
      </c>
      <c r="K15" s="1">
        <v>0.20100000000000001</v>
      </c>
      <c r="L15" s="7">
        <f t="shared" si="1"/>
        <v>4984.8</v>
      </c>
      <c r="M15">
        <v>1</v>
      </c>
    </row>
    <row r="16" spans="1:13">
      <c r="A16" t="s">
        <v>19</v>
      </c>
      <c r="B16" s="1" t="s">
        <v>32</v>
      </c>
      <c r="C16">
        <v>64.114778000000001</v>
      </c>
      <c r="D16">
        <v>18.698578000000001</v>
      </c>
      <c r="E16" s="1">
        <v>5.82</v>
      </c>
      <c r="F16" s="3">
        <v>0.26200000000000001</v>
      </c>
      <c r="G16">
        <v>11.11</v>
      </c>
      <c r="H16">
        <v>1.9</v>
      </c>
      <c r="I16">
        <v>4.5999999999999996</v>
      </c>
      <c r="J16">
        <f t="shared" si="0"/>
        <v>267720</v>
      </c>
      <c r="K16" s="1">
        <v>5.1999999999999998E-2</v>
      </c>
      <c r="L16" s="7">
        <f t="shared" si="1"/>
        <v>3026.3999999999996</v>
      </c>
      <c r="M16">
        <v>1</v>
      </c>
    </row>
    <row r="17" spans="1:14">
      <c r="A17" t="s">
        <v>19</v>
      </c>
      <c r="B17" s="1" t="s">
        <v>33</v>
      </c>
      <c r="C17">
        <v>63.686667</v>
      </c>
      <c r="D17">
        <v>19.236488999999999</v>
      </c>
      <c r="E17" s="1">
        <v>4.8600000000000003</v>
      </c>
      <c r="F17" s="3">
        <v>0.27700000000000002</v>
      </c>
      <c r="G17">
        <v>7.99</v>
      </c>
      <c r="H17">
        <v>1.08</v>
      </c>
      <c r="I17">
        <v>2.6</v>
      </c>
      <c r="J17">
        <f t="shared" si="0"/>
        <v>126360</v>
      </c>
      <c r="K17" s="1">
        <v>0.192</v>
      </c>
      <c r="L17" s="7">
        <f t="shared" si="1"/>
        <v>9331.2000000000007</v>
      </c>
      <c r="M17">
        <v>1</v>
      </c>
    </row>
    <row r="18" spans="1:14">
      <c r="A18" t="s">
        <v>19</v>
      </c>
      <c r="B18" s="1" t="s">
        <v>34</v>
      </c>
      <c r="C18">
        <v>64.483333000000002</v>
      </c>
      <c r="D18">
        <v>19.433333000000001</v>
      </c>
      <c r="E18" s="1">
        <v>9.3000000000000007</v>
      </c>
      <c r="F18" s="3">
        <v>0.23</v>
      </c>
      <c r="G18">
        <v>3.81</v>
      </c>
      <c r="H18">
        <v>0.42</v>
      </c>
      <c r="I18">
        <v>6.4</v>
      </c>
      <c r="J18">
        <f t="shared" si="0"/>
        <v>595200</v>
      </c>
      <c r="K18" s="1">
        <v>7.0000000000000007E-2</v>
      </c>
      <c r="L18" s="7">
        <f t="shared" si="1"/>
        <v>6510.0000000000009</v>
      </c>
      <c r="M18">
        <v>3</v>
      </c>
    </row>
    <row r="19" spans="1:14">
      <c r="A19" t="s">
        <v>19</v>
      </c>
      <c r="B19" s="1" t="s">
        <v>35</v>
      </c>
      <c r="C19">
        <v>64.483333000000002</v>
      </c>
      <c r="D19">
        <v>19.433333000000001</v>
      </c>
      <c r="E19" s="1">
        <v>2.4</v>
      </c>
      <c r="F19" s="3">
        <v>0.26200000000000001</v>
      </c>
      <c r="G19">
        <v>4.05</v>
      </c>
      <c r="H19">
        <v>0.56000000000000005</v>
      </c>
      <c r="I19">
        <v>7.5</v>
      </c>
      <c r="J19">
        <f t="shared" si="0"/>
        <v>180000</v>
      </c>
      <c r="K19" s="1">
        <v>7.5999999999999998E-2</v>
      </c>
      <c r="L19" s="7">
        <f t="shared" si="1"/>
        <v>1824</v>
      </c>
      <c r="M19">
        <v>3</v>
      </c>
    </row>
    <row r="20" spans="1:14">
      <c r="A20" t="s">
        <v>19</v>
      </c>
      <c r="B20" s="1" t="s">
        <v>36</v>
      </c>
      <c r="C20">
        <v>63.844799999999999</v>
      </c>
      <c r="D20">
        <v>18.616800000000001</v>
      </c>
      <c r="E20" s="4">
        <v>0.76</v>
      </c>
      <c r="F20" s="3">
        <v>0.49199999999999999</v>
      </c>
      <c r="G20">
        <v>17</v>
      </c>
      <c r="H20">
        <v>3.2</v>
      </c>
      <c r="I20">
        <v>2.8</v>
      </c>
      <c r="J20">
        <f t="shared" si="0"/>
        <v>21280</v>
      </c>
      <c r="K20" s="1">
        <v>1.7999999999999999E-2</v>
      </c>
      <c r="L20" s="10">
        <f>(E20*10000)*K20</f>
        <v>136.79999999999998</v>
      </c>
      <c r="M20">
        <v>2</v>
      </c>
    </row>
    <row r="21" spans="1:14">
      <c r="A21" t="s">
        <v>19</v>
      </c>
      <c r="B21" s="1" t="s">
        <v>37</v>
      </c>
      <c r="C21">
        <v>64.261600000000001</v>
      </c>
      <c r="D21">
        <v>19.763500000000001</v>
      </c>
      <c r="E21" s="4">
        <v>4.0999999999999996</v>
      </c>
      <c r="F21" s="3">
        <v>0.44600000000000001</v>
      </c>
      <c r="G21">
        <v>21</v>
      </c>
      <c r="H21">
        <v>4.2</v>
      </c>
      <c r="I21">
        <v>2.7</v>
      </c>
      <c r="J21">
        <f t="shared" si="0"/>
        <v>110700.00000000001</v>
      </c>
      <c r="K21" s="1">
        <v>0.02</v>
      </c>
      <c r="L21" s="10">
        <f>(E21*10000)*K21</f>
        <v>820</v>
      </c>
      <c r="M21">
        <v>2</v>
      </c>
    </row>
    <row r="22" spans="1:14">
      <c r="A22" t="s">
        <v>69</v>
      </c>
      <c r="B22" s="1" t="s">
        <v>39</v>
      </c>
      <c r="C22" s="2">
        <v>68.498610999999997</v>
      </c>
      <c r="D22">
        <v>-149.59861100000001</v>
      </c>
      <c r="E22" s="1">
        <v>0.7</v>
      </c>
      <c r="F22" s="4">
        <v>0.46222099999999999</v>
      </c>
      <c r="G22">
        <v>4.4800000000000004</v>
      </c>
      <c r="H22">
        <v>1.1000000000000001</v>
      </c>
      <c r="I22">
        <v>2.1</v>
      </c>
      <c r="J22">
        <f t="shared" si="0"/>
        <v>14700</v>
      </c>
      <c r="K22" s="1">
        <v>0.11899999999999999</v>
      </c>
      <c r="L22" s="7">
        <f t="shared" ref="L22:L29" si="2">K22*(10000*E22)</f>
        <v>833</v>
      </c>
      <c r="M22" s="1">
        <v>4</v>
      </c>
    </row>
    <row r="23" spans="1:14">
      <c r="A23" t="s">
        <v>69</v>
      </c>
      <c r="B23" s="1" t="s">
        <v>20</v>
      </c>
      <c r="C23">
        <v>68.652500000000003</v>
      </c>
      <c r="D23">
        <v>-149.586389</v>
      </c>
      <c r="E23" s="1">
        <v>5</v>
      </c>
      <c r="F23" s="4">
        <v>0.33630700000000002</v>
      </c>
      <c r="G23" t="s">
        <v>40</v>
      </c>
      <c r="H23">
        <v>0.5</v>
      </c>
      <c r="I23">
        <v>1.3</v>
      </c>
      <c r="J23">
        <f t="shared" si="0"/>
        <v>65000</v>
      </c>
      <c r="K23" s="1">
        <v>0.251</v>
      </c>
      <c r="L23" s="7">
        <f t="shared" si="2"/>
        <v>12550</v>
      </c>
      <c r="M23" s="1">
        <v>5</v>
      </c>
    </row>
    <row r="24" spans="1:14">
      <c r="A24" t="s">
        <v>69</v>
      </c>
      <c r="B24" s="1" t="s">
        <v>21</v>
      </c>
      <c r="C24">
        <v>68.672222000000005</v>
      </c>
      <c r="D24">
        <v>-149.249167</v>
      </c>
      <c r="E24" s="1">
        <v>2.8</v>
      </c>
      <c r="F24" s="5">
        <v>0.7</v>
      </c>
      <c r="G24">
        <v>6.11</v>
      </c>
      <c r="H24">
        <v>2.5</v>
      </c>
      <c r="I24">
        <v>2.2000000000000002</v>
      </c>
      <c r="J24">
        <f t="shared" si="0"/>
        <v>61600.000000000007</v>
      </c>
      <c r="K24" s="1">
        <v>0.10299999999999999</v>
      </c>
      <c r="L24" s="7">
        <f t="shared" si="2"/>
        <v>2884</v>
      </c>
      <c r="M24" s="1">
        <v>6</v>
      </c>
    </row>
    <row r="25" spans="1:14">
      <c r="A25" t="s">
        <v>69</v>
      </c>
      <c r="B25" s="1" t="s">
        <v>22</v>
      </c>
      <c r="C25">
        <v>68.679167000000007</v>
      </c>
      <c r="D25">
        <v>-149.22972200000001</v>
      </c>
      <c r="E25" s="1">
        <v>3.9</v>
      </c>
      <c r="F25" s="6">
        <v>0.28000000000000003</v>
      </c>
      <c r="G25">
        <v>8.07</v>
      </c>
      <c r="H25">
        <v>1.3</v>
      </c>
      <c r="I25">
        <v>2.2000000000000002</v>
      </c>
      <c r="J25">
        <f t="shared" si="0"/>
        <v>85800</v>
      </c>
      <c r="K25" s="1">
        <v>0.14799999999999999</v>
      </c>
      <c r="L25" s="7">
        <f t="shared" si="2"/>
        <v>5772</v>
      </c>
      <c r="M25" s="1">
        <v>6</v>
      </c>
    </row>
    <row r="26" spans="1:14">
      <c r="A26" t="s">
        <v>69</v>
      </c>
      <c r="B26" s="1" t="s">
        <v>23</v>
      </c>
      <c r="C26">
        <v>68.579443999999995</v>
      </c>
      <c r="D26">
        <v>-149.584722</v>
      </c>
      <c r="E26" s="1">
        <v>8.1999999999999993</v>
      </c>
      <c r="F26" s="4">
        <v>0.15149599999999999</v>
      </c>
      <c r="G26">
        <v>8.5299999999999994</v>
      </c>
      <c r="H26">
        <v>0.8</v>
      </c>
      <c r="I26">
        <v>3.2</v>
      </c>
      <c r="J26">
        <f t="shared" si="0"/>
        <v>262400</v>
      </c>
      <c r="K26" s="1">
        <v>0.113</v>
      </c>
      <c r="L26" s="7">
        <f t="shared" si="2"/>
        <v>9266</v>
      </c>
      <c r="M26" s="1">
        <v>5</v>
      </c>
    </row>
    <row r="27" spans="1:14">
      <c r="A27" t="s">
        <v>69</v>
      </c>
      <c r="B27" s="1" t="s">
        <v>24</v>
      </c>
      <c r="C27">
        <v>68.610277999999994</v>
      </c>
      <c r="D27">
        <v>-149.583056</v>
      </c>
      <c r="E27" s="1">
        <v>18.3</v>
      </c>
      <c r="F27" s="4">
        <v>0.25113999999999997</v>
      </c>
      <c r="G27" t="s">
        <v>40</v>
      </c>
      <c r="H27">
        <v>0.9</v>
      </c>
      <c r="I27">
        <v>3.5</v>
      </c>
      <c r="J27">
        <f t="shared" si="0"/>
        <v>640500</v>
      </c>
      <c r="K27" s="1">
        <v>0.107</v>
      </c>
      <c r="L27" s="7">
        <f t="shared" si="2"/>
        <v>19581</v>
      </c>
      <c r="M27" s="1">
        <v>7</v>
      </c>
    </row>
    <row r="28" spans="1:14">
      <c r="A28" t="s">
        <v>69</v>
      </c>
      <c r="B28" s="1" t="s">
        <v>25</v>
      </c>
      <c r="C28">
        <v>68.496388999999994</v>
      </c>
      <c r="D28">
        <v>-149.601944</v>
      </c>
      <c r="E28" s="1">
        <v>5.4</v>
      </c>
      <c r="F28" s="4" t="s">
        <v>40</v>
      </c>
      <c r="G28">
        <v>6.43</v>
      </c>
      <c r="H28">
        <v>0.7</v>
      </c>
      <c r="I28">
        <v>6.4</v>
      </c>
      <c r="J28">
        <f t="shared" si="0"/>
        <v>345600</v>
      </c>
      <c r="K28" s="1">
        <v>7.2999999999999995E-2</v>
      </c>
      <c r="L28" s="7">
        <f t="shared" si="2"/>
        <v>3941.9999999999995</v>
      </c>
      <c r="M28" s="1">
        <v>8</v>
      </c>
    </row>
    <row r="29" spans="1:14">
      <c r="A29" t="s">
        <v>69</v>
      </c>
      <c r="B29" s="1" t="s">
        <v>26</v>
      </c>
      <c r="C29">
        <v>68.662499999999994</v>
      </c>
      <c r="D29">
        <v>-149.62361100000001</v>
      </c>
      <c r="E29" s="1">
        <v>7.5</v>
      </c>
      <c r="F29" s="4">
        <v>0.16487099999999999</v>
      </c>
      <c r="G29">
        <v>4.42</v>
      </c>
      <c r="H29">
        <v>0.5</v>
      </c>
      <c r="I29">
        <v>7.6</v>
      </c>
      <c r="J29">
        <f t="shared" si="0"/>
        <v>570000</v>
      </c>
      <c r="K29" s="1">
        <v>7.9000000000000001E-2</v>
      </c>
      <c r="L29" s="7">
        <f t="shared" si="2"/>
        <v>5925</v>
      </c>
      <c r="M29" s="1">
        <v>5</v>
      </c>
    </row>
    <row r="30" spans="1:14">
      <c r="A30" t="s">
        <v>44</v>
      </c>
      <c r="B30" s="2" t="s">
        <v>47</v>
      </c>
      <c r="C30">
        <v>61.230888999999998</v>
      </c>
      <c r="D30">
        <v>25.141869</v>
      </c>
      <c r="E30" s="1">
        <v>0.4</v>
      </c>
      <c r="F30" s="4">
        <v>0.63500000000000001</v>
      </c>
      <c r="G30">
        <v>24</v>
      </c>
      <c r="H30">
        <v>11.696461195550738</v>
      </c>
      <c r="I30">
        <v>2</v>
      </c>
      <c r="J30">
        <f t="shared" si="0"/>
        <v>8000</v>
      </c>
      <c r="K30" s="9">
        <f t="shared" ref="K30:K37" si="3">L30/(E30*10000)</f>
        <v>0.52973977695167074</v>
      </c>
      <c r="L30" s="7">
        <v>2118.9591078066828</v>
      </c>
      <c r="M30" s="1">
        <v>9</v>
      </c>
    </row>
    <row r="31" spans="1:14">
      <c r="A31" t="s">
        <v>44</v>
      </c>
      <c r="B31" s="1" t="s">
        <v>48</v>
      </c>
      <c r="C31">
        <v>61.214244000000001</v>
      </c>
      <c r="D31">
        <v>25.158387999999999</v>
      </c>
      <c r="E31" s="1">
        <v>1.1000000000000001</v>
      </c>
      <c r="F31" s="4">
        <v>0.745</v>
      </c>
      <c r="G31">
        <v>27</v>
      </c>
      <c r="H31">
        <v>11.12542038546842</v>
      </c>
      <c r="I31">
        <v>7.7</v>
      </c>
      <c r="J31">
        <f t="shared" si="0"/>
        <v>84700</v>
      </c>
      <c r="K31" s="9">
        <f t="shared" si="3"/>
        <v>6.5900642108820448E-2</v>
      </c>
      <c r="L31" s="7">
        <v>724.90706319702497</v>
      </c>
      <c r="M31" s="1">
        <v>9</v>
      </c>
    </row>
    <row r="32" spans="1:14">
      <c r="A32" t="s">
        <v>44</v>
      </c>
      <c r="B32" s="1" t="s">
        <v>49</v>
      </c>
      <c r="C32">
        <v>61.193469</v>
      </c>
      <c r="D32">
        <v>25.132463999999999</v>
      </c>
      <c r="E32" s="1">
        <v>1.1000000000000001</v>
      </c>
      <c r="F32" s="4">
        <v>0.26500000000000001</v>
      </c>
      <c r="G32">
        <v>6</v>
      </c>
      <c r="H32">
        <v>1.6607380475435451</v>
      </c>
      <c r="I32">
        <v>4.2</v>
      </c>
      <c r="J32">
        <f t="shared" si="0"/>
        <v>46200</v>
      </c>
      <c r="K32" s="9">
        <f t="shared" si="3"/>
        <v>0.28050016897600455</v>
      </c>
      <c r="L32" s="7">
        <v>3085.5018587360501</v>
      </c>
      <c r="M32" s="1">
        <v>9</v>
      </c>
      <c r="N32" s="11"/>
    </row>
    <row r="33" spans="1:14">
      <c r="A33" t="s">
        <v>44</v>
      </c>
      <c r="B33" s="1" t="s">
        <v>50</v>
      </c>
      <c r="C33">
        <v>61.177619</v>
      </c>
      <c r="D33">
        <v>25.206720000000001</v>
      </c>
      <c r="E33" s="1">
        <v>0.7</v>
      </c>
      <c r="F33" s="4">
        <v>0.59299999999999997</v>
      </c>
      <c r="G33">
        <v>16</v>
      </c>
      <c r="H33">
        <v>7.3101523569254532</v>
      </c>
      <c r="I33">
        <v>6</v>
      </c>
      <c r="J33">
        <f t="shared" si="0"/>
        <v>42000</v>
      </c>
      <c r="K33" s="9">
        <f t="shared" si="3"/>
        <v>0.24163568773234159</v>
      </c>
      <c r="L33" s="7">
        <v>1691.4498141263912</v>
      </c>
      <c r="M33" s="1">
        <v>9</v>
      </c>
      <c r="N33" s="11"/>
    </row>
    <row r="34" spans="1:14">
      <c r="A34" t="s">
        <v>44</v>
      </c>
      <c r="B34" s="1" t="s">
        <v>51</v>
      </c>
      <c r="C34">
        <v>61.228020000000001</v>
      </c>
      <c r="D34">
        <v>25.192546</v>
      </c>
      <c r="E34" s="1">
        <v>0.4</v>
      </c>
      <c r="F34" s="4">
        <v>0.75800000000000001</v>
      </c>
      <c r="G34">
        <v>30</v>
      </c>
      <c r="H34">
        <v>12.114125036051533</v>
      </c>
      <c r="I34">
        <v>8.6</v>
      </c>
      <c r="J34">
        <f t="shared" si="0"/>
        <v>34400</v>
      </c>
      <c r="K34" s="9">
        <f t="shared" si="3"/>
        <v>0.58085501858735877</v>
      </c>
      <c r="L34" s="7">
        <v>2323.4200743494353</v>
      </c>
      <c r="M34" s="1">
        <v>9</v>
      </c>
    </row>
    <row r="35" spans="1:14">
      <c r="A35" t="s">
        <v>44</v>
      </c>
      <c r="B35" s="1" t="s">
        <v>52</v>
      </c>
      <c r="C35">
        <v>61.222220999999998</v>
      </c>
      <c r="D35">
        <v>25.199522000000002</v>
      </c>
      <c r="E35" s="1">
        <v>0.8</v>
      </c>
      <c r="F35" s="4">
        <v>0.68</v>
      </c>
      <c r="G35">
        <v>14</v>
      </c>
      <c r="H35">
        <v>6.4740975386232478</v>
      </c>
      <c r="I35">
        <v>5.2</v>
      </c>
      <c r="J35">
        <f t="shared" si="0"/>
        <v>41600</v>
      </c>
      <c r="K35" s="9">
        <f t="shared" si="3"/>
        <v>6.8540892193308417E-2</v>
      </c>
      <c r="L35" s="7">
        <v>548.32713754646738</v>
      </c>
      <c r="M35" s="1">
        <v>9</v>
      </c>
    </row>
    <row r="36" spans="1:14">
      <c r="A36" t="s">
        <v>44</v>
      </c>
      <c r="B36" s="1" t="s">
        <v>53</v>
      </c>
      <c r="C36" t="s">
        <v>40</v>
      </c>
      <c r="D36" t="s">
        <v>40</v>
      </c>
      <c r="E36" s="1">
        <v>1.5</v>
      </c>
      <c r="F36" t="s">
        <v>40</v>
      </c>
      <c r="G36" t="s">
        <v>40</v>
      </c>
      <c r="H36" t="s">
        <v>40</v>
      </c>
      <c r="I36">
        <v>6.6</v>
      </c>
      <c r="J36">
        <f t="shared" si="0"/>
        <v>99000</v>
      </c>
      <c r="K36" s="9">
        <f t="shared" si="3"/>
        <v>0.1016109045848822</v>
      </c>
      <c r="L36" s="8">
        <v>1524.163568773233</v>
      </c>
      <c r="M36" s="1">
        <v>9</v>
      </c>
    </row>
    <row r="37" spans="1:14">
      <c r="A37" t="s">
        <v>44</v>
      </c>
      <c r="B37" s="2" t="s">
        <v>54</v>
      </c>
      <c r="C37">
        <v>61.222648</v>
      </c>
      <c r="D37">
        <v>25.137464999999999</v>
      </c>
      <c r="E37" s="1">
        <v>2.2999999999999998</v>
      </c>
      <c r="F37">
        <v>0.52400000000000002</v>
      </c>
      <c r="G37">
        <v>22</v>
      </c>
      <c r="H37">
        <v>13.644180633161636</v>
      </c>
      <c r="I37">
        <v>3.8</v>
      </c>
      <c r="J37">
        <f t="shared" si="0"/>
        <v>87400</v>
      </c>
      <c r="K37" s="9">
        <f t="shared" si="3"/>
        <v>5.6166154840795166E-2</v>
      </c>
      <c r="L37" s="8">
        <v>1291.8215613382888</v>
      </c>
      <c r="M37" s="1">
        <v>9</v>
      </c>
    </row>
    <row r="38" spans="1:14">
      <c r="A38" t="s">
        <v>69</v>
      </c>
      <c r="B38" t="s">
        <v>70</v>
      </c>
      <c r="C38">
        <v>71.3</v>
      </c>
      <c r="D38">
        <v>-156.69999999999999</v>
      </c>
      <c r="E38" s="4">
        <v>8.8400000000000006E-2</v>
      </c>
      <c r="F38" t="s">
        <v>40</v>
      </c>
      <c r="G38" t="s">
        <v>40</v>
      </c>
      <c r="H38" t="s">
        <v>40</v>
      </c>
      <c r="I38">
        <f t="shared" ref="I38:I43" si="4">J38/(E38*10000)</f>
        <v>0.12104072398190044</v>
      </c>
      <c r="J38" s="4">
        <v>107</v>
      </c>
      <c r="K38" s="9">
        <f>(0.6+10.1)/78</f>
        <v>0.13717948717948716</v>
      </c>
      <c r="L38" s="14">
        <f t="shared" ref="L38:L44" si="5">(E38*10000)*K38</f>
        <v>121.26666666666667</v>
      </c>
      <c r="M38">
        <v>10</v>
      </c>
    </row>
    <row r="39" spans="1:14">
      <c r="A39" t="s">
        <v>69</v>
      </c>
      <c r="B39" t="s">
        <v>71</v>
      </c>
      <c r="C39">
        <v>71.3</v>
      </c>
      <c r="D39">
        <v>-156.69999999999999</v>
      </c>
      <c r="E39" s="4">
        <v>9.01E-2</v>
      </c>
      <c r="F39" t="s">
        <v>40</v>
      </c>
      <c r="G39" t="s">
        <v>40</v>
      </c>
      <c r="H39" t="s">
        <v>40</v>
      </c>
      <c r="I39">
        <f t="shared" si="4"/>
        <v>0.11542730299667037</v>
      </c>
      <c r="J39" s="4">
        <v>104</v>
      </c>
      <c r="K39" s="9">
        <f>(0.7+8.9)/78</f>
        <v>0.12307692307692307</v>
      </c>
      <c r="L39" s="14">
        <f t="shared" si="5"/>
        <v>110.89230769230768</v>
      </c>
      <c r="M39">
        <v>10</v>
      </c>
    </row>
    <row r="40" spans="1:14">
      <c r="A40" t="s">
        <v>69</v>
      </c>
      <c r="B40" t="s">
        <v>72</v>
      </c>
      <c r="C40">
        <v>71.3</v>
      </c>
      <c r="D40">
        <v>-156.69999999999999</v>
      </c>
      <c r="E40" s="4">
        <v>7.5200000000000003E-2</v>
      </c>
      <c r="F40" t="s">
        <v>40</v>
      </c>
      <c r="G40" t="s">
        <v>40</v>
      </c>
      <c r="H40" t="s">
        <v>40</v>
      </c>
      <c r="I40">
        <f t="shared" si="4"/>
        <v>0.1077127659574468</v>
      </c>
      <c r="J40" s="4">
        <v>81</v>
      </c>
      <c r="K40" s="12">
        <f>(0.5+8.1)/78</f>
        <v>0.11025641025641025</v>
      </c>
      <c r="L40" s="14">
        <f t="shared" si="5"/>
        <v>82.912820512820517</v>
      </c>
      <c r="M40">
        <v>10</v>
      </c>
    </row>
    <row r="41" spans="1:14">
      <c r="A41" t="s">
        <v>69</v>
      </c>
      <c r="B41" t="s">
        <v>73</v>
      </c>
      <c r="C41">
        <v>71.3</v>
      </c>
      <c r="D41">
        <v>-156.69999999999999</v>
      </c>
      <c r="E41" s="4">
        <v>5.9499999999999997E-2</v>
      </c>
      <c r="F41" t="s">
        <v>40</v>
      </c>
      <c r="G41" t="s">
        <v>40</v>
      </c>
      <c r="H41" t="s">
        <v>40</v>
      </c>
      <c r="I41">
        <f t="shared" si="4"/>
        <v>0.10084033613445378</v>
      </c>
      <c r="J41" s="4">
        <v>60</v>
      </c>
      <c r="K41" s="12">
        <f>(0.9+9.9)/78</f>
        <v>0.13846153846153847</v>
      </c>
      <c r="L41" s="14">
        <f t="shared" si="5"/>
        <v>82.384615384615387</v>
      </c>
      <c r="M41">
        <v>10</v>
      </c>
    </row>
    <row r="42" spans="1:14">
      <c r="A42" t="s">
        <v>69</v>
      </c>
      <c r="B42" t="s">
        <v>74</v>
      </c>
      <c r="C42">
        <v>71.3</v>
      </c>
      <c r="D42">
        <v>-156.69999999999999</v>
      </c>
      <c r="E42" s="4">
        <v>7.2800000000000004E-2</v>
      </c>
      <c r="F42" t="s">
        <v>40</v>
      </c>
      <c r="G42" t="s">
        <v>40</v>
      </c>
      <c r="H42" t="s">
        <v>40</v>
      </c>
      <c r="I42">
        <f t="shared" si="4"/>
        <v>9.8901098901098897E-2</v>
      </c>
      <c r="J42" s="4">
        <v>72</v>
      </c>
      <c r="K42" s="12">
        <f>(0.9+9.3)/78</f>
        <v>0.13076923076923078</v>
      </c>
      <c r="L42" s="14">
        <f t="shared" si="5"/>
        <v>95.2</v>
      </c>
      <c r="M42">
        <v>10</v>
      </c>
    </row>
    <row r="43" spans="1:14">
      <c r="A43" t="s">
        <v>69</v>
      </c>
      <c r="B43" t="s">
        <v>75</v>
      </c>
      <c r="C43">
        <v>71.3</v>
      </c>
      <c r="D43">
        <v>-156.69999999999999</v>
      </c>
      <c r="E43" s="4">
        <v>5.4600000000000003E-2</v>
      </c>
      <c r="F43" t="s">
        <v>40</v>
      </c>
      <c r="G43" t="s">
        <v>40</v>
      </c>
      <c r="H43" t="s">
        <v>40</v>
      </c>
      <c r="I43">
        <f t="shared" si="4"/>
        <v>0.1227106227106227</v>
      </c>
      <c r="J43" s="4">
        <v>67</v>
      </c>
      <c r="K43" s="12">
        <f>(0.6+4.1)/78</f>
        <v>6.0256410256410251E-2</v>
      </c>
      <c r="L43" s="14">
        <f t="shared" si="5"/>
        <v>32.9</v>
      </c>
      <c r="M43">
        <v>10</v>
      </c>
    </row>
    <row r="44" spans="1:14">
      <c r="A44" t="s">
        <v>69</v>
      </c>
      <c r="B44" t="s">
        <v>76</v>
      </c>
      <c r="C44">
        <v>71.3</v>
      </c>
      <c r="D44">
        <v>-156.69999999999999</v>
      </c>
      <c r="E44">
        <v>1200</v>
      </c>
      <c r="F44" t="s">
        <v>40</v>
      </c>
      <c r="G44" t="s">
        <v>40</v>
      </c>
      <c r="H44" t="s">
        <v>40</v>
      </c>
      <c r="I44">
        <v>2</v>
      </c>
      <c r="J44">
        <f t="shared" ref="J44:J66" si="6">(E44*10000)*I44</f>
        <v>24000000</v>
      </c>
      <c r="K44" s="12">
        <f>(2.2+2.3)/78</f>
        <v>5.7692307692307696E-2</v>
      </c>
      <c r="L44" s="8">
        <f t="shared" si="5"/>
        <v>692307.69230769237</v>
      </c>
      <c r="M44">
        <v>10</v>
      </c>
    </row>
    <row r="45" spans="1:14">
      <c r="A45" t="s">
        <v>79</v>
      </c>
      <c r="B45" t="s">
        <v>80</v>
      </c>
      <c r="C45">
        <v>38.984886000000003</v>
      </c>
      <c r="D45">
        <v>-122.67300400000001</v>
      </c>
      <c r="E45" s="13">
        <f>AVERAGE(384373,378389,366422,342438,351438,384373,384373,397459,436330,462308,442824,416846,423341,410351,403905,384373)/10000</f>
        <v>39.809643749999999</v>
      </c>
      <c r="F45" t="s">
        <v>40</v>
      </c>
      <c r="G45" t="s">
        <v>40</v>
      </c>
      <c r="H45" t="s">
        <v>40</v>
      </c>
      <c r="I45" s="13">
        <f>AVERAGE(0.64,0.73,0.52,0.4,0.44,0.64,0.64,0.72,0.94,1.08,0.98,0.83,0.87,0.79,0.76,0.64)</f>
        <v>0.72624999999999995</v>
      </c>
      <c r="J45">
        <f t="shared" si="6"/>
        <v>289117.53773437499</v>
      </c>
      <c r="K45">
        <v>0.98080000000000001</v>
      </c>
      <c r="L45" s="8">
        <f>(101000+75500)</f>
        <v>176500</v>
      </c>
      <c r="M45">
        <v>11</v>
      </c>
    </row>
    <row r="46" spans="1:14">
      <c r="A46" t="s">
        <v>87</v>
      </c>
      <c r="B46" t="s">
        <v>83</v>
      </c>
      <c r="C46">
        <v>46.251145999999999</v>
      </c>
      <c r="D46">
        <v>-89.503641000000002</v>
      </c>
      <c r="E46" s="4">
        <v>1.7</v>
      </c>
      <c r="F46" s="4">
        <v>0.3105</v>
      </c>
      <c r="G46" s="4">
        <v>4.4000000000000004</v>
      </c>
      <c r="H46" s="4">
        <f>23/(5*5.7)</f>
        <v>0.80701754385964908</v>
      </c>
      <c r="I46">
        <v>3.7</v>
      </c>
      <c r="J46">
        <f t="shared" si="6"/>
        <v>62900</v>
      </c>
      <c r="K46" s="12">
        <f>(42+139)/(30*5)</f>
        <v>1.2066666666666668</v>
      </c>
      <c r="L46" s="8">
        <f t="shared" ref="L46:L55" si="7">(E46*10000)*K46</f>
        <v>20513.333333333336</v>
      </c>
      <c r="M46">
        <v>12</v>
      </c>
    </row>
    <row r="47" spans="1:14">
      <c r="A47" t="s">
        <v>87</v>
      </c>
      <c r="B47" t="s">
        <v>84</v>
      </c>
      <c r="C47">
        <v>46.235715999999996</v>
      </c>
      <c r="D47">
        <v>-89.498942</v>
      </c>
      <c r="E47" s="4">
        <v>3.4</v>
      </c>
      <c r="F47" s="4" t="s">
        <v>40</v>
      </c>
      <c r="G47" s="4">
        <v>7.53</v>
      </c>
      <c r="H47" s="4">
        <f>23/(5*5.1)</f>
        <v>0.90196078431372551</v>
      </c>
      <c r="I47">
        <v>4.7</v>
      </c>
      <c r="J47">
        <f t="shared" si="6"/>
        <v>159800</v>
      </c>
      <c r="K47" s="12">
        <f>(40+154)/(30*5)</f>
        <v>1.2933333333333332</v>
      </c>
      <c r="L47" s="8">
        <f t="shared" si="7"/>
        <v>43973.333333333328</v>
      </c>
      <c r="M47">
        <v>13</v>
      </c>
    </row>
    <row r="48" spans="1:14">
      <c r="A48" t="s">
        <v>87</v>
      </c>
      <c r="B48" t="s">
        <v>85</v>
      </c>
      <c r="C48">
        <v>46.235715999999996</v>
      </c>
      <c r="D48">
        <v>-89.498942</v>
      </c>
      <c r="E48" s="4">
        <v>2.2999999999999998</v>
      </c>
      <c r="F48" s="4" t="s">
        <v>40</v>
      </c>
      <c r="G48" s="4">
        <v>12.18</v>
      </c>
      <c r="H48" s="4">
        <f>23/(5*2.6)</f>
        <v>1.7692307692307692</v>
      </c>
      <c r="I48">
        <v>4.9000000000000004</v>
      </c>
      <c r="J48">
        <f t="shared" si="6"/>
        <v>112700.00000000001</v>
      </c>
      <c r="K48" s="12">
        <f>(62+64)/(30*5)</f>
        <v>0.84</v>
      </c>
      <c r="L48" s="8">
        <f t="shared" si="7"/>
        <v>19320</v>
      </c>
      <c r="M48">
        <v>13</v>
      </c>
    </row>
    <row r="49" spans="1:13">
      <c r="A49" t="s">
        <v>87</v>
      </c>
      <c r="B49" t="s">
        <v>86</v>
      </c>
      <c r="C49">
        <v>46.252930999999997</v>
      </c>
      <c r="D49">
        <v>-89.503754999999998</v>
      </c>
      <c r="E49" s="4">
        <v>2.7</v>
      </c>
      <c r="F49" s="4">
        <v>0.4335</v>
      </c>
      <c r="G49" s="4">
        <v>5.4</v>
      </c>
      <c r="H49" s="4">
        <f>23/(5*6.3)</f>
        <v>0.73015873015873012</v>
      </c>
      <c r="I49">
        <v>5.7</v>
      </c>
      <c r="J49">
        <f t="shared" si="6"/>
        <v>153900</v>
      </c>
      <c r="K49" s="12">
        <f>(77+150)/(30*5)</f>
        <v>1.5133333333333334</v>
      </c>
      <c r="L49" s="8">
        <f t="shared" si="7"/>
        <v>40860</v>
      </c>
      <c r="M49">
        <v>12</v>
      </c>
    </row>
    <row r="50" spans="1:13">
      <c r="A50" t="s">
        <v>94</v>
      </c>
      <c r="B50" s="2" t="s">
        <v>95</v>
      </c>
      <c r="C50">
        <v>53.016666999999998</v>
      </c>
      <c r="D50">
        <v>13.583333</v>
      </c>
      <c r="E50" s="4">
        <v>3.3</v>
      </c>
      <c r="F50">
        <v>1.2</v>
      </c>
      <c r="G50" s="4">
        <v>12.3</v>
      </c>
      <c r="H50" s="4">
        <v>1.2</v>
      </c>
      <c r="I50">
        <v>1.7</v>
      </c>
      <c r="J50">
        <f t="shared" si="6"/>
        <v>56100</v>
      </c>
      <c r="K50" s="12">
        <f>(141+10+243)/365</f>
        <v>1.0794520547945206</v>
      </c>
      <c r="L50" s="8">
        <f t="shared" si="7"/>
        <v>35621.917808219179</v>
      </c>
      <c r="M50">
        <v>14</v>
      </c>
    </row>
    <row r="51" spans="1:13">
      <c r="A51" t="s">
        <v>94</v>
      </c>
      <c r="B51" s="1" t="s">
        <v>96</v>
      </c>
      <c r="C51">
        <v>53.233333000000002</v>
      </c>
      <c r="D51">
        <v>13.266667</v>
      </c>
      <c r="E51" s="4">
        <v>3.9</v>
      </c>
      <c r="F51">
        <v>0.9</v>
      </c>
      <c r="G51" s="4">
        <v>11.3</v>
      </c>
      <c r="H51" s="4">
        <v>0.7</v>
      </c>
      <c r="I51">
        <v>2.2000000000000002</v>
      </c>
      <c r="J51">
        <f t="shared" si="6"/>
        <v>85800</v>
      </c>
      <c r="K51" s="12">
        <f>(182+33+258)/365</f>
        <v>1.295890410958904</v>
      </c>
      <c r="L51" s="8">
        <f t="shared" si="7"/>
        <v>50539.726027397257</v>
      </c>
      <c r="M51">
        <v>14</v>
      </c>
    </row>
    <row r="52" spans="1:13">
      <c r="A52" t="s">
        <v>102</v>
      </c>
      <c r="B52" s="1" t="s">
        <v>101</v>
      </c>
      <c r="C52">
        <v>69.508332999999993</v>
      </c>
      <c r="D52">
        <v>-132.466667</v>
      </c>
      <c r="E52" s="4">
        <v>282.8</v>
      </c>
      <c r="F52" t="s">
        <v>40</v>
      </c>
      <c r="G52" s="4">
        <v>5.0000000000000001E-3</v>
      </c>
      <c r="H52">
        <f>1.7/2.15</f>
        <v>0.79069767441860461</v>
      </c>
      <c r="I52">
        <v>1.45</v>
      </c>
      <c r="J52">
        <f t="shared" si="6"/>
        <v>4100600</v>
      </c>
      <c r="K52" s="12">
        <v>0.45041249999999994</v>
      </c>
      <c r="L52" s="8">
        <f t="shared" si="7"/>
        <v>1273766.5499999998</v>
      </c>
      <c r="M52">
        <v>15</v>
      </c>
    </row>
    <row r="53" spans="1:13">
      <c r="A53" t="s">
        <v>94</v>
      </c>
      <c r="B53" s="1" t="s">
        <v>106</v>
      </c>
      <c r="C53">
        <v>56.016666999999998</v>
      </c>
      <c r="D53">
        <v>9.4583329999999997</v>
      </c>
      <c r="E53" s="4">
        <v>10.5</v>
      </c>
      <c r="F53" t="s">
        <v>40</v>
      </c>
      <c r="G53">
        <v>3.94</v>
      </c>
      <c r="H53">
        <v>0.51</v>
      </c>
      <c r="I53">
        <v>4.5999999999999996</v>
      </c>
      <c r="J53">
        <f t="shared" si="6"/>
        <v>482999.99999999994</v>
      </c>
      <c r="K53" s="12">
        <f>24.6/213</f>
        <v>0.11549295774647889</v>
      </c>
      <c r="L53" s="8">
        <f t="shared" si="7"/>
        <v>12126.760563380283</v>
      </c>
      <c r="M53">
        <v>16</v>
      </c>
    </row>
    <row r="54" spans="1:13">
      <c r="A54" t="s">
        <v>102</v>
      </c>
      <c r="B54" s="1" t="s">
        <v>112</v>
      </c>
      <c r="C54">
        <v>49.316667000000002</v>
      </c>
      <c r="D54">
        <v>-122.55</v>
      </c>
      <c r="E54" s="4">
        <v>13.33</v>
      </c>
      <c r="F54" t="s">
        <v>40</v>
      </c>
      <c r="G54" t="s">
        <v>40</v>
      </c>
      <c r="H54">
        <v>0.46800000000000003</v>
      </c>
      <c r="I54">
        <v>2.4</v>
      </c>
      <c r="J54">
        <f t="shared" si="6"/>
        <v>319920</v>
      </c>
      <c r="K54" s="12">
        <v>0.32289333333333331</v>
      </c>
      <c r="L54" s="8">
        <f t="shared" si="7"/>
        <v>43041.681333333327</v>
      </c>
      <c r="M54">
        <v>17</v>
      </c>
    </row>
    <row r="55" spans="1:13">
      <c r="A55" t="s">
        <v>116</v>
      </c>
      <c r="B55" s="1" t="s">
        <v>117</v>
      </c>
      <c r="C55">
        <v>43.941670000000002</v>
      </c>
      <c r="D55">
        <v>-71.691670000000002</v>
      </c>
      <c r="E55" s="4">
        <v>15</v>
      </c>
      <c r="F55" s="4">
        <v>0.19500000000000001</v>
      </c>
      <c r="G55">
        <v>2.75</v>
      </c>
      <c r="H55">
        <v>0.34</v>
      </c>
      <c r="I55">
        <v>5.75</v>
      </c>
      <c r="J55">
        <f t="shared" si="6"/>
        <v>862500</v>
      </c>
      <c r="K55" s="12">
        <v>0.13525330396475771</v>
      </c>
      <c r="L55" s="8">
        <f t="shared" si="7"/>
        <v>20287.995594713655</v>
      </c>
      <c r="M55">
        <v>18</v>
      </c>
    </row>
    <row r="56" spans="1:13">
      <c r="A56" t="s">
        <v>124</v>
      </c>
      <c r="B56" s="1" t="s">
        <v>120</v>
      </c>
      <c r="C56">
        <v>49.666666999999997</v>
      </c>
      <c r="D56">
        <v>-93.716667000000001</v>
      </c>
      <c r="E56" s="4">
        <v>56.1</v>
      </c>
      <c r="F56" s="4" t="s">
        <v>40</v>
      </c>
      <c r="G56" t="s">
        <v>40</v>
      </c>
      <c r="H56">
        <f>1.7/4</f>
        <v>0.42499999999999999</v>
      </c>
      <c r="I56">
        <v>10.5</v>
      </c>
      <c r="J56">
        <f t="shared" si="6"/>
        <v>5890500</v>
      </c>
      <c r="K56" s="12">
        <v>0.44209750824894756</v>
      </c>
      <c r="L56" s="8">
        <v>248016.70212765958</v>
      </c>
      <c r="M56">
        <v>19</v>
      </c>
    </row>
    <row r="57" spans="1:13">
      <c r="A57" t="s">
        <v>124</v>
      </c>
      <c r="B57" s="1" t="s">
        <v>121</v>
      </c>
      <c r="C57">
        <v>49.666666999999997</v>
      </c>
      <c r="D57">
        <v>-93.716667000000001</v>
      </c>
      <c r="E57" s="4">
        <v>44.1</v>
      </c>
      <c r="F57" s="4" t="s">
        <v>40</v>
      </c>
      <c r="G57" t="s">
        <v>40</v>
      </c>
      <c r="H57">
        <f>1.7/3.75</f>
        <v>0.45333333333333331</v>
      </c>
      <c r="I57">
        <v>6.1</v>
      </c>
      <c r="J57">
        <f t="shared" si="6"/>
        <v>2690100</v>
      </c>
      <c r="K57" s="12">
        <v>0.27125126646403241</v>
      </c>
      <c r="L57" s="8">
        <v>119621.80851063829</v>
      </c>
      <c r="M57">
        <v>19</v>
      </c>
    </row>
    <row r="58" spans="1:13">
      <c r="A58" t="s">
        <v>129</v>
      </c>
      <c r="B58" s="1" t="s">
        <v>126</v>
      </c>
      <c r="C58">
        <v>74.7</v>
      </c>
      <c r="D58">
        <v>-94.833330000000004</v>
      </c>
      <c r="E58" s="4">
        <v>52.6</v>
      </c>
      <c r="F58" s="4" t="s">
        <v>40</v>
      </c>
      <c r="G58">
        <v>0.98</v>
      </c>
      <c r="H58">
        <v>0.14799999999999999</v>
      </c>
      <c r="I58">
        <v>10.199999999999999</v>
      </c>
      <c r="J58">
        <f t="shared" si="6"/>
        <v>5365200</v>
      </c>
      <c r="K58" s="12">
        <v>0.197196261682243</v>
      </c>
      <c r="L58" s="8">
        <f t="shared" ref="L58:L74" si="8">(E58*10000)*K58</f>
        <v>103725.23364485982</v>
      </c>
      <c r="M58">
        <v>20</v>
      </c>
    </row>
    <row r="59" spans="1:13">
      <c r="A59" t="s">
        <v>138</v>
      </c>
      <c r="B59" s="1" t="s">
        <v>132</v>
      </c>
      <c r="C59">
        <v>46</v>
      </c>
      <c r="D59" t="s">
        <v>40</v>
      </c>
      <c r="E59">
        <v>8.1</v>
      </c>
      <c r="F59">
        <v>0.34300000000000003</v>
      </c>
      <c r="G59">
        <v>5.2</v>
      </c>
      <c r="H59">
        <v>0.33</v>
      </c>
      <c r="I59">
        <v>3.1</v>
      </c>
      <c r="J59">
        <f t="shared" si="6"/>
        <v>251100</v>
      </c>
      <c r="K59" s="15">
        <v>0.364535</v>
      </c>
      <c r="L59" s="8">
        <f t="shared" si="8"/>
        <v>29527.334999999999</v>
      </c>
      <c r="M59">
        <v>21</v>
      </c>
    </row>
    <row r="60" spans="1:13">
      <c r="A60" t="s">
        <v>138</v>
      </c>
      <c r="B60" s="1" t="s">
        <v>133</v>
      </c>
      <c r="C60">
        <v>46</v>
      </c>
      <c r="D60" t="s">
        <v>40</v>
      </c>
      <c r="E60">
        <v>36.700000000000003</v>
      </c>
      <c r="F60">
        <v>0.13500000000000001</v>
      </c>
      <c r="G60">
        <v>2.4</v>
      </c>
      <c r="H60">
        <v>0.28999999999999998</v>
      </c>
      <c r="I60">
        <v>10.4</v>
      </c>
      <c r="J60">
        <f t="shared" si="6"/>
        <v>3816800</v>
      </c>
      <c r="K60" s="15">
        <v>1.2901200000000002</v>
      </c>
      <c r="L60" s="8">
        <f t="shared" si="8"/>
        <v>473474.04000000004</v>
      </c>
      <c r="M60">
        <v>21</v>
      </c>
    </row>
    <row r="61" spans="1:13">
      <c r="A61" t="s">
        <v>138</v>
      </c>
      <c r="B61" s="1" t="s">
        <v>134</v>
      </c>
      <c r="C61">
        <v>46</v>
      </c>
      <c r="D61" t="s">
        <v>40</v>
      </c>
      <c r="E61">
        <v>64</v>
      </c>
      <c r="F61">
        <v>0.21299999999999999</v>
      </c>
      <c r="G61">
        <v>3.3</v>
      </c>
      <c r="H61">
        <v>0.28000000000000003</v>
      </c>
      <c r="I61">
        <v>10.9</v>
      </c>
      <c r="J61">
        <f t="shared" si="6"/>
        <v>6976000</v>
      </c>
      <c r="K61" s="15">
        <v>0.67537970000000003</v>
      </c>
      <c r="L61" s="8">
        <f t="shared" si="8"/>
        <v>432243.00800000003</v>
      </c>
      <c r="M61">
        <v>21</v>
      </c>
    </row>
    <row r="62" spans="1:13">
      <c r="A62" t="s">
        <v>138</v>
      </c>
      <c r="B62" s="1" t="s">
        <v>135</v>
      </c>
      <c r="C62">
        <v>46</v>
      </c>
      <c r="D62" t="s">
        <v>40</v>
      </c>
      <c r="E62">
        <v>1607</v>
      </c>
      <c r="F62">
        <v>0.183</v>
      </c>
      <c r="G62">
        <v>2.8</v>
      </c>
      <c r="H62">
        <v>0.34</v>
      </c>
      <c r="I62">
        <v>14.6</v>
      </c>
      <c r="J62">
        <f t="shared" si="6"/>
        <v>234622000</v>
      </c>
      <c r="K62" s="15">
        <v>0.94047999999999987</v>
      </c>
      <c r="L62" s="8">
        <f t="shared" si="8"/>
        <v>15113513.599999998</v>
      </c>
      <c r="M62">
        <v>21</v>
      </c>
    </row>
    <row r="63" spans="1:13">
      <c r="A63" t="s">
        <v>44</v>
      </c>
      <c r="B63" t="s">
        <v>140</v>
      </c>
      <c r="C63" s="16">
        <v>61.066667000000002</v>
      </c>
      <c r="D63" s="16">
        <v>25.083333</v>
      </c>
      <c r="E63" s="8">
        <v>1340</v>
      </c>
      <c r="F63" s="15">
        <v>0.94899999999999995</v>
      </c>
      <c r="G63" s="15" t="s">
        <v>40</v>
      </c>
      <c r="H63" s="15">
        <v>1.88</v>
      </c>
      <c r="I63" s="15">
        <v>14.4</v>
      </c>
      <c r="J63" s="8">
        <f t="shared" si="6"/>
        <v>192960000</v>
      </c>
      <c r="K63" s="15">
        <v>0.25609999999999999</v>
      </c>
      <c r="L63" s="8">
        <f t="shared" si="8"/>
        <v>3431740</v>
      </c>
      <c r="M63" s="8">
        <v>22</v>
      </c>
    </row>
    <row r="64" spans="1:13">
      <c r="A64" t="s">
        <v>19</v>
      </c>
      <c r="B64" s="1" t="s">
        <v>143</v>
      </c>
      <c r="C64">
        <v>60.366667</v>
      </c>
      <c r="D64">
        <v>18.2</v>
      </c>
      <c r="E64">
        <v>23</v>
      </c>
      <c r="F64">
        <v>1.1319999999999999</v>
      </c>
      <c r="G64">
        <v>24.6</v>
      </c>
      <c r="H64">
        <v>4.8</v>
      </c>
      <c r="I64" s="13">
        <v>1.5</v>
      </c>
      <c r="J64">
        <f t="shared" si="6"/>
        <v>345000</v>
      </c>
      <c r="K64" s="15">
        <v>0.376</v>
      </c>
      <c r="L64" s="8">
        <f t="shared" si="8"/>
        <v>86480</v>
      </c>
      <c r="M64">
        <v>23</v>
      </c>
    </row>
    <row r="65" spans="1:13">
      <c r="A65" t="s">
        <v>147</v>
      </c>
      <c r="B65" s="1" t="s">
        <v>148</v>
      </c>
      <c r="C65">
        <v>64.166667000000004</v>
      </c>
      <c r="D65">
        <v>-21.166667</v>
      </c>
      <c r="E65">
        <f>83*100</f>
        <v>8300</v>
      </c>
      <c r="F65" t="s">
        <v>40</v>
      </c>
      <c r="G65" t="s">
        <v>40</v>
      </c>
      <c r="H65">
        <v>0.18175000000000002</v>
      </c>
      <c r="I65">
        <v>34</v>
      </c>
      <c r="J65">
        <f t="shared" si="6"/>
        <v>2822000000</v>
      </c>
      <c r="K65" s="15">
        <v>0.48495343646578926</v>
      </c>
      <c r="L65" s="8">
        <f t="shared" si="8"/>
        <v>40251135.226660505</v>
      </c>
      <c r="M65">
        <v>24</v>
      </c>
    </row>
    <row r="66" spans="1:13">
      <c r="A66" s="15" t="s">
        <v>87</v>
      </c>
      <c r="B66" s="17" t="s">
        <v>152</v>
      </c>
      <c r="C66" s="15">
        <v>42.440905000000001</v>
      </c>
      <c r="D66" s="15">
        <v>-85.349923000000004</v>
      </c>
      <c r="E66" s="15">
        <v>4.96</v>
      </c>
      <c r="F66" s="15" t="s">
        <v>40</v>
      </c>
      <c r="G66" s="15">
        <v>5.6</v>
      </c>
      <c r="H66" s="15" t="s">
        <v>40</v>
      </c>
      <c r="I66" s="15">
        <v>5.89</v>
      </c>
      <c r="J66">
        <f t="shared" si="6"/>
        <v>292144</v>
      </c>
      <c r="K66" s="15">
        <f>(43.41+37.86+2)/(365-31)</f>
        <v>0.24931137724550897</v>
      </c>
      <c r="L66" s="8">
        <f t="shared" si="8"/>
        <v>12365.844311377245</v>
      </c>
      <c r="M66" s="8">
        <v>25</v>
      </c>
    </row>
    <row r="67" spans="1:13">
      <c r="A67" s="15" t="s">
        <v>154</v>
      </c>
      <c r="B67" s="17" t="s">
        <v>155</v>
      </c>
      <c r="C67" s="15">
        <v>42.25</v>
      </c>
      <c r="D67" s="15">
        <v>-72.5</v>
      </c>
      <c r="E67" s="15">
        <v>0.26800000000000002</v>
      </c>
      <c r="F67" s="15" t="s">
        <v>40</v>
      </c>
      <c r="G67" s="15" t="s">
        <v>40</v>
      </c>
      <c r="H67" s="15" t="s">
        <v>40</v>
      </c>
      <c r="I67" s="15">
        <f>J67/(E67*10000)</f>
        <v>0.33582089552238809</v>
      </c>
      <c r="J67" s="15">
        <v>900</v>
      </c>
      <c r="K67" s="15">
        <v>1.206</v>
      </c>
      <c r="L67" s="8">
        <f t="shared" si="8"/>
        <v>3232.08</v>
      </c>
      <c r="M67" s="8">
        <v>26</v>
      </c>
    </row>
    <row r="68" spans="1:13">
      <c r="A68" s="15" t="s">
        <v>94</v>
      </c>
      <c r="B68" s="15" t="s">
        <v>158</v>
      </c>
      <c r="C68" s="15" t="s">
        <v>40</v>
      </c>
      <c r="D68" s="15" t="s">
        <v>40</v>
      </c>
      <c r="E68" s="15">
        <v>20.7</v>
      </c>
      <c r="F68" s="15">
        <v>1.95</v>
      </c>
      <c r="G68" s="15" t="s">
        <v>40</v>
      </c>
      <c r="H68" s="15">
        <v>3.2519999999999998</v>
      </c>
      <c r="I68" s="15">
        <v>0.8</v>
      </c>
      <c r="J68" s="15">
        <f>(10000*E68)*I68</f>
        <v>165600</v>
      </c>
      <c r="K68" s="15">
        <v>0.49159999999999998</v>
      </c>
      <c r="L68" s="8">
        <f t="shared" si="8"/>
        <v>101761.2</v>
      </c>
      <c r="M68" s="8">
        <v>27</v>
      </c>
    </row>
    <row r="69" spans="1:13">
      <c r="A69" s="15" t="s">
        <v>94</v>
      </c>
      <c r="B69" s="15" t="s">
        <v>159</v>
      </c>
      <c r="C69" s="15" t="s">
        <v>40</v>
      </c>
      <c r="D69" s="15" t="s">
        <v>40</v>
      </c>
      <c r="E69" s="15">
        <v>38.9</v>
      </c>
      <c r="F69" s="15">
        <v>1.52</v>
      </c>
      <c r="G69" s="15" t="s">
        <v>40</v>
      </c>
      <c r="H69" s="15">
        <v>4.7560000000000002</v>
      </c>
      <c r="I69" s="15">
        <v>1</v>
      </c>
      <c r="J69" s="15">
        <f>(10000*E69)*I69</f>
        <v>389000</v>
      </c>
      <c r="K69" s="15">
        <v>0.70940000000000003</v>
      </c>
      <c r="L69" s="8">
        <f t="shared" si="8"/>
        <v>275956.60000000003</v>
      </c>
      <c r="M69" s="8">
        <v>27</v>
      </c>
    </row>
    <row r="70" spans="1:13">
      <c r="A70" s="15" t="s">
        <v>69</v>
      </c>
      <c r="B70" s="15" t="s">
        <v>162</v>
      </c>
      <c r="C70" s="15">
        <v>68.616667000000007</v>
      </c>
      <c r="D70" s="15">
        <v>-149.6</v>
      </c>
      <c r="E70" s="15">
        <v>5.6</v>
      </c>
      <c r="F70" s="15" t="s">
        <v>40</v>
      </c>
      <c r="G70" s="15">
        <v>4.0999999999999996</v>
      </c>
      <c r="H70" s="15">
        <f>1.7/6.8</f>
        <v>0.25</v>
      </c>
      <c r="I70" s="15">
        <v>8.3000000000000007</v>
      </c>
      <c r="J70" s="15">
        <f t="shared" ref="J70:J74" si="9">(10000*E70)*I70</f>
        <v>464800.00000000006</v>
      </c>
      <c r="K70" s="15">
        <f>0.0415+0.1428</f>
        <v>0.18430000000000002</v>
      </c>
      <c r="L70" s="8">
        <f t="shared" si="8"/>
        <v>10320.800000000001</v>
      </c>
      <c r="M70" s="8">
        <v>28</v>
      </c>
    </row>
    <row r="71" spans="1:13">
      <c r="A71" s="15" t="s">
        <v>69</v>
      </c>
      <c r="B71" s="15" t="s">
        <v>163</v>
      </c>
      <c r="C71" s="15">
        <v>68.616667000000007</v>
      </c>
      <c r="D71" s="15">
        <v>-149.6</v>
      </c>
      <c r="E71" s="15">
        <v>1.9</v>
      </c>
      <c r="F71" s="15" t="s">
        <v>40</v>
      </c>
      <c r="G71" s="15">
        <v>4.8</v>
      </c>
      <c r="H71" s="15">
        <f>1.7/2</f>
        <v>0.85</v>
      </c>
      <c r="I71" s="15">
        <v>2.2999999999999998</v>
      </c>
      <c r="J71" s="15">
        <f t="shared" si="9"/>
        <v>43700</v>
      </c>
      <c r="K71" s="15">
        <f>0.11688+0.0299</f>
        <v>0.14677999999999999</v>
      </c>
      <c r="L71" s="8">
        <f t="shared" si="8"/>
        <v>2788.8199999999997</v>
      </c>
      <c r="M71" s="8">
        <v>28</v>
      </c>
    </row>
    <row r="72" spans="1:13">
      <c r="A72" s="15" t="s">
        <v>69</v>
      </c>
      <c r="B72" s="15" t="s">
        <v>164</v>
      </c>
      <c r="C72" s="15">
        <v>68.616667000000007</v>
      </c>
      <c r="D72" s="15">
        <v>-149.6</v>
      </c>
      <c r="E72" s="15">
        <v>11.3</v>
      </c>
      <c r="F72" s="15" t="s">
        <v>40</v>
      </c>
      <c r="G72" s="15">
        <v>6</v>
      </c>
      <c r="H72" s="15">
        <f>1.7/3.5</f>
        <v>0.48571428571428571</v>
      </c>
      <c r="I72" s="15">
        <v>5.2</v>
      </c>
      <c r="J72" s="15">
        <f t="shared" si="9"/>
        <v>587600</v>
      </c>
      <c r="K72" s="15">
        <v>8.5999999999999993E-2</v>
      </c>
      <c r="L72" s="8">
        <f t="shared" si="8"/>
        <v>9718</v>
      </c>
      <c r="M72" s="8">
        <v>28</v>
      </c>
    </row>
    <row r="73" spans="1:13">
      <c r="A73" s="15" t="s">
        <v>69</v>
      </c>
      <c r="B73" s="15" t="s">
        <v>166</v>
      </c>
      <c r="C73" s="15">
        <v>68.616667000000007</v>
      </c>
      <c r="D73" s="15">
        <v>-149.6</v>
      </c>
      <c r="E73" s="15">
        <v>2</v>
      </c>
      <c r="F73" s="15" t="s">
        <v>40</v>
      </c>
      <c r="G73" s="15">
        <v>6.6</v>
      </c>
      <c r="H73" s="15">
        <f>1.7/2.3</f>
        <v>0.73913043478260876</v>
      </c>
      <c r="I73" s="15">
        <v>2</v>
      </c>
      <c r="J73" s="15">
        <f t="shared" si="9"/>
        <v>40000</v>
      </c>
      <c r="K73" s="15">
        <v>0.1</v>
      </c>
      <c r="L73" s="8">
        <f t="shared" si="8"/>
        <v>2000</v>
      </c>
      <c r="M73" s="8">
        <v>28</v>
      </c>
    </row>
    <row r="74" spans="1:13">
      <c r="A74" s="15" t="s">
        <v>19</v>
      </c>
      <c r="B74" s="15" t="s">
        <v>168</v>
      </c>
      <c r="C74" s="15">
        <v>68.45</v>
      </c>
      <c r="D74" s="15">
        <v>18.45</v>
      </c>
      <c r="E74" s="15">
        <v>2</v>
      </c>
      <c r="F74" s="15" t="s">
        <v>40</v>
      </c>
      <c r="G74" s="15" t="s">
        <v>40</v>
      </c>
      <c r="H74" s="15" t="s">
        <v>40</v>
      </c>
      <c r="I74" s="15">
        <v>1.2</v>
      </c>
      <c r="J74" s="15">
        <f t="shared" si="9"/>
        <v>24000</v>
      </c>
      <c r="K74" s="15">
        <v>6.08E-2</v>
      </c>
      <c r="L74" s="8">
        <f t="shared" si="8"/>
        <v>1216</v>
      </c>
      <c r="M74" s="8">
        <v>29</v>
      </c>
    </row>
    <row r="76" spans="1:13">
      <c r="F76" s="15"/>
    </row>
    <row r="82" spans="11:11">
      <c r="K82" s="11"/>
    </row>
    <row r="83" spans="11:11">
      <c r="K83" s="11"/>
    </row>
  </sheetData>
  <phoneticPr fontId="2" type="noConversion"/>
  <pageMargins left="0.7" right="0.7" top="0.75" bottom="0.75" header="0.3" footer="0.3"/>
  <ignoredErrors>
    <ignoredError sqref="L45" formula="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699BBC-6626-F643-96F2-9719864E9F80}">
  <dimension ref="A1:B30"/>
  <sheetViews>
    <sheetView topLeftCell="A13" zoomScale="85" workbookViewId="0">
      <selection activeCell="D33" sqref="D33"/>
    </sheetView>
  </sheetViews>
  <sheetFormatPr baseColWidth="10" defaultRowHeight="16"/>
  <sheetData>
    <row r="1" spans="1:2">
      <c r="A1" t="s">
        <v>55</v>
      </c>
    </row>
    <row r="2" spans="1:2">
      <c r="A2">
        <v>1</v>
      </c>
      <c r="B2" t="s">
        <v>56</v>
      </c>
    </row>
    <row r="3" spans="1:2">
      <c r="A3">
        <v>2</v>
      </c>
      <c r="B3" t="s">
        <v>57</v>
      </c>
    </row>
    <row r="4" spans="1:2">
      <c r="A4">
        <v>3</v>
      </c>
      <c r="B4" t="s">
        <v>61</v>
      </c>
    </row>
    <row r="5" spans="1:2">
      <c r="A5">
        <v>4</v>
      </c>
      <c r="B5" s="1" t="s">
        <v>46</v>
      </c>
    </row>
    <row r="6" spans="1:2">
      <c r="A6">
        <v>5</v>
      </c>
      <c r="B6" s="1" t="s">
        <v>62</v>
      </c>
    </row>
    <row r="7" spans="1:2">
      <c r="A7">
        <v>6</v>
      </c>
      <c r="B7" s="1" t="s">
        <v>42</v>
      </c>
    </row>
    <row r="8" spans="1:2">
      <c r="A8">
        <v>7</v>
      </c>
      <c r="B8" s="1" t="s">
        <v>45</v>
      </c>
    </row>
    <row r="9" spans="1:2">
      <c r="A9">
        <v>8</v>
      </c>
      <c r="B9" s="1" t="s">
        <v>41</v>
      </c>
    </row>
    <row r="10" spans="1:2">
      <c r="A10">
        <v>9</v>
      </c>
      <c r="B10" s="1" t="s">
        <v>67</v>
      </c>
    </row>
    <row r="11" spans="1:2">
      <c r="A11">
        <v>10</v>
      </c>
      <c r="B11" s="1" t="s">
        <v>99</v>
      </c>
    </row>
    <row r="12" spans="1:2">
      <c r="A12">
        <v>11</v>
      </c>
      <c r="B12" s="1" t="s">
        <v>81</v>
      </c>
    </row>
    <row r="13" spans="1:2">
      <c r="A13">
        <v>12</v>
      </c>
      <c r="B13" s="1" t="s">
        <v>90</v>
      </c>
    </row>
    <row r="14" spans="1:2">
      <c r="A14">
        <v>13</v>
      </c>
      <c r="B14" s="1" t="s">
        <v>92</v>
      </c>
    </row>
    <row r="15" spans="1:2">
      <c r="A15">
        <v>14</v>
      </c>
      <c r="B15" s="1" t="s">
        <v>97</v>
      </c>
    </row>
    <row r="16" spans="1:2">
      <c r="A16">
        <v>15</v>
      </c>
      <c r="B16" s="1" t="s">
        <v>104</v>
      </c>
    </row>
    <row r="17" spans="1:2">
      <c r="A17">
        <v>16</v>
      </c>
      <c r="B17" s="1" t="s">
        <v>110</v>
      </c>
    </row>
    <row r="18" spans="1:2">
      <c r="A18">
        <v>17</v>
      </c>
      <c r="B18" s="1" t="s">
        <v>114</v>
      </c>
    </row>
    <row r="19" spans="1:2">
      <c r="A19">
        <v>18</v>
      </c>
      <c r="B19" s="1" t="s">
        <v>118</v>
      </c>
    </row>
    <row r="20" spans="1:2">
      <c r="A20">
        <v>19</v>
      </c>
      <c r="B20" s="1" t="s">
        <v>125</v>
      </c>
    </row>
    <row r="21" spans="1:2">
      <c r="A21">
        <v>20</v>
      </c>
      <c r="B21" s="1" t="s">
        <v>130</v>
      </c>
    </row>
    <row r="22" spans="1:2">
      <c r="A22">
        <v>21</v>
      </c>
      <c r="B22" s="1" t="s">
        <v>139</v>
      </c>
    </row>
    <row r="23" spans="1:2">
      <c r="A23">
        <v>22</v>
      </c>
      <c r="B23" s="1" t="s">
        <v>142</v>
      </c>
    </row>
    <row r="24" spans="1:2">
      <c r="A24">
        <v>23</v>
      </c>
      <c r="B24" s="1" t="s">
        <v>145</v>
      </c>
    </row>
    <row r="25" spans="1:2">
      <c r="A25">
        <v>24</v>
      </c>
      <c r="B25" s="1" t="s">
        <v>150</v>
      </c>
    </row>
    <row r="26" spans="1:2">
      <c r="A26">
        <v>25</v>
      </c>
      <c r="B26" s="1" t="s">
        <v>153</v>
      </c>
    </row>
    <row r="27" spans="1:2">
      <c r="A27">
        <v>26</v>
      </c>
      <c r="B27" s="1" t="s">
        <v>157</v>
      </c>
    </row>
    <row r="28" spans="1:2">
      <c r="A28">
        <v>27</v>
      </c>
      <c r="B28" s="1" t="s">
        <v>161</v>
      </c>
    </row>
    <row r="29" spans="1:2">
      <c r="A29">
        <v>28</v>
      </c>
      <c r="B29" s="1" t="s">
        <v>165</v>
      </c>
    </row>
    <row r="30" spans="1:2">
      <c r="A30">
        <v>29</v>
      </c>
      <c r="B30" s="1" t="s">
        <v>169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89C1B4-8F44-C34B-BBC4-8A1FC5E069E2}">
  <dimension ref="A1:A41"/>
  <sheetViews>
    <sheetView topLeftCell="A28" workbookViewId="0">
      <selection activeCell="A42" sqref="A42"/>
    </sheetView>
  </sheetViews>
  <sheetFormatPr baseColWidth="10" defaultRowHeight="16"/>
  <sheetData>
    <row r="1" spans="1:1">
      <c r="A1" t="s">
        <v>58</v>
      </c>
    </row>
    <row r="2" spans="1:1">
      <c r="A2" t="s">
        <v>59</v>
      </c>
    </row>
    <row r="3" spans="1:1">
      <c r="A3" t="s">
        <v>60</v>
      </c>
    </row>
    <row r="4" spans="1:1">
      <c r="A4" t="s">
        <v>63</v>
      </c>
    </row>
    <row r="5" spans="1:1">
      <c r="A5" t="s">
        <v>64</v>
      </c>
    </row>
    <row r="6" spans="1:1">
      <c r="A6" t="s">
        <v>65</v>
      </c>
    </row>
    <row r="7" spans="1:1">
      <c r="A7" t="s">
        <v>66</v>
      </c>
    </row>
    <row r="8" spans="1:1">
      <c r="A8" t="s">
        <v>68</v>
      </c>
    </row>
    <row r="9" spans="1:1">
      <c r="A9" t="s">
        <v>77</v>
      </c>
    </row>
    <row r="10" spans="1:1">
      <c r="A10" t="s">
        <v>82</v>
      </c>
    </row>
    <row r="11" spans="1:1">
      <c r="A11" t="s">
        <v>88</v>
      </c>
    </row>
    <row r="12" spans="1:1">
      <c r="A12" t="s">
        <v>89</v>
      </c>
    </row>
    <row r="13" spans="1:1">
      <c r="A13" t="s">
        <v>91</v>
      </c>
    </row>
    <row r="14" spans="1:1">
      <c r="A14" t="s">
        <v>93</v>
      </c>
    </row>
    <row r="15" spans="1:1">
      <c r="A15" t="s">
        <v>98</v>
      </c>
    </row>
    <row r="16" spans="1:1">
      <c r="A16" t="s">
        <v>100</v>
      </c>
    </row>
    <row r="17" spans="1:1">
      <c r="A17" t="s">
        <v>103</v>
      </c>
    </row>
    <row r="18" spans="1:1">
      <c r="A18" t="s">
        <v>105</v>
      </c>
    </row>
    <row r="19" spans="1:1">
      <c r="A19" t="s">
        <v>107</v>
      </c>
    </row>
    <row r="20" spans="1:1">
      <c r="A20" t="s">
        <v>108</v>
      </c>
    </row>
    <row r="21" spans="1:1">
      <c r="A21" t="s">
        <v>109</v>
      </c>
    </row>
    <row r="22" spans="1:1">
      <c r="A22" t="s">
        <v>111</v>
      </c>
    </row>
    <row r="23" spans="1:1">
      <c r="A23" t="s">
        <v>113</v>
      </c>
    </row>
    <row r="24" spans="1:1">
      <c r="A24" t="s">
        <v>115</v>
      </c>
    </row>
    <row r="25" spans="1:1">
      <c r="A25" t="s">
        <v>119</v>
      </c>
    </row>
    <row r="26" spans="1:1">
      <c r="A26" t="s">
        <v>122</v>
      </c>
    </row>
    <row r="27" spans="1:1">
      <c r="A27" t="s">
        <v>123</v>
      </c>
    </row>
    <row r="28" spans="1:1">
      <c r="A28" t="s">
        <v>127</v>
      </c>
    </row>
    <row r="29" spans="1:1">
      <c r="A29" t="s">
        <v>128</v>
      </c>
    </row>
    <row r="30" spans="1:1">
      <c r="A30" t="s">
        <v>131</v>
      </c>
    </row>
    <row r="31" spans="1:1">
      <c r="A31" t="s">
        <v>136</v>
      </c>
    </row>
    <row r="32" spans="1:1">
      <c r="A32" t="s">
        <v>137</v>
      </c>
    </row>
    <row r="33" spans="1:1">
      <c r="A33" t="s">
        <v>141</v>
      </c>
    </row>
    <row r="34" spans="1:1">
      <c r="A34" t="s">
        <v>144</v>
      </c>
    </row>
    <row r="35" spans="1:1">
      <c r="A35" t="s">
        <v>146</v>
      </c>
    </row>
    <row r="36" spans="1:1">
      <c r="A36" t="s">
        <v>149</v>
      </c>
    </row>
    <row r="37" spans="1:1">
      <c r="A37" t="s">
        <v>151</v>
      </c>
    </row>
    <row r="38" spans="1:1">
      <c r="A38" t="s">
        <v>156</v>
      </c>
    </row>
    <row r="39" spans="1:1">
      <c r="A39" t="s">
        <v>160</v>
      </c>
    </row>
    <row r="40" spans="1:1">
      <c r="A40" t="s">
        <v>167</v>
      </c>
    </row>
    <row r="41" spans="1:1">
      <c r="A41" t="s">
        <v>170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Data</vt:lpstr>
      <vt:lpstr>Comments</vt:lpstr>
      <vt:lpstr>Refs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2021-05-11T18:30:15Z</dcterms:created>
  <dcterms:modified xsi:type="dcterms:W3CDTF">2021-05-24T11:34:53Z</dcterms:modified>
</cp:coreProperties>
</file>