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urce\repos\k64f_coro\"/>
    </mc:Choice>
  </mc:AlternateContent>
  <bookViews>
    <workbookView xWindow="0" yWindow="0" windowWidth="28800" windowHeight="12120" activeTab="2"/>
  </bookViews>
  <sheets>
    <sheet name="Switch test (1)" sheetId="2" r:id="rId1"/>
    <sheet name="Switch test (2)" sheetId="5" r:id="rId2"/>
    <sheet name="Charts (Switch test)" sheetId="6" r:id="rId3"/>
    <sheet name="Sheet4" sheetId="4" r:id="rId4"/>
    <sheet name="Sheet1" sheetId="1" r:id="rId5"/>
    <sheet name="Sheet3" sheetId="3" r:id="rId6"/>
  </sheets>
  <definedNames>
    <definedName name="_xlnm._FilterDatabase" localSheetId="1" hidden="1">'Switch test (2)'!$A$5:$AA$32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2" i="6" l="1"/>
  <c r="P23" i="6"/>
  <c r="P24" i="6"/>
  <c r="P25" i="6"/>
  <c r="O23" i="6"/>
  <c r="O24" i="6"/>
  <c r="O25" i="6"/>
  <c r="O22" i="6"/>
  <c r="C25" i="6"/>
  <c r="C24" i="6"/>
  <c r="C23" i="6"/>
  <c r="T32" i="5"/>
  <c r="T28" i="5"/>
  <c r="T22" i="5"/>
  <c r="T14" i="5"/>
  <c r="O32" i="5"/>
  <c r="C7" i="6" s="1"/>
  <c r="O28" i="5"/>
  <c r="O22" i="5"/>
  <c r="C5" i="6" s="1"/>
  <c r="C6" i="6"/>
  <c r="M32" i="5"/>
  <c r="M28" i="5"/>
  <c r="N22" i="5"/>
  <c r="M22" i="5"/>
  <c r="C22" i="6"/>
  <c r="M13" i="5"/>
  <c r="O14" i="5" s="1"/>
  <c r="C4" i="6" s="1"/>
  <c r="M14" i="5"/>
  <c r="R28" i="5"/>
  <c r="R22" i="5"/>
  <c r="R14" i="5"/>
  <c r="R32" i="5"/>
  <c r="R13" i="5"/>
  <c r="P28" i="5" l="1"/>
  <c r="P22" i="5"/>
  <c r="N28" i="5"/>
  <c r="P14" i="5"/>
  <c r="C44" i="6" l="1"/>
  <c r="C43" i="6"/>
  <c r="C42" i="6"/>
  <c r="C41" i="6"/>
  <c r="M27" i="5"/>
  <c r="M31" i="5"/>
  <c r="R17" i="5"/>
  <c r="M30" i="5"/>
  <c r="M29" i="5"/>
  <c r="V24" i="2" l="1"/>
  <c r="M26" i="5"/>
  <c r="M25" i="5"/>
  <c r="L39" i="5" l="1"/>
  <c r="N25" i="5" s="1"/>
  <c r="M20" i="5"/>
  <c r="M19" i="5"/>
  <c r="M18" i="5"/>
  <c r="M17" i="5"/>
  <c r="M16" i="5"/>
  <c r="M12" i="5"/>
  <c r="M11" i="5"/>
  <c r="M10" i="5"/>
  <c r="M9" i="5"/>
  <c r="M8" i="5"/>
  <c r="N8" i="5" s="1"/>
  <c r="M7" i="5"/>
  <c r="M6" i="5"/>
  <c r="T27" i="2"/>
  <c r="S15" i="5" l="1"/>
  <c r="N15" i="5"/>
  <c r="N13" i="5"/>
  <c r="N19" i="5"/>
  <c r="N14" i="5"/>
  <c r="S14" i="5"/>
  <c r="S22" i="5"/>
  <c r="S21" i="5"/>
  <c r="N20" i="5"/>
  <c r="N10" i="5"/>
  <c r="N16" i="5"/>
  <c r="N7" i="5"/>
  <c r="P32" i="5"/>
  <c r="O30" i="5"/>
  <c r="O31" i="5"/>
  <c r="P31" i="5" s="1"/>
  <c r="O27" i="5"/>
  <c r="P27" i="5" s="1"/>
  <c r="N9" i="5"/>
  <c r="O9" i="5"/>
  <c r="N23" i="5"/>
  <c r="S28" i="5"/>
  <c r="U14" i="5"/>
  <c r="U22" i="5"/>
  <c r="N32" i="5"/>
  <c r="S32" i="5"/>
  <c r="U32" i="5"/>
  <c r="U28" i="5"/>
  <c r="N29" i="5"/>
  <c r="N31" i="5"/>
  <c r="N30" i="5"/>
  <c r="N27" i="5"/>
  <c r="N11" i="5"/>
  <c r="O17" i="5"/>
  <c r="N26" i="5"/>
  <c r="N12" i="5"/>
  <c r="N18" i="5"/>
  <c r="O18" i="5"/>
  <c r="P18" i="5" s="1"/>
  <c r="O26" i="5"/>
  <c r="N17" i="5"/>
  <c r="S23" i="5"/>
  <c r="N6" i="5"/>
  <c r="S13" i="5"/>
  <c r="S17" i="5"/>
  <c r="S24" i="5"/>
  <c r="T24" i="2"/>
  <c r="P9" i="5" l="1"/>
  <c r="P17" i="5"/>
  <c r="P30" i="5"/>
  <c r="P26" i="5"/>
  <c r="F9" i="3"/>
  <c r="F8" i="3"/>
  <c r="E9" i="3"/>
  <c r="E8" i="3"/>
  <c r="C14" i="3"/>
  <c r="C13" i="3"/>
  <c r="C9" i="3"/>
  <c r="D1" i="3"/>
  <c r="D2" i="3" s="1"/>
  <c r="D9" i="3" s="1"/>
  <c r="C8" i="3"/>
  <c r="D8" i="3" s="1"/>
  <c r="C7" i="3"/>
  <c r="D7" i="3" s="1"/>
  <c r="D13" i="3" l="1"/>
  <c r="D14" i="3"/>
  <c r="T17" i="2"/>
  <c r="T22" i="2"/>
  <c r="T21" i="2"/>
  <c r="P16" i="2"/>
  <c r="P17" i="2"/>
  <c r="P18" i="2" l="1"/>
  <c r="P15" i="2"/>
  <c r="P14" i="2"/>
  <c r="P13" i="2"/>
  <c r="P23" i="2"/>
  <c r="T13" i="2"/>
  <c r="T14" i="2"/>
  <c r="T15" i="2"/>
  <c r="P20" i="2"/>
  <c r="P19" i="2"/>
  <c r="P7" i="2"/>
  <c r="P9" i="2"/>
  <c r="P12" i="2"/>
  <c r="O32" i="2"/>
  <c r="U21" i="2" l="1"/>
  <c r="U17" i="2"/>
  <c r="U24" i="2"/>
  <c r="U22" i="2"/>
  <c r="Q18" i="2"/>
  <c r="U15" i="2"/>
  <c r="Q17" i="2"/>
  <c r="U13" i="2"/>
  <c r="Q23" i="2"/>
  <c r="Q13" i="2"/>
  <c r="Q19" i="2"/>
  <c r="Q14" i="2"/>
  <c r="Q20" i="2"/>
  <c r="Q15" i="2"/>
  <c r="U23" i="2"/>
  <c r="U14" i="2"/>
  <c r="Q16" i="2"/>
  <c r="Q12" i="2"/>
  <c r="Q9" i="2"/>
  <c r="Q7" i="2"/>
  <c r="P11" i="2"/>
  <c r="Q11" i="2" s="1"/>
  <c r="P10" i="2" l="1"/>
  <c r="Q10" i="2" s="1"/>
  <c r="P8" i="2"/>
  <c r="Q8" i="2" s="1"/>
  <c r="P6" i="2"/>
  <c r="Q6" i="2" s="1"/>
  <c r="P9" i="1"/>
  <c r="U6" i="1"/>
  <c r="U5" i="1"/>
  <c r="S6" i="1"/>
  <c r="S5" i="1"/>
  <c r="R6" i="1"/>
  <c r="R5" i="1"/>
  <c r="AP28" i="1"/>
  <c r="AP29" i="1"/>
  <c r="AP30" i="1"/>
  <c r="AP31" i="1"/>
  <c r="AP27" i="1"/>
  <c r="P6" i="1"/>
  <c r="AA16" i="1"/>
  <c r="AA15" i="1"/>
  <c r="AA13" i="1"/>
  <c r="AA4" i="1"/>
  <c r="AD3" i="1"/>
  <c r="AD2" i="1"/>
  <c r="AB3" i="1"/>
  <c r="AA2" i="1"/>
  <c r="AB2" i="1" s="1"/>
  <c r="M7" i="1"/>
  <c r="AB10" i="1"/>
  <c r="AD10" i="1" s="1"/>
  <c r="AB9" i="1"/>
  <c r="AB7" i="1"/>
  <c r="AD9" i="1" s="1"/>
  <c r="AB8" i="1"/>
  <c r="AD8" i="1" s="1"/>
  <c r="P5" i="1"/>
  <c r="M5" i="1"/>
  <c r="I6" i="1"/>
  <c r="J6" i="1" s="1"/>
  <c r="I5" i="1"/>
  <c r="J5" i="1" s="1"/>
  <c r="AC10" i="1" l="1"/>
  <c r="AC9" i="1"/>
  <c r="AC8" i="1"/>
  <c r="E7" i="1"/>
  <c r="I7" i="1" s="1"/>
  <c r="J7" i="1" s="1"/>
</calcChain>
</file>

<file path=xl/comments1.xml><?xml version="1.0" encoding="utf-8"?>
<comments xmlns="http://schemas.openxmlformats.org/spreadsheetml/2006/main">
  <authors>
    <author>Bruce Belson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Bruce Belson:</t>
        </r>
        <r>
          <rPr>
            <sz val="9"/>
            <color indexed="81"/>
            <rFont val="Tahoma"/>
            <family val="2"/>
          </rPr>
          <t xml:space="preserve">
This setting controls the existence and per-cycle increment of a global counter, __co_g_cycles, which is excluded by the H/W counter version. This may have been the cause of a ~20% performance difference between H/W and S/W counter versions.</t>
        </r>
      </text>
    </comment>
  </commentList>
</comments>
</file>

<file path=xl/comments2.xml><?xml version="1.0" encoding="utf-8"?>
<comments xmlns="http://schemas.openxmlformats.org/spreadsheetml/2006/main">
  <authors>
    <author>Bruce Belson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Bruce Belson:</t>
        </r>
        <r>
          <rPr>
            <sz val="9"/>
            <color indexed="81"/>
            <rFont val="Tahoma"/>
            <family val="2"/>
          </rPr>
          <t xml:space="preserve">
This setting controls the existence and per-cycle increment of a global counter, __co_g_cycles, which is excluded by the H/W counter version. This may have been the cause of a ~20% performance difference between H/W and S/W counter versions.</t>
        </r>
      </text>
    </comment>
  </commentList>
</comments>
</file>

<file path=xl/sharedStrings.xml><?xml version="1.0" encoding="utf-8"?>
<sst xmlns="http://schemas.openxmlformats.org/spreadsheetml/2006/main" count="424" uniqueCount="125">
  <si>
    <t>Version</t>
  </si>
  <si>
    <t>k22ptmin</t>
  </si>
  <si>
    <t>UpTime</t>
  </si>
  <si>
    <t>DownTime</t>
  </si>
  <si>
    <t>PeriodTime</t>
  </si>
  <si>
    <t>k22awaitmin</t>
  </si>
  <si>
    <t>k22await1</t>
  </si>
  <si>
    <t>await</t>
  </si>
  <si>
    <t>k22awaitmin_ns</t>
  </si>
  <si>
    <t>scheduler</t>
  </si>
  <si>
    <t>microsecs</t>
  </si>
  <si>
    <t>Switches/s</t>
  </si>
  <si>
    <t>Cycles/s</t>
  </si>
  <si>
    <t>Version 0</t>
  </si>
  <si>
    <t>Switch/s</t>
  </si>
  <si>
    <t>Version 2</t>
  </si>
  <si>
    <t>Cost us</t>
  </si>
  <si>
    <t>Version 2 history</t>
  </si>
  <si>
    <t>Start</t>
  </si>
  <si>
    <t>getNextTask return index; remove call to getTaskindex()</t>
  </si>
  <si>
    <t>-O1</t>
  </si>
  <si>
    <t>Remove array&lt;&gt;</t>
  </si>
  <si>
    <t>Replace getters</t>
  </si>
  <si>
    <t>Incremental</t>
  </si>
  <si>
    <t>Version 1 (includes Term1)</t>
  </si>
  <si>
    <t>Tight loop</t>
  </si>
  <si>
    <t>Tiny pt</t>
  </si>
  <si>
    <t>Initial ratio</t>
  </si>
  <si>
    <t>Current ratio</t>
  </si>
  <si>
    <t>Idle count</t>
  </si>
  <si>
    <t>Version 3 - remove idle</t>
  </si>
  <si>
    <t>k22ptmin_ns</t>
  </si>
  <si>
    <t>protothreads</t>
  </si>
  <si>
    <t>Tasks per second</t>
  </si>
  <si>
    <r>
      <t>Mean time per task (</t>
    </r>
    <r>
      <rPr>
        <sz val="11"/>
        <color theme="1"/>
        <rFont val="Calibri"/>
        <family val="2"/>
      </rPr>
      <t>µs</t>
    </r>
    <r>
      <rPr>
        <sz val="11"/>
        <color theme="1"/>
        <rFont val="Calibri"/>
        <family val="2"/>
        <scheme val="minor"/>
      </rPr>
      <t>)</t>
    </r>
  </si>
  <si>
    <t>Results</t>
  </si>
  <si>
    <t>Characteristics</t>
  </si>
  <si>
    <t>task count</t>
  </si>
  <si>
    <t>Unused tasks</t>
  </si>
  <si>
    <t>Optimisation</t>
  </si>
  <si>
    <t>-O3</t>
  </si>
  <si>
    <t>Tasks</t>
  </si>
  <si>
    <t>Build</t>
  </si>
  <si>
    <t>S/W timer</t>
  </si>
  <si>
    <t>-O0</t>
  </si>
  <si>
    <t>Clock speed</t>
  </si>
  <si>
    <t>Mean ops per task</t>
  </si>
  <si>
    <t>Measurement of task switch time</t>
  </si>
  <si>
    <t>2nd board</t>
  </si>
  <si>
    <t>Project</t>
  </si>
  <si>
    <t>DebugLLVM_NS</t>
  </si>
  <si>
    <t>#define LOOP_ONLY in main.c</t>
  </si>
  <si>
    <t>DebugLLVM</t>
  </si>
  <si>
    <t>k22ptmin_xt</t>
  </si>
  <si>
    <t>k22awaitmin_xt</t>
  </si>
  <si>
    <t>Build configuration</t>
  </si>
  <si>
    <t>Special build</t>
  </si>
  <si>
    <t>Variant</t>
  </si>
  <si>
    <t>#define UNUSED_TASK_COUNT 2 in main_cpp.cpp</t>
  </si>
  <si>
    <t>#define UNUSED_TASK_COUNT 2 in ptmain_cpp.cpp</t>
  </si>
  <si>
    <t>#define UNUSED_TASK_COUNT 1 in ptmain_cpp.cpp</t>
  </si>
  <si>
    <t>#define UNUSED_TASK_COUNT 1 in main_cpp.cpp</t>
  </si>
  <si>
    <t>Ops per µs</t>
  </si>
  <si>
    <t>Sizes</t>
  </si>
  <si>
    <t>Protothreads</t>
  </si>
  <si>
    <t>Coroutines</t>
  </si>
  <si>
    <r>
      <t>Time per task (</t>
    </r>
    <r>
      <rPr>
        <sz val="11"/>
        <color theme="1"/>
        <rFont val="Calibri"/>
        <family val="2"/>
      </rPr>
      <t>µs</t>
    </r>
    <r>
      <rPr>
        <sz val="11"/>
        <color theme="1"/>
        <rFont val="Calibri"/>
        <family val="2"/>
        <scheme val="minor"/>
      </rPr>
      <t>)</t>
    </r>
  </si>
  <si>
    <t>Cycles per task</t>
  </si>
  <si>
    <t>Underlying operation</t>
  </si>
  <si>
    <t>Switching cost</t>
  </si>
  <si>
    <t>Overall timing</t>
  </si>
  <si>
    <r>
      <t>Time (</t>
    </r>
    <r>
      <rPr>
        <sz val="11"/>
        <color theme="1"/>
        <rFont val="Calibri"/>
        <family val="2"/>
      </rPr>
      <t>µs</t>
    </r>
    <r>
      <rPr>
        <sz val="11"/>
        <color theme="1"/>
        <rFont val="Calibri"/>
        <family val="2"/>
        <scheme val="minor"/>
      </rPr>
      <t>)</t>
    </r>
  </si>
  <si>
    <t>Cycles</t>
  </si>
  <si>
    <t>text</t>
  </si>
  <si>
    <t xml:space="preserve">   data</t>
  </si>
  <si>
    <t xml:space="preserve">    bss</t>
  </si>
  <si>
    <t xml:space="preserve">    dec</t>
  </si>
  <si>
    <t xml:space="preserve">    hex</t>
  </si>
  <si>
    <t>filename</t>
  </si>
  <si>
    <t xml:space="preserve">   19f8</t>
  </si>
  <si>
    <t>k22awaitmin_xt.elf</t>
  </si>
  <si>
    <t>k22ptmin_xt.elf</t>
  </si>
  <si>
    <t xml:space="preserve"> text</t>
  </si>
  <si>
    <t xml:space="preserve">   1d88</t>
  </si>
  <si>
    <t xml:space="preserve">   11ac</t>
  </si>
  <si>
    <t>1458</t>
  </si>
  <si>
    <t>#define SET_GLOBAL_COUNTER</t>
  </si>
  <si>
    <t>Clock speed:</t>
  </si>
  <si>
    <t>21 MHz</t>
  </si>
  <si>
    <t>120 MHz</t>
  </si>
  <si>
    <t>freertos2</t>
  </si>
  <si>
    <t>Debug</t>
  </si>
  <si>
    <t>mqxmin</t>
  </si>
  <si>
    <t>Platform</t>
  </si>
  <si>
    <t>FreeRTOS</t>
  </si>
  <si>
    <t>MQX Lite</t>
  </si>
  <si>
    <t>Time (microseconds)</t>
  </si>
  <si>
    <t>Mean cycles</t>
  </si>
  <si>
    <t>mqxmin.elf</t>
  </si>
  <si>
    <t xml:space="preserve">   3ca8</t>
  </si>
  <si>
    <t>freertos2.elf</t>
  </si>
  <si>
    <t xml:space="preserve">   2c00</t>
  </si>
  <si>
    <t>Data (bytes)</t>
  </si>
  <si>
    <t xml:space="preserve">   191c</t>
  </si>
  <si>
    <t>k22ptmin.elf</t>
  </si>
  <si>
    <t>k22ptmin_ns.elf</t>
  </si>
  <si>
    <t xml:space="preserve">   1e3c</t>
  </si>
  <si>
    <t>k22awaitmin.elf</t>
  </si>
  <si>
    <t>Switching time</t>
  </si>
  <si>
    <t>Minimal data size</t>
  </si>
  <si>
    <t>App size</t>
  </si>
  <si>
    <t>Program size (bytes)</t>
  </si>
  <si>
    <t>mqxmin_xt</t>
  </si>
  <si>
    <t>DebugLLVM_LoopOnly</t>
  </si>
  <si>
    <t>Used</t>
  </si>
  <si>
    <t>freertos2_xt</t>
  </si>
  <si>
    <t xml:space="preserve">   18c4</t>
  </si>
  <si>
    <t xml:space="preserve">   2b60</t>
  </si>
  <si>
    <t>freertos2_xt.elf</t>
  </si>
  <si>
    <t>mqxmin_xt.elf</t>
  </si>
  <si>
    <t>Results (board 1)</t>
  </si>
  <si>
    <t>Results (board 2)</t>
  </si>
  <si>
    <t>Switching cost (board 1)</t>
  </si>
  <si>
    <t>Switching cost (board 2)</t>
  </si>
  <si>
    <t>Time for context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</si>
</sst>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B2B2B2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0" fontId="1" fillId="4" borderId="3" applyNumberFormat="0" applyFont="0" applyAlignment="0" applyProtection="0"/>
    <xf numFmtId="0" fontId="6" fillId="5" borderId="10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0" fillId="3" borderId="1" applyNumberFormat="0" applyAlignment="0" applyProtection="0"/>
  </cellStyleXfs>
  <cellXfs count="41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quotePrefix="1"/>
    <xf numFmtId="9" fontId="0" fillId="0" borderId="0" xfId="1" applyFont="1"/>
    <xf numFmtId="0" fontId="0" fillId="0" borderId="0" xfId="0" applyAlignment="1">
      <alignment textRotation="45"/>
    </xf>
    <xf numFmtId="0" fontId="0" fillId="0" borderId="0" xfId="0" quotePrefix="1" applyAlignment="1">
      <alignment horizontal="right"/>
    </xf>
    <xf numFmtId="0" fontId="3" fillId="2" borderId="0" xfId="3" applyBorder="1" applyAlignment="1">
      <alignment horizontal="center"/>
    </xf>
    <xf numFmtId="0" fontId="2" fillId="0" borderId="0" xfId="2"/>
    <xf numFmtId="1" fontId="0" fillId="0" borderId="0" xfId="0" applyNumberFormat="1" applyAlignment="1">
      <alignment textRotation="45"/>
    </xf>
    <xf numFmtId="1" fontId="1" fillId="8" borderId="0" xfId="9" applyNumberFormat="1"/>
    <xf numFmtId="1" fontId="1" fillId="6" borderId="0" xfId="7" applyNumberFormat="1"/>
    <xf numFmtId="1" fontId="1" fillId="7" borderId="0" xfId="8" applyNumberFormat="1"/>
    <xf numFmtId="2" fontId="6" fillId="5" borderId="10" xfId="6" applyNumberFormat="1"/>
    <xf numFmtId="0" fontId="2" fillId="0" borderId="0" xfId="2" applyAlignment="1">
      <alignment horizontal="right"/>
    </xf>
    <xf numFmtId="164" fontId="0" fillId="0" borderId="0" xfId="0" applyNumberFormat="1"/>
    <xf numFmtId="164" fontId="6" fillId="5" borderId="10" xfId="6" applyNumberFormat="1"/>
    <xf numFmtId="0" fontId="0" fillId="0" borderId="0" xfId="0" applyAlignment="1">
      <alignment horizontal="right"/>
    </xf>
    <xf numFmtId="0" fontId="9" fillId="0" borderId="0" xfId="0" applyFont="1"/>
    <xf numFmtId="0" fontId="3" fillId="2" borderId="4" xfId="3" applyBorder="1" applyAlignment="1">
      <alignment horizontal="center"/>
    </xf>
    <xf numFmtId="0" fontId="3" fillId="2" borderId="5" xfId="3" applyBorder="1" applyAlignment="1">
      <alignment horizontal="center"/>
    </xf>
    <xf numFmtId="0" fontId="3" fillId="2" borderId="6" xfId="3" applyBorder="1" applyAlignment="1">
      <alignment horizontal="center"/>
    </xf>
    <xf numFmtId="0" fontId="3" fillId="4" borderId="7" xfId="5" applyFont="1" applyBorder="1" applyAlignment="1">
      <alignment horizontal="center"/>
    </xf>
    <xf numFmtId="0" fontId="3" fillId="4" borderId="8" xfId="5" applyFont="1" applyBorder="1" applyAlignment="1">
      <alignment horizontal="center"/>
    </xf>
    <xf numFmtId="0" fontId="3" fillId="2" borderId="9" xfId="3" applyBorder="1" applyAlignment="1">
      <alignment horizontal="center"/>
    </xf>
    <xf numFmtId="0" fontId="3" fillId="2" borderId="0" xfId="3" applyBorder="1" applyAlignment="1">
      <alignment horizontal="center"/>
    </xf>
    <xf numFmtId="0" fontId="4" fillId="3" borderId="11" xfId="4" applyBorder="1" applyAlignment="1">
      <alignment horizontal="center"/>
    </xf>
    <xf numFmtId="0" fontId="4" fillId="3" borderId="12" xfId="4" applyBorder="1" applyAlignment="1">
      <alignment horizontal="center"/>
    </xf>
    <xf numFmtId="0" fontId="4" fillId="3" borderId="13" xfId="4" applyBorder="1" applyAlignment="1">
      <alignment horizontal="center"/>
    </xf>
    <xf numFmtId="0" fontId="4" fillId="3" borderId="11" xfId="4" applyBorder="1" applyAlignment="1"/>
    <xf numFmtId="0" fontId="4" fillId="3" borderId="12" xfId="4" applyBorder="1" applyAlignment="1"/>
    <xf numFmtId="0" fontId="4" fillId="3" borderId="13" xfId="4" applyBorder="1" applyAlignment="1"/>
    <xf numFmtId="0" fontId="3" fillId="2" borderId="4" xfId="3" applyBorder="1" applyAlignment="1"/>
    <xf numFmtId="0" fontId="3" fillId="2" borderId="5" xfId="3" applyBorder="1" applyAlignment="1"/>
    <xf numFmtId="0" fontId="3" fillId="2" borderId="6" xfId="3" applyBorder="1" applyAlignment="1"/>
    <xf numFmtId="0" fontId="3" fillId="4" borderId="7" xfId="5" applyFont="1" applyBorder="1" applyAlignment="1"/>
    <xf numFmtId="0" fontId="3" fillId="4" borderId="8" xfId="5" applyFont="1" applyBorder="1" applyAlignment="1"/>
    <xf numFmtId="0" fontId="3" fillId="2" borderId="9" xfId="3" applyBorder="1" applyAlignment="1"/>
    <xf numFmtId="0" fontId="3" fillId="2" borderId="0" xfId="3" applyBorder="1" applyAlignment="1"/>
    <xf numFmtId="0" fontId="10" fillId="3" borderId="1" xfId="10" applyAlignment="1"/>
    <xf numFmtId="0" fontId="4" fillId="3" borderId="2" xfId="4" applyAlignment="1"/>
  </cellXfs>
  <cellStyles count="11">
    <cellStyle name="20% - Accent1" xfId="7" builtinId="30"/>
    <cellStyle name="20% - Accent2" xfId="8" builtinId="34"/>
    <cellStyle name="20% - Accent4" xfId="9" builtinId="42"/>
    <cellStyle name="Calculation" xfId="10" builtinId="22"/>
    <cellStyle name="Check Cell" xfId="6" builtinId="23"/>
    <cellStyle name="Input" xfId="3" builtinId="20"/>
    <cellStyle name="Normal" xfId="0" builtinId="0"/>
    <cellStyle name="Note" xfId="5" builtinId="10"/>
    <cellStyle name="Output" xfId="4" builtinId="21"/>
    <cellStyle name="Percent" xfId="1" builtinId="5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(Switch test)'!$C$3</c:f>
              <c:strCache>
                <c:ptCount val="1"/>
                <c:pt idx="0">
                  <c:v>Time (microseconds)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 (Switch test)'!$B$4:$B$7</c:f>
              <c:strCache>
                <c:ptCount val="4"/>
                <c:pt idx="0">
                  <c:v>Protothreads</c:v>
                </c:pt>
                <c:pt idx="1">
                  <c:v>Coroutines</c:v>
                </c:pt>
                <c:pt idx="2">
                  <c:v>FreeRTOS</c:v>
                </c:pt>
                <c:pt idx="3">
                  <c:v>MQX Lite</c:v>
                </c:pt>
              </c:strCache>
            </c:strRef>
          </c:cat>
          <c:val>
            <c:numRef>
              <c:f>'Charts (Switch test)'!$C$4:$C$7</c:f>
              <c:numCache>
                <c:formatCode>0.000</c:formatCode>
                <c:ptCount val="4"/>
                <c:pt idx="0">
                  <c:v>1.7000000000000015E-2</c:v>
                </c:pt>
                <c:pt idx="1">
                  <c:v>0.20849999999999999</c:v>
                </c:pt>
                <c:pt idx="2">
                  <c:v>2.5034999999999998</c:v>
                </c:pt>
                <c:pt idx="3">
                  <c:v>2.8584999999999998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3756888"/>
        <c:axId val="402671376"/>
      </c:barChart>
      <c:catAx>
        <c:axId val="40375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71376"/>
        <c:crosses val="autoZero"/>
        <c:auto val="1"/>
        <c:lblAlgn val="ctr"/>
        <c:lblOffset val="100"/>
        <c:noMultiLvlLbl val="0"/>
      </c:catAx>
      <c:valAx>
        <c:axId val="40267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(microseconds)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56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200" verticalDpi="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(Switch test)'!$C$21</c:f>
              <c:strCache>
                <c:ptCount val="1"/>
                <c:pt idx="0">
                  <c:v>Data (bytes)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 (Switch test)'!$B$22:$B$25</c:f>
              <c:strCache>
                <c:ptCount val="4"/>
                <c:pt idx="0">
                  <c:v>Protothreads</c:v>
                </c:pt>
                <c:pt idx="1">
                  <c:v>Coroutines</c:v>
                </c:pt>
                <c:pt idx="2">
                  <c:v>FreeRTOS</c:v>
                </c:pt>
                <c:pt idx="3">
                  <c:v>MQX Lite</c:v>
                </c:pt>
              </c:strCache>
            </c:strRef>
          </c:cat>
          <c:val>
            <c:numRef>
              <c:f>'Charts (Switch test)'!$C$22:$C$25</c:f>
              <c:numCache>
                <c:formatCode>0</c:formatCode>
                <c:ptCount val="4"/>
                <c:pt idx="0" formatCode="General">
                  <c:v>140</c:v>
                </c:pt>
                <c:pt idx="1">
                  <c:v>148</c:v>
                </c:pt>
                <c:pt idx="2">
                  <c:v>144</c:v>
                </c:pt>
                <c:pt idx="3">
                  <c:v>156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3901328"/>
        <c:axId val="401764896"/>
      </c:barChart>
      <c:catAx>
        <c:axId val="40390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64896"/>
        <c:crosses val="autoZero"/>
        <c:auto val="1"/>
        <c:lblAlgn val="ctr"/>
        <c:lblOffset val="100"/>
        <c:noMultiLvlLbl val="0"/>
      </c:catAx>
      <c:valAx>
        <c:axId val="40176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RAM (bytes)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0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200" verticalDpi="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(Switch test)'!$C$40</c:f>
              <c:strCache>
                <c:ptCount val="1"/>
                <c:pt idx="0">
                  <c:v>Program size (bytes)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 (Switch test)'!$B$41:$B$44</c:f>
              <c:strCache>
                <c:ptCount val="4"/>
                <c:pt idx="0">
                  <c:v>Protothreads</c:v>
                </c:pt>
                <c:pt idx="1">
                  <c:v>Coroutines</c:v>
                </c:pt>
                <c:pt idx="2">
                  <c:v>MQX Lite</c:v>
                </c:pt>
                <c:pt idx="3">
                  <c:v>FreeRTOS</c:v>
                </c:pt>
              </c:strCache>
            </c:strRef>
          </c:cat>
          <c:val>
            <c:numRef>
              <c:f>'Charts (Switch test)'!$C$41:$C$44</c:f>
              <c:numCache>
                <c:formatCode>0</c:formatCode>
                <c:ptCount val="4"/>
                <c:pt idx="0" formatCode="General">
                  <c:v>4384</c:v>
                </c:pt>
                <c:pt idx="1">
                  <c:v>6236</c:v>
                </c:pt>
                <c:pt idx="2">
                  <c:v>8644</c:v>
                </c:pt>
                <c:pt idx="3">
                  <c:v>6768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1765680"/>
        <c:axId val="401766072"/>
      </c:barChart>
      <c:catAx>
        <c:axId val="40176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66072"/>
        <c:crosses val="autoZero"/>
        <c:auto val="1"/>
        <c:lblAlgn val="ctr"/>
        <c:lblOffset val="100"/>
        <c:noMultiLvlLbl val="0"/>
      </c:catAx>
      <c:valAx>
        <c:axId val="40176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Program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6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200" verticalDpi="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(Switch test)'!$C$3</c:f>
              <c:strCache>
                <c:ptCount val="1"/>
                <c:pt idx="0">
                  <c:v>Time (microseconds)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 (Switch test)'!$B$4:$B$7</c:f>
              <c:strCache>
                <c:ptCount val="4"/>
                <c:pt idx="0">
                  <c:v>Protothreads</c:v>
                </c:pt>
                <c:pt idx="1">
                  <c:v>Coroutines</c:v>
                </c:pt>
                <c:pt idx="2">
                  <c:v>FreeRTOS</c:v>
                </c:pt>
                <c:pt idx="3">
                  <c:v>MQX Lite</c:v>
                </c:pt>
              </c:strCache>
            </c:strRef>
          </c:cat>
          <c:val>
            <c:numRef>
              <c:f>'Charts (Switch test)'!$C$4:$C$7</c:f>
              <c:numCache>
                <c:formatCode>0.000</c:formatCode>
                <c:ptCount val="4"/>
                <c:pt idx="0">
                  <c:v>1.7000000000000015E-2</c:v>
                </c:pt>
                <c:pt idx="1">
                  <c:v>0.20849999999999999</c:v>
                </c:pt>
                <c:pt idx="2">
                  <c:v>2.5034999999999998</c:v>
                </c:pt>
                <c:pt idx="3">
                  <c:v>2.8584999999999998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1766856"/>
        <c:axId val="401767248"/>
      </c:barChart>
      <c:catAx>
        <c:axId val="40176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67248"/>
        <c:crosses val="autoZero"/>
        <c:auto val="1"/>
        <c:lblAlgn val="ctr"/>
        <c:lblOffset val="100"/>
        <c:noMultiLvlLbl val="0"/>
      </c:catAx>
      <c:valAx>
        <c:axId val="40176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(microseconds)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66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200" verticalDpi="2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(Switch test)'!$C$21</c:f>
              <c:strCache>
                <c:ptCount val="1"/>
                <c:pt idx="0">
                  <c:v>Data (bytes)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 (Switch test)'!$B$22:$B$25</c:f>
              <c:strCache>
                <c:ptCount val="4"/>
                <c:pt idx="0">
                  <c:v>Protothreads</c:v>
                </c:pt>
                <c:pt idx="1">
                  <c:v>Coroutines</c:v>
                </c:pt>
                <c:pt idx="2">
                  <c:v>FreeRTOS</c:v>
                </c:pt>
                <c:pt idx="3">
                  <c:v>MQX Lite</c:v>
                </c:pt>
              </c:strCache>
            </c:strRef>
          </c:cat>
          <c:val>
            <c:numRef>
              <c:f>'Charts (Switch test)'!$C$22:$C$25</c:f>
              <c:numCache>
                <c:formatCode>0</c:formatCode>
                <c:ptCount val="4"/>
                <c:pt idx="0" formatCode="General">
                  <c:v>140</c:v>
                </c:pt>
                <c:pt idx="1">
                  <c:v>148</c:v>
                </c:pt>
                <c:pt idx="2">
                  <c:v>144</c:v>
                </c:pt>
                <c:pt idx="3">
                  <c:v>156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1769600"/>
        <c:axId val="401769992"/>
      </c:barChart>
      <c:catAx>
        <c:axId val="40176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69992"/>
        <c:crosses val="autoZero"/>
        <c:auto val="1"/>
        <c:lblAlgn val="ctr"/>
        <c:lblOffset val="100"/>
        <c:noMultiLvlLbl val="0"/>
      </c:catAx>
      <c:valAx>
        <c:axId val="40176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RAM (bytes)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6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200" verticalDpi="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12</xdr:col>
      <xdr:colOff>304800</xdr:colOff>
      <xdr:row>34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39</xdr:row>
      <xdr:rowOff>0</xdr:rowOff>
    </xdr:from>
    <xdr:to>
      <xdr:col>12</xdr:col>
      <xdr:colOff>304800</xdr:colOff>
      <xdr:row>53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</xdr:row>
      <xdr:rowOff>0</xdr:rowOff>
    </xdr:from>
    <xdr:to>
      <xdr:col>18</xdr:col>
      <xdr:colOff>0</xdr:colOff>
      <xdr:row>16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152400</xdr:colOff>
      <xdr:row>2</xdr:row>
      <xdr:rowOff>0</xdr:rowOff>
    </xdr:from>
    <xdr:to>
      <xdr:col>22</xdr:col>
      <xdr:colOff>152400</xdr:colOff>
      <xdr:row>16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B35"/>
  <sheetViews>
    <sheetView workbookViewId="0">
      <selection activeCell="P13" sqref="P13"/>
    </sheetView>
  </sheetViews>
  <sheetFormatPr defaultRowHeight="15" x14ac:dyDescent="0.25"/>
  <cols>
    <col min="1" max="1" width="2.85546875" customWidth="1"/>
    <col min="2" max="2" width="19.5703125" customWidth="1"/>
    <col min="3" max="3" width="15" bestFit="1" customWidth="1"/>
    <col min="4" max="4" width="18.42578125" customWidth="1"/>
    <col min="5" max="5" width="11.5703125" customWidth="1"/>
    <col min="6" max="6" width="11.28515625" customWidth="1"/>
    <col min="7" max="11" width="12" customWidth="1"/>
    <col min="12" max="12" width="12" hidden="1" customWidth="1"/>
    <col min="13" max="13" width="9.5703125" hidden="1" customWidth="1"/>
    <col min="14" max="14" width="9.140625" hidden="1" customWidth="1"/>
    <col min="15" max="15" width="14.28515625" customWidth="1"/>
    <col min="16" max="16" width="12.140625" customWidth="1"/>
    <col min="17" max="17" width="10.5703125" style="2" bestFit="1" customWidth="1"/>
  </cols>
  <sheetData>
    <row r="1" spans="2:28" ht="23.25" x14ac:dyDescent="0.35">
      <c r="B1" s="8" t="s">
        <v>47</v>
      </c>
      <c r="C1" s="8"/>
      <c r="D1" s="8"/>
    </row>
    <row r="2" spans="2:28" ht="23.25" x14ac:dyDescent="0.35">
      <c r="B2" s="8" t="s">
        <v>87</v>
      </c>
      <c r="C2" s="14" t="s">
        <v>88</v>
      </c>
      <c r="D2" s="8"/>
    </row>
    <row r="4" spans="2:28" ht="24" customHeight="1" x14ac:dyDescent="0.25">
      <c r="B4" s="26" t="s">
        <v>57</v>
      </c>
      <c r="C4" s="27"/>
      <c r="D4" s="28"/>
      <c r="E4" s="19" t="s">
        <v>36</v>
      </c>
      <c r="F4" s="20"/>
      <c r="G4" s="21"/>
      <c r="H4" s="22" t="s">
        <v>41</v>
      </c>
      <c r="I4" s="23"/>
      <c r="J4" s="24" t="s">
        <v>42</v>
      </c>
      <c r="K4" s="25"/>
      <c r="L4" s="7"/>
      <c r="M4" s="7"/>
      <c r="O4" s="26" t="s">
        <v>35</v>
      </c>
      <c r="P4" s="27"/>
      <c r="Q4" s="28"/>
      <c r="S4" t="s">
        <v>48</v>
      </c>
      <c r="W4" t="s">
        <v>63</v>
      </c>
    </row>
    <row r="5" spans="2:28" ht="93" customHeight="1" x14ac:dyDescent="0.25">
      <c r="B5" s="5" t="s">
        <v>49</v>
      </c>
      <c r="C5" s="5" t="s">
        <v>55</v>
      </c>
      <c r="D5" s="5" t="s">
        <v>56</v>
      </c>
      <c r="E5" s="5" t="s">
        <v>7</v>
      </c>
      <c r="F5" s="5" t="s">
        <v>9</v>
      </c>
      <c r="G5" s="5" t="s">
        <v>32</v>
      </c>
      <c r="H5" s="5" t="s">
        <v>37</v>
      </c>
      <c r="I5" s="5" t="s">
        <v>38</v>
      </c>
      <c r="J5" s="5" t="s">
        <v>43</v>
      </c>
      <c r="K5" s="5" t="s">
        <v>39</v>
      </c>
      <c r="L5" s="5"/>
      <c r="M5" s="5"/>
      <c r="O5" s="5" t="s">
        <v>33</v>
      </c>
      <c r="P5" s="5" t="s">
        <v>34</v>
      </c>
      <c r="Q5" s="9" t="s">
        <v>46</v>
      </c>
      <c r="S5" s="5" t="s">
        <v>33</v>
      </c>
      <c r="T5" s="5" t="s">
        <v>34</v>
      </c>
      <c r="U5" s="9" t="s">
        <v>46</v>
      </c>
      <c r="W5" t="s">
        <v>73</v>
      </c>
      <c r="X5" t="s">
        <v>74</v>
      </c>
      <c r="Y5" t="s">
        <v>75</v>
      </c>
      <c r="Z5" t="s">
        <v>76</v>
      </c>
      <c r="AA5" t="s">
        <v>77</v>
      </c>
      <c r="AB5" t="s">
        <v>78</v>
      </c>
    </row>
    <row r="6" spans="2:28" x14ac:dyDescent="0.25">
      <c r="B6" t="s">
        <v>1</v>
      </c>
      <c r="C6" t="s">
        <v>50</v>
      </c>
      <c r="D6" t="s">
        <v>51</v>
      </c>
      <c r="E6" t="b">
        <v>0</v>
      </c>
      <c r="F6" t="b">
        <v>0</v>
      </c>
      <c r="G6" t="b">
        <v>0</v>
      </c>
      <c r="H6">
        <v>2</v>
      </c>
      <c r="J6" t="b">
        <v>1</v>
      </c>
      <c r="K6" s="6" t="s">
        <v>44</v>
      </c>
      <c r="O6">
        <v>464132</v>
      </c>
      <c r="P6" s="1">
        <f>10^6/O6</f>
        <v>2.154559478768971</v>
      </c>
      <c r="Q6" s="2">
        <f t="shared" ref="Q6:Q20" si="0">P6*$O$32</f>
        <v>45.245749054148391</v>
      </c>
    </row>
    <row r="7" spans="2:28" x14ac:dyDescent="0.25">
      <c r="B7" t="s">
        <v>1</v>
      </c>
      <c r="C7" t="s">
        <v>50</v>
      </c>
      <c r="D7" t="s">
        <v>51</v>
      </c>
      <c r="E7" t="b">
        <v>0</v>
      </c>
      <c r="F7" t="b">
        <v>0</v>
      </c>
      <c r="G7" t="b">
        <v>0</v>
      </c>
      <c r="H7">
        <v>2</v>
      </c>
      <c r="J7" t="b">
        <v>1</v>
      </c>
      <c r="K7" s="6" t="s">
        <v>40</v>
      </c>
      <c r="O7">
        <v>949400</v>
      </c>
      <c r="P7" s="1">
        <f>10^6/O7</f>
        <v>1.0532968190436065</v>
      </c>
      <c r="Q7" s="11">
        <f t="shared" si="0"/>
        <v>22.119233199915737</v>
      </c>
    </row>
    <row r="8" spans="2:28" x14ac:dyDescent="0.25">
      <c r="B8" t="s">
        <v>1</v>
      </c>
      <c r="C8" t="s">
        <v>50</v>
      </c>
      <c r="E8" t="b">
        <v>0</v>
      </c>
      <c r="F8" t="b">
        <v>0</v>
      </c>
      <c r="G8" t="b">
        <v>1</v>
      </c>
      <c r="H8">
        <v>2</v>
      </c>
      <c r="J8" t="b">
        <v>1</v>
      </c>
      <c r="K8" s="6" t="s">
        <v>44</v>
      </c>
      <c r="O8">
        <v>165108</v>
      </c>
      <c r="P8" s="1">
        <f t="shared" ref="P8:P12" si="1">10^6/O8</f>
        <v>6.0566417133028079</v>
      </c>
      <c r="Q8" s="2">
        <f t="shared" si="0"/>
        <v>127.18947597935896</v>
      </c>
    </row>
    <row r="9" spans="2:28" x14ac:dyDescent="0.25">
      <c r="B9" t="s">
        <v>1</v>
      </c>
      <c r="C9" t="s">
        <v>50</v>
      </c>
      <c r="E9" t="b">
        <v>0</v>
      </c>
      <c r="F9" t="b">
        <v>0</v>
      </c>
      <c r="G9" t="b">
        <v>1</v>
      </c>
      <c r="H9">
        <v>2</v>
      </c>
      <c r="J9" t="b">
        <v>1</v>
      </c>
      <c r="K9" s="6" t="s">
        <v>40</v>
      </c>
      <c r="O9">
        <v>870240</v>
      </c>
      <c r="P9" s="1">
        <f t="shared" si="1"/>
        <v>1.1491082919654347</v>
      </c>
      <c r="Q9" s="12">
        <f t="shared" si="0"/>
        <v>24.131274131274129</v>
      </c>
    </row>
    <row r="10" spans="2:28" x14ac:dyDescent="0.25">
      <c r="B10" t="s">
        <v>1</v>
      </c>
      <c r="C10" t="s">
        <v>52</v>
      </c>
      <c r="E10" t="b">
        <v>0</v>
      </c>
      <c r="F10" t="b">
        <v>1</v>
      </c>
      <c r="G10" t="b">
        <v>1</v>
      </c>
      <c r="H10">
        <v>2</v>
      </c>
      <c r="I10">
        <v>0</v>
      </c>
      <c r="J10" t="b">
        <v>1</v>
      </c>
      <c r="K10" s="6" t="s">
        <v>40</v>
      </c>
      <c r="O10">
        <v>136512</v>
      </c>
      <c r="P10" s="1">
        <f t="shared" si="1"/>
        <v>7.3253633380215657</v>
      </c>
      <c r="Q10" s="10">
        <f t="shared" si="0"/>
        <v>153.83263009845288</v>
      </c>
    </row>
    <row r="11" spans="2:28" x14ac:dyDescent="0.25">
      <c r="B11" t="s">
        <v>1</v>
      </c>
      <c r="C11" t="s">
        <v>52</v>
      </c>
      <c r="D11" t="s">
        <v>60</v>
      </c>
      <c r="E11" t="b">
        <v>0</v>
      </c>
      <c r="F11" t="b">
        <v>1</v>
      </c>
      <c r="G11" t="b">
        <v>1</v>
      </c>
      <c r="H11">
        <v>2</v>
      </c>
      <c r="I11">
        <v>1</v>
      </c>
      <c r="J11" t="b">
        <v>1</v>
      </c>
      <c r="K11" s="6" t="s">
        <v>40</v>
      </c>
      <c r="O11">
        <v>122864</v>
      </c>
      <c r="P11" s="1">
        <f t="shared" si="1"/>
        <v>8.1390806094543553</v>
      </c>
      <c r="Q11" s="2">
        <f t="shared" si="0"/>
        <v>170.92069279854147</v>
      </c>
    </row>
    <row r="12" spans="2:28" ht="15.75" thickBot="1" x14ac:dyDescent="0.3">
      <c r="B12" t="s">
        <v>1</v>
      </c>
      <c r="C12" t="s">
        <v>52</v>
      </c>
      <c r="D12" t="s">
        <v>59</v>
      </c>
      <c r="E12" t="b">
        <v>0</v>
      </c>
      <c r="F12" t="b">
        <v>1</v>
      </c>
      <c r="G12" t="b">
        <v>1</v>
      </c>
      <c r="H12">
        <v>2</v>
      </c>
      <c r="I12">
        <v>2</v>
      </c>
      <c r="J12" t="b">
        <v>1</v>
      </c>
      <c r="K12" s="6" t="s">
        <v>40</v>
      </c>
      <c r="O12">
        <v>106028</v>
      </c>
      <c r="P12" s="1">
        <f t="shared" si="1"/>
        <v>9.4314709322065866</v>
      </c>
      <c r="Q12" s="2">
        <f t="shared" si="0"/>
        <v>198.06088957633833</v>
      </c>
    </row>
    <row r="13" spans="2:28" ht="16.5" thickTop="1" thickBot="1" x14ac:dyDescent="0.3">
      <c r="B13" t="s">
        <v>53</v>
      </c>
      <c r="C13" t="s">
        <v>50</v>
      </c>
      <c r="D13" t="s">
        <v>51</v>
      </c>
      <c r="E13" t="b">
        <v>0</v>
      </c>
      <c r="F13" t="b">
        <v>0</v>
      </c>
      <c r="G13" t="b">
        <v>0</v>
      </c>
      <c r="H13">
        <v>2</v>
      </c>
      <c r="J13" t="b">
        <v>0</v>
      </c>
      <c r="K13" s="6" t="s">
        <v>40</v>
      </c>
      <c r="O13" s="2"/>
      <c r="P13" s="13">
        <f>1.61/2</f>
        <v>0.80500000000000005</v>
      </c>
      <c r="Q13" s="11">
        <f t="shared" si="0"/>
        <v>16.905000000000001</v>
      </c>
      <c r="T13" s="13">
        <f>1.61/2</f>
        <v>0.80500000000000005</v>
      </c>
      <c r="U13" s="11">
        <f>T13*$O$32</f>
        <v>16.905000000000001</v>
      </c>
    </row>
    <row r="14" spans="2:28" ht="16.5" thickTop="1" thickBot="1" x14ac:dyDescent="0.3">
      <c r="B14" t="s">
        <v>53</v>
      </c>
      <c r="C14" t="s">
        <v>50</v>
      </c>
      <c r="E14" t="b">
        <v>0</v>
      </c>
      <c r="F14" t="b">
        <v>0</v>
      </c>
      <c r="G14" t="b">
        <v>1</v>
      </c>
      <c r="H14">
        <v>2</v>
      </c>
      <c r="J14" t="b">
        <v>0</v>
      </c>
      <c r="K14" s="6" t="s">
        <v>40</v>
      </c>
      <c r="O14" s="2"/>
      <c r="P14" s="13">
        <f>1.8/2</f>
        <v>0.9</v>
      </c>
      <c r="Q14" s="12">
        <f t="shared" si="0"/>
        <v>18.900000000000002</v>
      </c>
      <c r="T14" s="13">
        <f>1.8/2</f>
        <v>0.9</v>
      </c>
      <c r="U14" s="12">
        <f>T14*$O$32</f>
        <v>18.900000000000002</v>
      </c>
      <c r="W14">
        <v>3324</v>
      </c>
      <c r="X14">
        <v>140</v>
      </c>
      <c r="Y14">
        <v>1060</v>
      </c>
      <c r="Z14">
        <v>4524</v>
      </c>
      <c r="AA14" t="s">
        <v>84</v>
      </c>
      <c r="AB14" t="s">
        <v>81</v>
      </c>
    </row>
    <row r="15" spans="2:28" ht="16.5" thickTop="1" thickBot="1" x14ac:dyDescent="0.3">
      <c r="B15" t="s">
        <v>53</v>
      </c>
      <c r="C15" t="s">
        <v>52</v>
      </c>
      <c r="E15" t="b">
        <v>0</v>
      </c>
      <c r="F15" t="b">
        <v>1</v>
      </c>
      <c r="G15" t="b">
        <v>1</v>
      </c>
      <c r="H15">
        <v>2</v>
      </c>
      <c r="I15">
        <v>0</v>
      </c>
      <c r="J15" t="b">
        <v>0</v>
      </c>
      <c r="K15" s="6" t="s">
        <v>40</v>
      </c>
      <c r="O15" s="2"/>
      <c r="P15" s="13">
        <f>13.84/2</f>
        <v>6.92</v>
      </c>
      <c r="Q15" s="10">
        <f t="shared" si="0"/>
        <v>145.32</v>
      </c>
      <c r="T15" s="13">
        <f>13.87/2</f>
        <v>6.9349999999999996</v>
      </c>
      <c r="U15" s="10">
        <f>T15*$O$32</f>
        <v>145.63499999999999</v>
      </c>
      <c r="W15">
        <v>3964</v>
      </c>
      <c r="X15">
        <v>140</v>
      </c>
      <c r="Y15">
        <v>1104</v>
      </c>
      <c r="Z15">
        <v>5208</v>
      </c>
      <c r="AA15" s="3" t="s">
        <v>85</v>
      </c>
      <c r="AB15" t="s">
        <v>81</v>
      </c>
    </row>
    <row r="16" spans="2:28" ht="15.75" thickTop="1" x14ac:dyDescent="0.25">
      <c r="B16" t="s">
        <v>5</v>
      </c>
      <c r="C16" t="s">
        <v>50</v>
      </c>
      <c r="E16" t="b">
        <v>1</v>
      </c>
      <c r="F16" t="b">
        <v>0</v>
      </c>
      <c r="G16" t="b">
        <v>0</v>
      </c>
      <c r="H16">
        <v>2</v>
      </c>
      <c r="I16">
        <v>0</v>
      </c>
      <c r="J16" t="b">
        <v>1</v>
      </c>
      <c r="K16" s="6" t="s">
        <v>44</v>
      </c>
      <c r="O16" s="2">
        <v>50093</v>
      </c>
      <c r="P16" s="1">
        <f t="shared" ref="P16" si="2">10^6/O16</f>
        <v>19.962869063541813</v>
      </c>
      <c r="Q16" s="2">
        <f t="shared" si="0"/>
        <v>419.22025033437808</v>
      </c>
    </row>
    <row r="17" spans="2:28" x14ac:dyDescent="0.25">
      <c r="B17" t="s">
        <v>5</v>
      </c>
      <c r="C17" t="s">
        <v>50</v>
      </c>
      <c r="E17" t="b">
        <v>1</v>
      </c>
      <c r="F17" t="b">
        <v>0</v>
      </c>
      <c r="G17" t="b">
        <v>0</v>
      </c>
      <c r="H17">
        <v>2</v>
      </c>
      <c r="I17">
        <v>0</v>
      </c>
      <c r="J17" t="b">
        <v>1</v>
      </c>
      <c r="K17" s="6" t="s">
        <v>40</v>
      </c>
      <c r="O17" s="2">
        <v>357046</v>
      </c>
      <c r="P17" s="1">
        <f t="shared" ref="P17" si="3">10^6/O17</f>
        <v>2.8007595659942979</v>
      </c>
      <c r="Q17" s="12">
        <f t="shared" si="0"/>
        <v>58.815950885880255</v>
      </c>
      <c r="S17">
        <v>409556</v>
      </c>
      <c r="T17" s="1">
        <f t="shared" ref="T17" si="4">10^6/S17</f>
        <v>2.4416685386125461</v>
      </c>
      <c r="U17" s="12">
        <f>T17*$O$32</f>
        <v>51.27503931086347</v>
      </c>
    </row>
    <row r="18" spans="2:28" x14ac:dyDescent="0.25">
      <c r="B18" t="s">
        <v>5</v>
      </c>
      <c r="C18" t="s">
        <v>52</v>
      </c>
      <c r="E18" t="b">
        <v>1</v>
      </c>
      <c r="F18" t="b">
        <v>1</v>
      </c>
      <c r="G18" t="b">
        <v>0</v>
      </c>
      <c r="H18">
        <v>2</v>
      </c>
      <c r="I18">
        <v>0</v>
      </c>
      <c r="J18" t="b">
        <v>1</v>
      </c>
      <c r="K18" s="6" t="s">
        <v>40</v>
      </c>
      <c r="O18" s="2">
        <v>138320</v>
      </c>
      <c r="P18" s="1">
        <f t="shared" ref="P18" si="5">10^6/O18</f>
        <v>7.2296124927703875</v>
      </c>
      <c r="Q18" s="10">
        <f t="shared" si="0"/>
        <v>151.82186234817814</v>
      </c>
    </row>
    <row r="19" spans="2:28" x14ac:dyDescent="0.25">
      <c r="B19" t="s">
        <v>5</v>
      </c>
      <c r="C19" t="s">
        <v>52</v>
      </c>
      <c r="D19" t="s">
        <v>61</v>
      </c>
      <c r="E19" t="b">
        <v>1</v>
      </c>
      <c r="F19" t="b">
        <v>1</v>
      </c>
      <c r="G19" t="b">
        <v>0</v>
      </c>
      <c r="H19">
        <v>2</v>
      </c>
      <c r="I19">
        <v>1</v>
      </c>
      <c r="J19" t="b">
        <v>1</v>
      </c>
      <c r="K19" s="6" t="s">
        <v>40</v>
      </c>
      <c r="O19" s="2">
        <v>122144</v>
      </c>
      <c r="P19" s="1">
        <f t="shared" ref="P19" si="6">10^6/O19</f>
        <v>8.1870578988734604</v>
      </c>
      <c r="Q19" s="2">
        <f t="shared" si="0"/>
        <v>171.92821587634268</v>
      </c>
    </row>
    <row r="20" spans="2:28" x14ac:dyDescent="0.25">
      <c r="B20" t="s">
        <v>5</v>
      </c>
      <c r="C20" t="s">
        <v>52</v>
      </c>
      <c r="D20" t="s">
        <v>58</v>
      </c>
      <c r="E20" t="b">
        <v>1</v>
      </c>
      <c r="F20" t="b">
        <v>1</v>
      </c>
      <c r="G20" t="b">
        <v>0</v>
      </c>
      <c r="H20">
        <v>2</v>
      </c>
      <c r="I20">
        <v>2</v>
      </c>
      <c r="J20" t="b">
        <v>1</v>
      </c>
      <c r="K20" s="6" t="s">
        <v>40</v>
      </c>
      <c r="O20" s="2">
        <v>108784</v>
      </c>
      <c r="P20" s="1">
        <f t="shared" ref="P20" si="7">10^6/O20</f>
        <v>9.1925283129872035</v>
      </c>
      <c r="Q20" s="2">
        <f t="shared" si="0"/>
        <v>193.04309457273126</v>
      </c>
    </row>
    <row r="21" spans="2:28" ht="15.75" thickBot="1" x14ac:dyDescent="0.3">
      <c r="B21" t="s">
        <v>54</v>
      </c>
      <c r="C21" t="s">
        <v>50</v>
      </c>
      <c r="E21" t="b">
        <v>1</v>
      </c>
      <c r="F21" t="b">
        <v>0</v>
      </c>
      <c r="G21" t="b">
        <v>0</v>
      </c>
      <c r="H21">
        <v>2</v>
      </c>
      <c r="I21">
        <v>0</v>
      </c>
      <c r="J21" t="b">
        <v>0</v>
      </c>
      <c r="K21" s="6" t="s">
        <v>44</v>
      </c>
      <c r="O21" s="2"/>
      <c r="P21" s="1"/>
      <c r="T21" s="1">
        <f>39/2</f>
        <v>19.5</v>
      </c>
      <c r="U21" s="2">
        <f>T21*$O$32</f>
        <v>409.5</v>
      </c>
    </row>
    <row r="22" spans="2:28" ht="16.5" thickTop="1" thickBot="1" x14ac:dyDescent="0.3">
      <c r="B22" t="s">
        <v>54</v>
      </c>
      <c r="C22" t="s">
        <v>50</v>
      </c>
      <c r="E22" t="b">
        <v>1</v>
      </c>
      <c r="F22" t="b">
        <v>0</v>
      </c>
      <c r="G22" t="b">
        <v>0</v>
      </c>
      <c r="H22">
        <v>2</v>
      </c>
      <c r="I22">
        <v>0</v>
      </c>
      <c r="J22" t="b">
        <v>0</v>
      </c>
      <c r="K22" s="6" t="s">
        <v>40</v>
      </c>
      <c r="O22" s="2"/>
      <c r="P22" s="13"/>
      <c r="Q22" s="12"/>
      <c r="T22" s="13">
        <f>3.99/2</f>
        <v>1.9950000000000001</v>
      </c>
      <c r="U22" s="12">
        <f>T22*$O$32</f>
        <v>41.895000000000003</v>
      </c>
      <c r="W22">
        <v>5212</v>
      </c>
      <c r="X22">
        <v>148</v>
      </c>
      <c r="Y22">
        <v>1288</v>
      </c>
      <c r="Z22">
        <v>6648</v>
      </c>
      <c r="AA22" t="s">
        <v>79</v>
      </c>
      <c r="AB22" t="s">
        <v>80</v>
      </c>
    </row>
    <row r="23" spans="2:28" ht="16.5" thickTop="1" thickBot="1" x14ac:dyDescent="0.3">
      <c r="B23" t="s">
        <v>54</v>
      </c>
      <c r="C23" t="s">
        <v>52</v>
      </c>
      <c r="E23" t="b">
        <v>1</v>
      </c>
      <c r="F23" t="b">
        <v>1</v>
      </c>
      <c r="G23" t="b">
        <v>0</v>
      </c>
      <c r="H23">
        <v>2</v>
      </c>
      <c r="I23">
        <v>0</v>
      </c>
      <c r="J23" t="b">
        <v>0</v>
      </c>
      <c r="K23" s="6" t="s">
        <v>40</v>
      </c>
      <c r="O23" s="2"/>
      <c r="P23" s="13">
        <f>12.99/2</f>
        <v>6.4950000000000001</v>
      </c>
      <c r="Q23" s="10">
        <f>P23*$O$32</f>
        <v>136.39500000000001</v>
      </c>
      <c r="T23" s="13">
        <v>6.51</v>
      </c>
      <c r="U23" s="10">
        <f t="shared" ref="U23" si="8">T23*$O$32</f>
        <v>136.71</v>
      </c>
      <c r="W23">
        <v>6080</v>
      </c>
      <c r="X23">
        <v>148</v>
      </c>
      <c r="Y23">
        <v>1332</v>
      </c>
      <c r="Z23">
        <v>7560</v>
      </c>
      <c r="AA23" t="s">
        <v>83</v>
      </c>
      <c r="AB23" t="s">
        <v>80</v>
      </c>
    </row>
    <row r="24" spans="2:28" ht="16.5" thickTop="1" thickBot="1" x14ac:dyDescent="0.3">
      <c r="B24" t="s">
        <v>54</v>
      </c>
      <c r="C24" t="s">
        <v>50</v>
      </c>
      <c r="D24" t="s">
        <v>86</v>
      </c>
      <c r="E24" t="b">
        <v>1</v>
      </c>
      <c r="F24" t="b">
        <v>0</v>
      </c>
      <c r="G24" t="b">
        <v>0</v>
      </c>
      <c r="H24">
        <v>2</v>
      </c>
      <c r="I24">
        <v>0</v>
      </c>
      <c r="J24" t="b">
        <v>0</v>
      </c>
      <c r="K24" s="6" t="s">
        <v>40</v>
      </c>
      <c r="O24" s="2"/>
      <c r="P24" s="1"/>
      <c r="T24" s="13">
        <f>4.64/2</f>
        <v>2.3199999999999998</v>
      </c>
      <c r="U24" s="12">
        <f>T24*$O$32</f>
        <v>48.72</v>
      </c>
      <c r="V24" s="2">
        <f>U24-U22</f>
        <v>6.8249999999999957</v>
      </c>
    </row>
    <row r="25" spans="2:28" ht="15.75" thickTop="1" x14ac:dyDescent="0.25">
      <c r="K25" s="6"/>
      <c r="O25" s="2"/>
      <c r="P25" s="1"/>
    </row>
    <row r="26" spans="2:28" x14ac:dyDescent="0.25">
      <c r="K26" s="6"/>
      <c r="O26" s="2"/>
      <c r="P26" s="1"/>
    </row>
    <row r="27" spans="2:28" x14ac:dyDescent="0.25">
      <c r="K27" s="6"/>
      <c r="O27" s="2"/>
      <c r="P27" s="1"/>
      <c r="T27">
        <f>T23/T15</f>
        <v>0.9387166546503245</v>
      </c>
    </row>
    <row r="28" spans="2:28" x14ac:dyDescent="0.25">
      <c r="O28" s="2"/>
      <c r="P28" s="1"/>
    </row>
    <row r="29" spans="2:28" x14ac:dyDescent="0.25">
      <c r="O29" s="2"/>
      <c r="P29" s="1"/>
    </row>
    <row r="31" spans="2:28" x14ac:dyDescent="0.25">
      <c r="K31" t="s">
        <v>45</v>
      </c>
      <c r="O31">
        <v>21000000</v>
      </c>
    </row>
    <row r="32" spans="2:28" x14ac:dyDescent="0.25">
      <c r="K32" t="s">
        <v>62</v>
      </c>
      <c r="O32">
        <f>O31/10^6</f>
        <v>21</v>
      </c>
    </row>
    <row r="34" spans="16:16" x14ac:dyDescent="0.25">
      <c r="P34" s="1"/>
    </row>
    <row r="35" spans="16:16" x14ac:dyDescent="0.25">
      <c r="P35" s="1"/>
    </row>
  </sheetData>
  <mergeCells count="5">
    <mergeCell ref="E4:G4"/>
    <mergeCell ref="H4:I4"/>
    <mergeCell ref="J4:K4"/>
    <mergeCell ref="O4:Q4"/>
    <mergeCell ref="B4:D4"/>
  </mergeCells>
  <pageMargins left="0.7" right="0.7" top="0.75" bottom="0.75" header="0.3" footer="0.3"/>
  <pageSetup paperSize="9"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2"/>
  <sheetViews>
    <sheetView workbookViewId="0">
      <pane xSplit="4" ySplit="5" topLeftCell="K10" activePane="bottomRight" state="frozen"/>
      <selection pane="topRight" activeCell="F1" sqref="F1"/>
      <selection pane="bottomLeft" activeCell="A6" sqref="A6"/>
      <selection pane="bottomRight" activeCell="W26" sqref="W26"/>
    </sheetView>
  </sheetViews>
  <sheetFormatPr defaultRowHeight="15" x14ac:dyDescent="0.25"/>
  <cols>
    <col min="2" max="2" width="19.5703125" customWidth="1"/>
    <col min="3" max="3" width="15" bestFit="1" customWidth="1"/>
    <col min="4" max="4" width="18.42578125" customWidth="1"/>
    <col min="5" max="5" width="11.5703125" customWidth="1"/>
    <col min="6" max="6" width="11.28515625" customWidth="1"/>
    <col min="7" max="11" width="12" customWidth="1"/>
    <col min="12" max="12" width="14.28515625" customWidth="1"/>
    <col min="13" max="13" width="12.140625" customWidth="1"/>
    <col min="14" max="14" width="10.5703125" style="2" bestFit="1" customWidth="1"/>
    <col min="18" max="18" width="11.7109375" customWidth="1"/>
    <col min="19" max="21" width="12" customWidth="1"/>
    <col min="26" max="26" width="9.140625" style="17"/>
  </cols>
  <sheetData>
    <row r="1" spans="1:27" ht="23.25" x14ac:dyDescent="0.35">
      <c r="B1" s="8" t="s">
        <v>47</v>
      </c>
      <c r="C1" s="8"/>
      <c r="D1" s="8"/>
    </row>
    <row r="2" spans="1:27" ht="23.25" x14ac:dyDescent="0.35">
      <c r="B2" s="8" t="s">
        <v>87</v>
      </c>
      <c r="C2" s="14" t="s">
        <v>89</v>
      </c>
      <c r="D2" s="8"/>
    </row>
    <row r="4" spans="1:27" ht="24" customHeight="1" x14ac:dyDescent="0.25">
      <c r="B4" s="29" t="s">
        <v>57</v>
      </c>
      <c r="C4" s="30"/>
      <c r="D4" s="31"/>
      <c r="E4" s="32" t="s">
        <v>36</v>
      </c>
      <c r="F4" s="33"/>
      <c r="G4" s="34"/>
      <c r="H4" s="35" t="s">
        <v>41</v>
      </c>
      <c r="I4" s="36"/>
      <c r="J4" s="37" t="s">
        <v>42</v>
      </c>
      <c r="K4" s="38"/>
      <c r="L4" s="29" t="s">
        <v>120</v>
      </c>
      <c r="M4" s="30"/>
      <c r="N4" s="31"/>
      <c r="O4" s="39" t="s">
        <v>122</v>
      </c>
      <c r="P4" s="39"/>
      <c r="Q4" s="29" t="s">
        <v>121</v>
      </c>
      <c r="R4" s="30"/>
      <c r="S4" s="31"/>
      <c r="T4" s="39" t="s">
        <v>123</v>
      </c>
      <c r="U4" s="39"/>
      <c r="V4" s="40" t="s">
        <v>63</v>
      </c>
      <c r="W4" s="40"/>
      <c r="X4" s="40"/>
      <c r="Y4" s="40"/>
      <c r="Z4" s="40"/>
      <c r="AA4" s="40"/>
    </row>
    <row r="5" spans="1:27" ht="93" customHeight="1" x14ac:dyDescent="0.25">
      <c r="A5" t="s">
        <v>114</v>
      </c>
      <c r="B5" s="5" t="s">
        <v>49</v>
      </c>
      <c r="C5" s="5" t="s">
        <v>55</v>
      </c>
      <c r="D5" s="5" t="s">
        <v>56</v>
      </c>
      <c r="E5" s="5" t="s">
        <v>7</v>
      </c>
      <c r="F5" s="5" t="s">
        <v>9</v>
      </c>
      <c r="G5" s="5" t="s">
        <v>32</v>
      </c>
      <c r="H5" s="5" t="s">
        <v>37</v>
      </c>
      <c r="I5" s="5" t="s">
        <v>38</v>
      </c>
      <c r="J5" s="5" t="s">
        <v>43</v>
      </c>
      <c r="K5" s="5" t="s">
        <v>39</v>
      </c>
      <c r="L5" s="5" t="s">
        <v>33</v>
      </c>
      <c r="M5" s="5" t="s">
        <v>34</v>
      </c>
      <c r="N5" s="9" t="s">
        <v>97</v>
      </c>
      <c r="O5" s="5" t="s">
        <v>34</v>
      </c>
      <c r="P5" s="9" t="s">
        <v>97</v>
      </c>
      <c r="Q5" s="5" t="s">
        <v>33</v>
      </c>
      <c r="R5" s="5" t="s">
        <v>34</v>
      </c>
      <c r="S5" s="9" t="s">
        <v>97</v>
      </c>
      <c r="T5" s="5" t="s">
        <v>34</v>
      </c>
      <c r="U5" s="9" t="s">
        <v>97</v>
      </c>
      <c r="V5" t="s">
        <v>73</v>
      </c>
      <c r="W5" t="s">
        <v>74</v>
      </c>
      <c r="X5" t="s">
        <v>75</v>
      </c>
      <c r="Y5" t="s">
        <v>76</v>
      </c>
      <c r="Z5" s="17" t="s">
        <v>77</v>
      </c>
      <c r="AA5" t="s">
        <v>78</v>
      </c>
    </row>
    <row r="6" spans="1:27" x14ac:dyDescent="0.25">
      <c r="B6" t="s">
        <v>1</v>
      </c>
      <c r="C6" t="s">
        <v>50</v>
      </c>
      <c r="D6" t="s">
        <v>51</v>
      </c>
      <c r="E6" t="b">
        <v>0</v>
      </c>
      <c r="F6" t="b">
        <v>0</v>
      </c>
      <c r="G6" t="b">
        <v>0</v>
      </c>
      <c r="H6">
        <v>2</v>
      </c>
      <c r="J6" t="b">
        <v>1</v>
      </c>
      <c r="K6" s="6" t="s">
        <v>44</v>
      </c>
      <c r="M6" s="15" t="e">
        <f>10^6/L6</f>
        <v>#DIV/0!</v>
      </c>
      <c r="N6" s="2" t="e">
        <f t="shared" ref="N6:N20" si="0">M6*$L$39</f>
        <v>#DIV/0!</v>
      </c>
    </row>
    <row r="7" spans="1:27" x14ac:dyDescent="0.25">
      <c r="B7" t="s">
        <v>1</v>
      </c>
      <c r="C7" t="s">
        <v>50</v>
      </c>
      <c r="D7" t="s">
        <v>51</v>
      </c>
      <c r="E7" t="b">
        <v>0</v>
      </c>
      <c r="F7" t="b">
        <v>0</v>
      </c>
      <c r="G7" t="b">
        <v>0</v>
      </c>
      <c r="H7">
        <v>2</v>
      </c>
      <c r="J7" t="b">
        <v>1</v>
      </c>
      <c r="K7" s="6" t="s">
        <v>40</v>
      </c>
      <c r="L7">
        <v>5690781</v>
      </c>
      <c r="M7" s="15">
        <f>10^6/L7</f>
        <v>0.17572280500690501</v>
      </c>
      <c r="N7" s="11">
        <f t="shared" si="0"/>
        <v>21.086736600828601</v>
      </c>
    </row>
    <row r="8" spans="1:27" x14ac:dyDescent="0.25">
      <c r="B8" t="s">
        <v>1</v>
      </c>
      <c r="C8" t="s">
        <v>50</v>
      </c>
      <c r="E8" t="b">
        <v>0</v>
      </c>
      <c r="F8" t="b">
        <v>0</v>
      </c>
      <c r="G8" t="b">
        <v>1</v>
      </c>
      <c r="H8">
        <v>2</v>
      </c>
      <c r="J8" t="b">
        <v>1</v>
      </c>
      <c r="K8" s="6" t="s">
        <v>44</v>
      </c>
      <c r="M8" s="15" t="e">
        <f t="shared" ref="M8:M12" si="1">10^6/L8</f>
        <v>#DIV/0!</v>
      </c>
      <c r="N8" s="2" t="e">
        <f t="shared" si="0"/>
        <v>#DIV/0!</v>
      </c>
    </row>
    <row r="9" spans="1:27" x14ac:dyDescent="0.25">
      <c r="B9" t="s">
        <v>1</v>
      </c>
      <c r="C9" t="s">
        <v>50</v>
      </c>
      <c r="E9" t="b">
        <v>0</v>
      </c>
      <c r="F9" t="b">
        <v>0</v>
      </c>
      <c r="G9" t="b">
        <v>1</v>
      </c>
      <c r="H9">
        <v>2</v>
      </c>
      <c r="J9" t="b">
        <v>1</v>
      </c>
      <c r="K9" s="6" t="s">
        <v>40</v>
      </c>
      <c r="L9">
        <v>5196505</v>
      </c>
      <c r="M9" s="15">
        <f t="shared" si="1"/>
        <v>0.19243703219760205</v>
      </c>
      <c r="N9" s="12">
        <f t="shared" si="0"/>
        <v>23.092443863712248</v>
      </c>
      <c r="O9" s="15">
        <f>M9-M7</f>
        <v>1.671422719069704E-2</v>
      </c>
      <c r="P9" s="2">
        <f t="shared" ref="P9" si="2">O9*$L$39</f>
        <v>2.0057072628836448</v>
      </c>
      <c r="V9">
        <v>4384</v>
      </c>
      <c r="W9">
        <v>140</v>
      </c>
      <c r="X9">
        <v>1148</v>
      </c>
      <c r="Y9">
        <v>5672</v>
      </c>
      <c r="Z9" s="17">
        <v>1628</v>
      </c>
      <c r="AA9" t="s">
        <v>105</v>
      </c>
    </row>
    <row r="10" spans="1:27" x14ac:dyDescent="0.25">
      <c r="B10" t="s">
        <v>1</v>
      </c>
      <c r="C10" t="s">
        <v>52</v>
      </c>
      <c r="E10" t="b">
        <v>0</v>
      </c>
      <c r="F10" t="b">
        <v>1</v>
      </c>
      <c r="G10" t="b">
        <v>1</v>
      </c>
      <c r="H10">
        <v>2</v>
      </c>
      <c r="I10">
        <v>0</v>
      </c>
      <c r="J10" t="b">
        <v>1</v>
      </c>
      <c r="K10" s="6" t="s">
        <v>40</v>
      </c>
      <c r="L10">
        <v>609794</v>
      </c>
      <c r="M10" s="15">
        <f t="shared" si="1"/>
        <v>1.6398980639363456</v>
      </c>
      <c r="N10" s="10">
        <f t="shared" si="0"/>
        <v>196.78776767236147</v>
      </c>
      <c r="V10">
        <v>5096</v>
      </c>
      <c r="W10">
        <v>140</v>
      </c>
      <c r="X10">
        <v>1192</v>
      </c>
      <c r="Y10">
        <v>6428</v>
      </c>
      <c r="Z10" s="17" t="s">
        <v>103</v>
      </c>
      <c r="AA10" t="s">
        <v>104</v>
      </c>
    </row>
    <row r="11" spans="1:27" x14ac:dyDescent="0.25">
      <c r="B11" t="s">
        <v>1</v>
      </c>
      <c r="C11" t="s">
        <v>52</v>
      </c>
      <c r="D11" t="s">
        <v>60</v>
      </c>
      <c r="E11" t="b">
        <v>0</v>
      </c>
      <c r="F11" t="b">
        <v>1</v>
      </c>
      <c r="G11" t="b">
        <v>1</v>
      </c>
      <c r="H11">
        <v>2</v>
      </c>
      <c r="I11">
        <v>1</v>
      </c>
      <c r="J11" t="b">
        <v>1</v>
      </c>
      <c r="K11" s="6" t="s">
        <v>40</v>
      </c>
      <c r="M11" s="15" t="e">
        <f t="shared" si="1"/>
        <v>#DIV/0!</v>
      </c>
      <c r="N11" s="2" t="e">
        <f t="shared" si="0"/>
        <v>#DIV/0!</v>
      </c>
    </row>
    <row r="12" spans="1:27" ht="15.75" thickBot="1" x14ac:dyDescent="0.3">
      <c r="B12" t="s">
        <v>1</v>
      </c>
      <c r="C12" t="s">
        <v>52</v>
      </c>
      <c r="D12" t="s">
        <v>59</v>
      </c>
      <c r="E12" t="b">
        <v>0</v>
      </c>
      <c r="F12" t="b">
        <v>1</v>
      </c>
      <c r="G12" t="b">
        <v>1</v>
      </c>
      <c r="H12">
        <v>2</v>
      </c>
      <c r="I12">
        <v>2</v>
      </c>
      <c r="J12" t="b">
        <v>1</v>
      </c>
      <c r="K12" s="6" t="s">
        <v>40</v>
      </c>
      <c r="M12" s="15" t="e">
        <f t="shared" si="1"/>
        <v>#DIV/0!</v>
      </c>
      <c r="N12" s="2" t="e">
        <f t="shared" si="0"/>
        <v>#DIV/0!</v>
      </c>
    </row>
    <row r="13" spans="1:27" ht="16.5" thickTop="1" thickBot="1" x14ac:dyDescent="0.3">
      <c r="A13" t="b">
        <v>1</v>
      </c>
      <c r="B13" t="s">
        <v>53</v>
      </c>
      <c r="C13" t="s">
        <v>113</v>
      </c>
      <c r="E13" t="b">
        <v>0</v>
      </c>
      <c r="F13" t="b">
        <v>0</v>
      </c>
      <c r="G13" t="b">
        <v>0</v>
      </c>
      <c r="H13">
        <v>2</v>
      </c>
      <c r="J13" t="b">
        <v>0</v>
      </c>
      <c r="K13" s="6" t="s">
        <v>40</v>
      </c>
      <c r="L13" s="2"/>
      <c r="M13" s="16">
        <f>0.283/2</f>
        <v>0.14149999999999999</v>
      </c>
      <c r="N13" s="11">
        <f t="shared" si="0"/>
        <v>16.979999999999997</v>
      </c>
      <c r="R13" s="16">
        <f>0.283/2</f>
        <v>0.14149999999999999</v>
      </c>
      <c r="S13" s="11">
        <f>R13*$L$39</f>
        <v>16.979999999999997</v>
      </c>
      <c r="V13">
        <v>2960</v>
      </c>
      <c r="W13">
        <v>140</v>
      </c>
      <c r="X13">
        <v>1060</v>
      </c>
      <c r="Y13">
        <v>4160</v>
      </c>
      <c r="Z13" s="17">
        <v>1040</v>
      </c>
      <c r="AA13" t="s">
        <v>81</v>
      </c>
    </row>
    <row r="14" spans="1:27" ht="16.5" thickTop="1" thickBot="1" x14ac:dyDescent="0.3">
      <c r="A14" t="b">
        <v>1</v>
      </c>
      <c r="B14" t="s">
        <v>53</v>
      </c>
      <c r="C14" t="s">
        <v>50</v>
      </c>
      <c r="E14" t="b">
        <v>0</v>
      </c>
      <c r="F14" t="b">
        <v>0</v>
      </c>
      <c r="G14" t="b">
        <v>1</v>
      </c>
      <c r="H14">
        <v>2</v>
      </c>
      <c r="J14" t="b">
        <v>0</v>
      </c>
      <c r="K14" s="6" t="s">
        <v>40</v>
      </c>
      <c r="L14" s="2"/>
      <c r="M14" s="16">
        <f>0.317/2</f>
        <v>0.1585</v>
      </c>
      <c r="N14" s="12">
        <f t="shared" si="0"/>
        <v>19.02</v>
      </c>
      <c r="O14" s="15">
        <f>M14-M$13</f>
        <v>1.7000000000000015E-2</v>
      </c>
      <c r="P14" s="1">
        <f t="shared" ref="P14" si="3">O14*$L$39</f>
        <v>2.0400000000000018</v>
      </c>
      <c r="R14" s="13">
        <f>0.317/2</f>
        <v>0.1585</v>
      </c>
      <c r="S14" s="12">
        <f>R14*$L$39</f>
        <v>19.02</v>
      </c>
      <c r="T14" s="15">
        <f>R14-R$13</f>
        <v>1.7000000000000015E-2</v>
      </c>
      <c r="U14">
        <f>T14*$L$39</f>
        <v>2.0400000000000018</v>
      </c>
      <c r="V14">
        <v>3012</v>
      </c>
      <c r="W14">
        <v>140</v>
      </c>
      <c r="X14">
        <v>1060</v>
      </c>
      <c r="Y14">
        <v>4212</v>
      </c>
      <c r="Z14" s="17">
        <v>1074</v>
      </c>
      <c r="AA14" t="s">
        <v>81</v>
      </c>
    </row>
    <row r="15" spans="1:27" ht="16.5" thickTop="1" thickBot="1" x14ac:dyDescent="0.3">
      <c r="B15" t="s">
        <v>53</v>
      </c>
      <c r="C15" t="s">
        <v>52</v>
      </c>
      <c r="E15" t="b">
        <v>0</v>
      </c>
      <c r="F15" t="b">
        <v>1</v>
      </c>
      <c r="G15" t="b">
        <v>1</v>
      </c>
      <c r="H15">
        <v>2</v>
      </c>
      <c r="I15">
        <v>0</v>
      </c>
      <c r="J15" t="b">
        <v>0</v>
      </c>
      <c r="K15" s="6" t="s">
        <v>40</v>
      </c>
      <c r="L15" s="2"/>
      <c r="M15" s="16"/>
      <c r="N15" s="10">
        <f t="shared" si="0"/>
        <v>0</v>
      </c>
      <c r="R15" s="13"/>
      <c r="S15" s="10">
        <f>R15*$L$39</f>
        <v>0</v>
      </c>
      <c r="V15">
        <v>3964</v>
      </c>
      <c r="W15">
        <v>140</v>
      </c>
      <c r="X15">
        <v>1104</v>
      </c>
      <c r="Y15">
        <v>5208</v>
      </c>
      <c r="Z15" s="6" t="s">
        <v>85</v>
      </c>
      <c r="AA15" t="s">
        <v>81</v>
      </c>
    </row>
    <row r="16" spans="1:27" ht="15.75" thickTop="1" x14ac:dyDescent="0.25">
      <c r="B16" t="s">
        <v>5</v>
      </c>
      <c r="C16" t="s">
        <v>50</v>
      </c>
      <c r="E16" t="b">
        <v>1</v>
      </c>
      <c r="F16" t="b">
        <v>0</v>
      </c>
      <c r="G16" t="b">
        <v>0</v>
      </c>
      <c r="H16">
        <v>2</v>
      </c>
      <c r="I16">
        <v>0</v>
      </c>
      <c r="J16" t="b">
        <v>1</v>
      </c>
      <c r="K16" s="6" t="s">
        <v>44</v>
      </c>
      <c r="L16" s="2"/>
      <c r="M16" s="15" t="e">
        <f t="shared" ref="M16:M20" si="4">10^6/L16</f>
        <v>#DIV/0!</v>
      </c>
      <c r="N16" s="2" t="e">
        <f t="shared" si="0"/>
        <v>#DIV/0!</v>
      </c>
    </row>
    <row r="17" spans="1:27" x14ac:dyDescent="0.25">
      <c r="B17" t="s">
        <v>5</v>
      </c>
      <c r="C17" t="s">
        <v>50</v>
      </c>
      <c r="E17" t="b">
        <v>1</v>
      </c>
      <c r="F17" t="b">
        <v>0</v>
      </c>
      <c r="G17" t="b">
        <v>0</v>
      </c>
      <c r="H17">
        <v>2</v>
      </c>
      <c r="I17">
        <v>0</v>
      </c>
      <c r="J17" t="b">
        <v>1</v>
      </c>
      <c r="K17" s="6" t="s">
        <v>40</v>
      </c>
      <c r="L17" s="2">
        <v>2388806</v>
      </c>
      <c r="M17" s="15">
        <f t="shared" si="4"/>
        <v>0.41861917627467449</v>
      </c>
      <c r="N17" s="12">
        <f t="shared" si="0"/>
        <v>50.234301152960938</v>
      </c>
      <c r="O17" s="15">
        <f>M17-M$7</f>
        <v>0.24289637126776947</v>
      </c>
      <c r="P17" s="2">
        <f t="shared" ref="P17:P18" si="5">O17*$L$39</f>
        <v>29.147564552132337</v>
      </c>
      <c r="R17" s="1" t="e">
        <f>10^6/Q17</f>
        <v>#DIV/0!</v>
      </c>
      <c r="S17" s="12" t="e">
        <f>R17*$L$39</f>
        <v>#DIV/0!</v>
      </c>
      <c r="V17">
        <v>6236</v>
      </c>
      <c r="W17">
        <v>148</v>
      </c>
      <c r="X17">
        <v>1356</v>
      </c>
      <c r="Y17">
        <v>7740</v>
      </c>
      <c r="Z17" s="17" t="s">
        <v>106</v>
      </c>
      <c r="AA17" t="s">
        <v>107</v>
      </c>
    </row>
    <row r="18" spans="1:27" x14ac:dyDescent="0.25">
      <c r="B18" t="s">
        <v>5</v>
      </c>
      <c r="C18" t="s">
        <v>52</v>
      </c>
      <c r="E18" t="b">
        <v>1</v>
      </c>
      <c r="F18" t="b">
        <v>1</v>
      </c>
      <c r="G18" t="b">
        <v>0</v>
      </c>
      <c r="H18">
        <v>2</v>
      </c>
      <c r="I18">
        <v>0</v>
      </c>
      <c r="J18" t="b">
        <v>1</v>
      </c>
      <c r="K18" s="6" t="s">
        <v>40</v>
      </c>
      <c r="L18" s="2">
        <v>538043</v>
      </c>
      <c r="M18" s="15">
        <f t="shared" si="4"/>
        <v>1.8585875106636458</v>
      </c>
      <c r="N18" s="10">
        <f t="shared" si="0"/>
        <v>223.03050127963749</v>
      </c>
      <c r="O18" s="15">
        <f>M18-M10</f>
        <v>0.21868944672730017</v>
      </c>
      <c r="P18" s="2">
        <f t="shared" si="5"/>
        <v>26.242733607276023</v>
      </c>
    </row>
    <row r="19" spans="1:27" x14ac:dyDescent="0.25">
      <c r="B19" t="s">
        <v>5</v>
      </c>
      <c r="C19" t="s">
        <v>52</v>
      </c>
      <c r="D19" t="s">
        <v>61</v>
      </c>
      <c r="E19" t="b">
        <v>1</v>
      </c>
      <c r="F19" t="b">
        <v>1</v>
      </c>
      <c r="G19" t="b">
        <v>0</v>
      </c>
      <c r="H19">
        <v>2</v>
      </c>
      <c r="I19">
        <v>1</v>
      </c>
      <c r="J19" t="b">
        <v>1</v>
      </c>
      <c r="K19" s="6" t="s">
        <v>40</v>
      </c>
      <c r="L19" s="2"/>
      <c r="M19" s="15" t="e">
        <f t="shared" si="4"/>
        <v>#DIV/0!</v>
      </c>
      <c r="N19" s="2" t="e">
        <f t="shared" si="0"/>
        <v>#DIV/0!</v>
      </c>
    </row>
    <row r="20" spans="1:27" x14ac:dyDescent="0.25">
      <c r="B20" t="s">
        <v>5</v>
      </c>
      <c r="C20" t="s">
        <v>52</v>
      </c>
      <c r="D20" t="s">
        <v>58</v>
      </c>
      <c r="E20" t="b">
        <v>1</v>
      </c>
      <c r="F20" t="b">
        <v>1</v>
      </c>
      <c r="G20" t="b">
        <v>0</v>
      </c>
      <c r="H20">
        <v>2</v>
      </c>
      <c r="I20">
        <v>2</v>
      </c>
      <c r="J20" t="b">
        <v>1</v>
      </c>
      <c r="K20" s="6" t="s">
        <v>40</v>
      </c>
      <c r="L20" s="2"/>
      <c r="M20" s="15" t="e">
        <f t="shared" si="4"/>
        <v>#DIV/0!</v>
      </c>
      <c r="N20" s="2" t="e">
        <f t="shared" si="0"/>
        <v>#DIV/0!</v>
      </c>
    </row>
    <row r="21" spans="1:27" ht="15.75" thickBot="1" x14ac:dyDescent="0.3">
      <c r="B21" t="s">
        <v>54</v>
      </c>
      <c r="C21" t="s">
        <v>50</v>
      </c>
      <c r="E21" t="b">
        <v>1</v>
      </c>
      <c r="F21" t="b">
        <v>0</v>
      </c>
      <c r="G21" t="b">
        <v>0</v>
      </c>
      <c r="H21">
        <v>2</v>
      </c>
      <c r="I21">
        <v>0</v>
      </c>
      <c r="J21" t="b">
        <v>0</v>
      </c>
      <c r="K21" s="6" t="s">
        <v>44</v>
      </c>
      <c r="L21" s="2"/>
      <c r="M21" s="15"/>
      <c r="R21" s="1"/>
      <c r="S21" s="2">
        <f>R21*$L$39</f>
        <v>0</v>
      </c>
    </row>
    <row r="22" spans="1:27" ht="16.5" thickTop="1" thickBot="1" x14ac:dyDescent="0.3">
      <c r="A22" t="b">
        <v>1</v>
      </c>
      <c r="B22" t="s">
        <v>54</v>
      </c>
      <c r="C22" t="s">
        <v>50</v>
      </c>
      <c r="E22" t="b">
        <v>1</v>
      </c>
      <c r="F22" t="b">
        <v>0</v>
      </c>
      <c r="G22" t="b">
        <v>0</v>
      </c>
      <c r="H22">
        <v>2</v>
      </c>
      <c r="I22">
        <v>0</v>
      </c>
      <c r="J22" t="b">
        <v>0</v>
      </c>
      <c r="K22" s="6" t="s">
        <v>40</v>
      </c>
      <c r="L22" s="2"/>
      <c r="M22" s="16">
        <f>0.7/2</f>
        <v>0.35</v>
      </c>
      <c r="N22" s="12">
        <f t="shared" ref="N22" si="6">M22*$L$39</f>
        <v>42</v>
      </c>
      <c r="O22" s="15">
        <f>M22-M$13</f>
        <v>0.20849999999999999</v>
      </c>
      <c r="P22" s="1">
        <f t="shared" ref="P22" si="7">O22*$L$39</f>
        <v>25.02</v>
      </c>
      <c r="R22" s="13">
        <f>0.7/2</f>
        <v>0.35</v>
      </c>
      <c r="S22" s="12">
        <f>R22*$L$39</f>
        <v>42</v>
      </c>
      <c r="T22" s="15">
        <f>R22-R$13</f>
        <v>0.20849999999999999</v>
      </c>
      <c r="U22">
        <f>T22*$L$39</f>
        <v>25.02</v>
      </c>
      <c r="V22">
        <v>4904</v>
      </c>
      <c r="W22">
        <v>148</v>
      </c>
      <c r="X22">
        <v>1288</v>
      </c>
      <c r="Y22">
        <v>6340</v>
      </c>
      <c r="Z22" s="17" t="s">
        <v>116</v>
      </c>
      <c r="AA22" t="s">
        <v>80</v>
      </c>
    </row>
    <row r="23" spans="1:27" ht="16.5" thickTop="1" thickBot="1" x14ac:dyDescent="0.3">
      <c r="B23" t="s">
        <v>54</v>
      </c>
      <c r="C23" t="s">
        <v>52</v>
      </c>
      <c r="E23" t="b">
        <v>1</v>
      </c>
      <c r="F23" t="b">
        <v>1</v>
      </c>
      <c r="G23" t="b">
        <v>0</v>
      </c>
      <c r="H23">
        <v>2</v>
      </c>
      <c r="I23">
        <v>0</v>
      </c>
      <c r="J23" t="b">
        <v>0</v>
      </c>
      <c r="K23" s="6" t="s">
        <v>40</v>
      </c>
      <c r="L23" s="2"/>
      <c r="M23" s="16"/>
      <c r="N23" s="10">
        <f>M23*$L$39</f>
        <v>0</v>
      </c>
      <c r="R23" s="13"/>
      <c r="S23" s="10">
        <f t="shared" ref="S23" si="8">R23*$L$39</f>
        <v>0</v>
      </c>
      <c r="V23">
        <v>6080</v>
      </c>
      <c r="W23">
        <v>148</v>
      </c>
      <c r="X23">
        <v>1332</v>
      </c>
      <c r="Y23">
        <v>7560</v>
      </c>
      <c r="Z23" s="17" t="s">
        <v>83</v>
      </c>
      <c r="AA23" t="s">
        <v>80</v>
      </c>
    </row>
    <row r="24" spans="1:27" ht="16.5" thickTop="1" thickBot="1" x14ac:dyDescent="0.3">
      <c r="B24" t="s">
        <v>54</v>
      </c>
      <c r="C24" t="s">
        <v>50</v>
      </c>
      <c r="D24" t="s">
        <v>86</v>
      </c>
      <c r="E24" t="b">
        <v>1</v>
      </c>
      <c r="F24" t="b">
        <v>0</v>
      </c>
      <c r="G24" t="b">
        <v>0</v>
      </c>
      <c r="H24">
        <v>2</v>
      </c>
      <c r="I24">
        <v>0</v>
      </c>
      <c r="J24" t="b">
        <v>0</v>
      </c>
      <c r="K24" s="6" t="s">
        <v>40</v>
      </c>
      <c r="L24" s="2"/>
      <c r="M24" s="15"/>
      <c r="R24" s="13"/>
      <c r="S24" s="12">
        <f>R24*$L$39</f>
        <v>0</v>
      </c>
    </row>
    <row r="25" spans="1:27" ht="15.75" thickTop="1" x14ac:dyDescent="0.25">
      <c r="B25" t="s">
        <v>90</v>
      </c>
      <c r="C25" t="s">
        <v>91</v>
      </c>
      <c r="E25" t="b">
        <v>0</v>
      </c>
      <c r="F25" t="b">
        <v>1</v>
      </c>
      <c r="G25" t="b">
        <v>0</v>
      </c>
      <c r="H25">
        <v>2</v>
      </c>
      <c r="I25">
        <v>0</v>
      </c>
      <c r="J25" t="b">
        <v>1</v>
      </c>
      <c r="K25" s="6" t="s">
        <v>44</v>
      </c>
      <c r="L25" s="2">
        <v>203100</v>
      </c>
      <c r="M25" s="15">
        <f t="shared" ref="M25" si="9">10^6/L25</f>
        <v>4.9236829148202856</v>
      </c>
      <c r="N25" s="2">
        <f t="shared" ref="N25" si="10">M25*$L$39</f>
        <v>590.84194977843424</v>
      </c>
    </row>
    <row r="26" spans="1:27" x14ac:dyDescent="0.25">
      <c r="B26" t="s">
        <v>90</v>
      </c>
      <c r="C26" t="s">
        <v>91</v>
      </c>
      <c r="E26" t="b">
        <v>0</v>
      </c>
      <c r="F26" t="b">
        <v>1</v>
      </c>
      <c r="G26" t="b">
        <v>0</v>
      </c>
      <c r="H26">
        <v>2</v>
      </c>
      <c r="I26">
        <v>0</v>
      </c>
      <c r="J26" t="b">
        <v>1</v>
      </c>
      <c r="K26" s="6" t="s">
        <v>40</v>
      </c>
      <c r="L26" s="2">
        <v>333998</v>
      </c>
      <c r="M26" s="15">
        <f t="shared" ref="M26:M29" si="11">10^6/L26</f>
        <v>2.9940299043706848</v>
      </c>
      <c r="N26" s="2">
        <f t="shared" ref="N26:N29" si="12">M26*$L$39</f>
        <v>359.28358852448218</v>
      </c>
      <c r="O26" s="15">
        <f>M26-M7</f>
        <v>2.8183070993637798</v>
      </c>
      <c r="P26" s="2">
        <f t="shared" ref="P26:P32" si="13">O26*$L$39</f>
        <v>338.19685192365358</v>
      </c>
      <c r="V26">
        <v>6768</v>
      </c>
      <c r="W26">
        <v>152</v>
      </c>
      <c r="X26">
        <v>4344</v>
      </c>
      <c r="Y26">
        <v>11264</v>
      </c>
      <c r="Z26" s="17" t="s">
        <v>101</v>
      </c>
      <c r="AA26" t="s">
        <v>100</v>
      </c>
    </row>
    <row r="27" spans="1:27" ht="15.75" thickBot="1" x14ac:dyDescent="0.3">
      <c r="B27" t="s">
        <v>90</v>
      </c>
      <c r="C27" t="s">
        <v>52</v>
      </c>
      <c r="E27" t="b">
        <v>0</v>
      </c>
      <c r="F27" t="b">
        <v>1</v>
      </c>
      <c r="G27" t="b">
        <v>0</v>
      </c>
      <c r="H27">
        <v>2</v>
      </c>
      <c r="I27">
        <v>0</v>
      </c>
      <c r="J27" t="b">
        <v>1</v>
      </c>
      <c r="K27" s="6" t="s">
        <v>40</v>
      </c>
      <c r="L27" s="2">
        <v>340668</v>
      </c>
      <c r="M27" s="15">
        <f t="shared" ref="M27" si="14">10^6/L27</f>
        <v>2.9354092547582984</v>
      </c>
      <c r="N27" s="2">
        <f t="shared" ref="N27:N28" si="15">M27*$L$39</f>
        <v>352.24911057099581</v>
      </c>
      <c r="O27" s="15">
        <f>M27-M7</f>
        <v>2.7596864497513933</v>
      </c>
      <c r="P27" s="2">
        <f t="shared" ref="P27:P28" si="16">O27*$L$39</f>
        <v>331.16237397016721</v>
      </c>
      <c r="V27">
        <v>7856</v>
      </c>
      <c r="W27">
        <v>144</v>
      </c>
      <c r="X27">
        <v>4344</v>
      </c>
      <c r="Y27">
        <v>12344</v>
      </c>
      <c r="Z27" s="17">
        <v>3038</v>
      </c>
      <c r="AA27" t="s">
        <v>100</v>
      </c>
    </row>
    <row r="28" spans="1:27" ht="16.5" thickTop="1" thickBot="1" x14ac:dyDescent="0.3">
      <c r="A28" t="b">
        <v>1</v>
      </c>
      <c r="B28" t="s">
        <v>115</v>
      </c>
      <c r="C28" t="s">
        <v>52</v>
      </c>
      <c r="E28" t="b">
        <v>0</v>
      </c>
      <c r="F28" t="b">
        <v>1</v>
      </c>
      <c r="G28" t="b">
        <v>0</v>
      </c>
      <c r="H28">
        <v>2</v>
      </c>
      <c r="I28">
        <v>0</v>
      </c>
      <c r="J28" t="b">
        <v>1</v>
      </c>
      <c r="K28" s="6" t="s">
        <v>40</v>
      </c>
      <c r="L28" s="2"/>
      <c r="M28" s="16">
        <f>5.29/2</f>
        <v>2.645</v>
      </c>
      <c r="N28" s="12">
        <f t="shared" si="15"/>
        <v>317.39999999999998</v>
      </c>
      <c r="O28" s="15">
        <f>M28-M$13</f>
        <v>2.5034999999999998</v>
      </c>
      <c r="P28" s="1">
        <f t="shared" si="16"/>
        <v>300.41999999999996</v>
      </c>
      <c r="R28" s="13">
        <f>5.29/2</f>
        <v>2.645</v>
      </c>
      <c r="S28" s="12">
        <f>R28*$L$39</f>
        <v>317.39999999999998</v>
      </c>
      <c r="T28" s="15">
        <f>R28-R$13</f>
        <v>2.5034999999999998</v>
      </c>
      <c r="U28">
        <f>T28*$L$39</f>
        <v>300.41999999999996</v>
      </c>
      <c r="V28">
        <v>6676</v>
      </c>
      <c r="W28">
        <v>144</v>
      </c>
      <c r="X28">
        <v>4284</v>
      </c>
      <c r="Y28">
        <v>11104</v>
      </c>
      <c r="Z28" s="17" t="s">
        <v>117</v>
      </c>
      <c r="AA28" t="s">
        <v>118</v>
      </c>
    </row>
    <row r="29" spans="1:27" ht="15.75" thickTop="1" x14ac:dyDescent="0.25">
      <c r="B29" t="s">
        <v>92</v>
      </c>
      <c r="C29" t="s">
        <v>91</v>
      </c>
      <c r="E29" t="b">
        <v>0</v>
      </c>
      <c r="F29" t="b">
        <v>1</v>
      </c>
      <c r="G29" t="b">
        <v>0</v>
      </c>
      <c r="H29">
        <v>2</v>
      </c>
      <c r="I29">
        <v>0</v>
      </c>
      <c r="J29" t="b">
        <v>1</v>
      </c>
      <c r="K29" s="6" t="s">
        <v>44</v>
      </c>
      <c r="L29" s="2">
        <v>242656</v>
      </c>
      <c r="M29" s="15">
        <f t="shared" si="11"/>
        <v>4.121060266385336</v>
      </c>
      <c r="N29" s="2">
        <f t="shared" si="12"/>
        <v>494.52723196624032</v>
      </c>
    </row>
    <row r="30" spans="1:27" x14ac:dyDescent="0.25">
      <c r="B30" t="s">
        <v>92</v>
      </c>
      <c r="C30" t="s">
        <v>91</v>
      </c>
      <c r="E30" t="b">
        <v>0</v>
      </c>
      <c r="F30" t="b">
        <v>1</v>
      </c>
      <c r="G30" t="b">
        <v>0</v>
      </c>
      <c r="H30">
        <v>2</v>
      </c>
      <c r="I30">
        <v>0</v>
      </c>
      <c r="J30" t="b">
        <v>1</v>
      </c>
      <c r="K30" s="6" t="s">
        <v>40</v>
      </c>
      <c r="L30" s="2">
        <v>339123</v>
      </c>
      <c r="M30" s="15">
        <f t="shared" ref="M30" si="17">10^6/L30</f>
        <v>2.9487825951056106</v>
      </c>
      <c r="N30" s="2">
        <f t="shared" ref="N30" si="18">M30*$L$39</f>
        <v>353.85391141267326</v>
      </c>
      <c r="O30" s="15">
        <f>M30-M7</f>
        <v>2.7730597900987055</v>
      </c>
      <c r="P30" s="2">
        <f t="shared" si="13"/>
        <v>332.76717481184465</v>
      </c>
      <c r="V30">
        <v>8644</v>
      </c>
      <c r="W30">
        <v>156</v>
      </c>
      <c r="X30">
        <v>4328</v>
      </c>
      <c r="Y30">
        <v>13128</v>
      </c>
      <c r="Z30" s="17">
        <v>3348</v>
      </c>
      <c r="AA30" t="s">
        <v>98</v>
      </c>
    </row>
    <row r="31" spans="1:27" ht="15.75" thickBot="1" x14ac:dyDescent="0.3">
      <c r="B31" t="s">
        <v>92</v>
      </c>
      <c r="C31" t="s">
        <v>52</v>
      </c>
      <c r="E31" t="b">
        <v>0</v>
      </c>
      <c r="F31" t="b">
        <v>1</v>
      </c>
      <c r="G31" t="b">
        <v>0</v>
      </c>
      <c r="H31">
        <v>2</v>
      </c>
      <c r="I31">
        <v>0</v>
      </c>
      <c r="J31" t="b">
        <v>1</v>
      </c>
      <c r="K31" s="6" t="s">
        <v>40</v>
      </c>
      <c r="L31" s="2">
        <v>324856</v>
      </c>
      <c r="M31" s="15">
        <f t="shared" ref="M31" si="19">10^6/L31</f>
        <v>3.0782869948531042</v>
      </c>
      <c r="N31" s="2">
        <f t="shared" ref="N31" si="20">M31*$L$39</f>
        <v>369.39443938237252</v>
      </c>
      <c r="O31" s="15">
        <f>M31-M7</f>
        <v>2.9025641898461991</v>
      </c>
      <c r="P31" s="2">
        <f t="shared" si="13"/>
        <v>348.30770278154387</v>
      </c>
      <c r="V31">
        <v>11040</v>
      </c>
      <c r="W31">
        <v>156</v>
      </c>
      <c r="X31">
        <v>4332</v>
      </c>
      <c r="Y31">
        <v>15528</v>
      </c>
      <c r="Z31" s="17" t="s">
        <v>99</v>
      </c>
      <c r="AA31" t="s">
        <v>98</v>
      </c>
    </row>
    <row r="32" spans="1:27" ht="16.5" thickTop="1" thickBot="1" x14ac:dyDescent="0.3">
      <c r="A32" t="b">
        <v>1</v>
      </c>
      <c r="B32" t="s">
        <v>112</v>
      </c>
      <c r="C32" t="s">
        <v>52</v>
      </c>
      <c r="E32" t="b">
        <v>0</v>
      </c>
      <c r="F32" t="b">
        <v>1</v>
      </c>
      <c r="G32" t="b">
        <v>0</v>
      </c>
      <c r="H32">
        <v>2</v>
      </c>
      <c r="I32">
        <v>0</v>
      </c>
      <c r="J32" t="b">
        <v>0</v>
      </c>
      <c r="K32" s="6" t="s">
        <v>40</v>
      </c>
      <c r="L32" s="2"/>
      <c r="M32" s="16">
        <f>6/2</f>
        <v>3</v>
      </c>
      <c r="N32" s="10">
        <f>M32*$L$39</f>
        <v>360</v>
      </c>
      <c r="O32" s="15">
        <f>M32-M$13</f>
        <v>2.8584999999999998</v>
      </c>
      <c r="P32" s="1">
        <f t="shared" si="13"/>
        <v>343.02</v>
      </c>
      <c r="R32" s="16">
        <f>6/2</f>
        <v>3</v>
      </c>
      <c r="S32" s="12">
        <f>R32*$L$39</f>
        <v>360</v>
      </c>
      <c r="T32" s="15">
        <f>R32-R$13</f>
        <v>2.8584999999999998</v>
      </c>
      <c r="U32">
        <f>T32*$L$39</f>
        <v>343.02</v>
      </c>
      <c r="V32">
        <v>9732</v>
      </c>
      <c r="W32">
        <v>156</v>
      </c>
      <c r="X32">
        <v>3744</v>
      </c>
      <c r="Y32">
        <v>13632</v>
      </c>
      <c r="Z32" s="17">
        <v>3540</v>
      </c>
      <c r="AA32" t="s">
        <v>119</v>
      </c>
    </row>
    <row r="33" spans="11:13" ht="15.75" thickTop="1" x14ac:dyDescent="0.25">
      <c r="L33" s="2"/>
      <c r="M33" s="15"/>
    </row>
    <row r="34" spans="11:13" x14ac:dyDescent="0.25">
      <c r="L34" s="2"/>
      <c r="M34" s="1"/>
    </row>
    <row r="35" spans="11:13" x14ac:dyDescent="0.25">
      <c r="L35" s="2"/>
      <c r="M35" s="1"/>
    </row>
    <row r="36" spans="11:13" x14ac:dyDescent="0.25">
      <c r="L36" s="2"/>
      <c r="M36" s="1"/>
    </row>
    <row r="38" spans="11:13" x14ac:dyDescent="0.25">
      <c r="K38" t="s">
        <v>45</v>
      </c>
      <c r="L38">
        <v>120000000</v>
      </c>
    </row>
    <row r="39" spans="11:13" x14ac:dyDescent="0.25">
      <c r="K39" t="s">
        <v>62</v>
      </c>
      <c r="L39">
        <f>L38/10^6</f>
        <v>120</v>
      </c>
    </row>
    <row r="41" spans="11:13" x14ac:dyDescent="0.25">
      <c r="M41" s="1"/>
    </row>
    <row r="42" spans="11:13" x14ac:dyDescent="0.25">
      <c r="M42" s="1"/>
    </row>
  </sheetData>
  <autoFilter ref="A5:AA32"/>
  <pageMargins left="0.7" right="0.7" top="0.75" bottom="0.75" header="0.3" footer="0.3"/>
  <pageSetup paperSize="9" orientation="landscape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"/>
  <sheetViews>
    <sheetView tabSelected="1" workbookViewId="0">
      <selection activeCell="S24" sqref="S24"/>
    </sheetView>
  </sheetViews>
  <sheetFormatPr defaultRowHeight="15" x14ac:dyDescent="0.25"/>
  <cols>
    <col min="2" max="2" width="14.42578125" bestFit="1" customWidth="1"/>
    <col min="3" max="3" width="9.5703125" bestFit="1" customWidth="1"/>
  </cols>
  <sheetData>
    <row r="1" spans="2:3" x14ac:dyDescent="0.25">
      <c r="B1" s="18" t="s">
        <v>108</v>
      </c>
    </row>
    <row r="3" spans="2:3" x14ac:dyDescent="0.25">
      <c r="B3" t="s">
        <v>93</v>
      </c>
      <c r="C3" t="s">
        <v>96</v>
      </c>
    </row>
    <row r="4" spans="2:3" x14ac:dyDescent="0.25">
      <c r="B4" t="s">
        <v>64</v>
      </c>
      <c r="C4" s="15">
        <f>'Switch test (2)'!O14</f>
        <v>1.7000000000000015E-2</v>
      </c>
    </row>
    <row r="5" spans="2:3" x14ac:dyDescent="0.25">
      <c r="B5" t="s">
        <v>65</v>
      </c>
      <c r="C5" s="15">
        <f>'Switch test (2)'!O22</f>
        <v>0.20849999999999999</v>
      </c>
    </row>
    <row r="6" spans="2:3" x14ac:dyDescent="0.25">
      <c r="B6" t="s">
        <v>94</v>
      </c>
      <c r="C6" s="15">
        <f>'Switch test (2)'!O28</f>
        <v>2.5034999999999998</v>
      </c>
    </row>
    <row r="7" spans="2:3" x14ac:dyDescent="0.25">
      <c r="B7" t="s">
        <v>95</v>
      </c>
      <c r="C7" s="15">
        <f>'Switch test (2)'!O32</f>
        <v>2.8584999999999998</v>
      </c>
    </row>
    <row r="19" spans="2:16" x14ac:dyDescent="0.25">
      <c r="B19" s="18" t="s">
        <v>109</v>
      </c>
    </row>
    <row r="21" spans="2:16" x14ac:dyDescent="0.25">
      <c r="B21" t="s">
        <v>93</v>
      </c>
      <c r="C21" t="s">
        <v>102</v>
      </c>
      <c r="O21" t="s">
        <v>124</v>
      </c>
    </row>
    <row r="22" spans="2:16" x14ac:dyDescent="0.25">
      <c r="B22" t="s">
        <v>64</v>
      </c>
      <c r="C22">
        <f>'Switch test (2)'!W14</f>
        <v>140</v>
      </c>
      <c r="O22" t="str">
        <f>B4</f>
        <v>Protothreads</v>
      </c>
      <c r="P22">
        <f>C4</f>
        <v>1.7000000000000015E-2</v>
      </c>
    </row>
    <row r="23" spans="2:16" x14ac:dyDescent="0.25">
      <c r="B23" t="s">
        <v>65</v>
      </c>
      <c r="C23" s="2">
        <f>'Switch test (2)'!W22</f>
        <v>148</v>
      </c>
      <c r="O23" t="str">
        <f t="shared" ref="O23:P25" si="0">B5</f>
        <v>Coroutines</v>
      </c>
      <c r="P23">
        <f t="shared" si="0"/>
        <v>0.20849999999999999</v>
      </c>
    </row>
    <row r="24" spans="2:16" x14ac:dyDescent="0.25">
      <c r="B24" t="s">
        <v>94</v>
      </c>
      <c r="C24" s="2">
        <f>'Switch test (2)'!W28</f>
        <v>144</v>
      </c>
      <c r="O24" t="str">
        <f t="shared" si="0"/>
        <v>FreeRTOS</v>
      </c>
      <c r="P24">
        <f t="shared" si="0"/>
        <v>2.5034999999999998</v>
      </c>
    </row>
    <row r="25" spans="2:16" x14ac:dyDescent="0.25">
      <c r="B25" t="s">
        <v>95</v>
      </c>
      <c r="C25" s="2">
        <f>'Switch test (2)'!W32</f>
        <v>156</v>
      </c>
      <c r="O25" t="str">
        <f t="shared" si="0"/>
        <v>MQX Lite</v>
      </c>
      <c r="P25">
        <f t="shared" si="0"/>
        <v>2.8584999999999998</v>
      </c>
    </row>
    <row r="38" spans="2:3" x14ac:dyDescent="0.25">
      <c r="B38" s="18" t="s">
        <v>110</v>
      </c>
    </row>
    <row r="40" spans="2:3" x14ac:dyDescent="0.25">
      <c r="B40" t="s">
        <v>93</v>
      </c>
      <c r="C40" t="s">
        <v>111</v>
      </c>
    </row>
    <row r="41" spans="2:3" x14ac:dyDescent="0.25">
      <c r="B41" t="s">
        <v>64</v>
      </c>
      <c r="C41">
        <f>'Switch test (2)'!V9</f>
        <v>4384</v>
      </c>
    </row>
    <row r="42" spans="2:3" x14ac:dyDescent="0.25">
      <c r="B42" t="s">
        <v>65</v>
      </c>
      <c r="C42" s="2">
        <f>'Switch test (2)'!V17</f>
        <v>6236</v>
      </c>
    </row>
    <row r="43" spans="2:3" x14ac:dyDescent="0.25">
      <c r="B43" t="s">
        <v>95</v>
      </c>
      <c r="C43" s="2">
        <f>'Switch test (2)'!V30</f>
        <v>8644</v>
      </c>
    </row>
    <row r="44" spans="2:3" x14ac:dyDescent="0.25">
      <c r="B44" t="s">
        <v>94</v>
      </c>
      <c r="C44" s="2">
        <f>'Switch test (2)'!V26</f>
        <v>6768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rightToLeft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'Charts (Switch test)'!P22:P22</xm:f>
              <xm:sqref>Q22</xm:sqref>
            </x14:sparkline>
            <x14:sparkline>
              <xm:f>'Charts (Switch test)'!P23:P23</xm:f>
              <xm:sqref>Q23</xm:sqref>
            </x14:sparkline>
            <x14:sparkline>
              <xm:f>'Charts (Switch test)'!P24:P24</xm:f>
              <xm:sqref>Q24</xm:sqref>
            </x14:sparkline>
            <x14:sparkline>
              <xm:f>'Charts (Switch test)'!P25:P25</xm:f>
              <xm:sqref>Q25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5"/>
  <sheetViews>
    <sheetView workbookViewId="0">
      <selection activeCell="C35" sqref="C35:H35"/>
    </sheetView>
  </sheetViews>
  <sheetFormatPr defaultRowHeight="15" x14ac:dyDescent="0.25"/>
  <sheetData>
    <row r="4" spans="1:8" x14ac:dyDescent="0.25">
      <c r="A4" t="s">
        <v>50</v>
      </c>
      <c r="C4" t="s">
        <v>73</v>
      </c>
      <c r="D4" t="s">
        <v>74</v>
      </c>
      <c r="E4" t="s">
        <v>75</v>
      </c>
      <c r="F4" t="s">
        <v>76</v>
      </c>
      <c r="G4" t="s">
        <v>77</v>
      </c>
      <c r="H4" t="s">
        <v>78</v>
      </c>
    </row>
    <row r="5" spans="1:8" x14ac:dyDescent="0.25">
      <c r="C5">
        <v>5212</v>
      </c>
      <c r="D5">
        <v>148</v>
      </c>
      <c r="E5">
        <v>1288</v>
      </c>
      <c r="F5">
        <v>6648</v>
      </c>
      <c r="G5" t="s">
        <v>79</v>
      </c>
      <c r="H5" t="s">
        <v>80</v>
      </c>
    </row>
    <row r="7" spans="1:8" x14ac:dyDescent="0.25">
      <c r="A7" t="s">
        <v>52</v>
      </c>
      <c r="C7" t="s">
        <v>82</v>
      </c>
      <c r="D7" t="s">
        <v>74</v>
      </c>
      <c r="E7" t="s">
        <v>75</v>
      </c>
      <c r="F7" t="s">
        <v>76</v>
      </c>
      <c r="G7" t="s">
        <v>77</v>
      </c>
      <c r="H7" t="s">
        <v>78</v>
      </c>
    </row>
    <row r="8" spans="1:8" x14ac:dyDescent="0.25">
      <c r="C8">
        <v>6080</v>
      </c>
      <c r="D8">
        <v>148</v>
      </c>
      <c r="E8">
        <v>1332</v>
      </c>
      <c r="F8">
        <v>7560</v>
      </c>
      <c r="G8" t="s">
        <v>83</v>
      </c>
      <c r="H8" t="s">
        <v>80</v>
      </c>
    </row>
    <row r="10" spans="1:8" x14ac:dyDescent="0.25">
      <c r="A10" t="s">
        <v>50</v>
      </c>
      <c r="C10" t="s">
        <v>73</v>
      </c>
      <c r="D10" t="s">
        <v>74</v>
      </c>
      <c r="E10" t="s">
        <v>75</v>
      </c>
      <c r="F10" t="s">
        <v>76</v>
      </c>
      <c r="G10" t="s">
        <v>77</v>
      </c>
      <c r="H10" t="s">
        <v>78</v>
      </c>
    </row>
    <row r="11" spans="1:8" x14ac:dyDescent="0.25">
      <c r="C11">
        <v>3324</v>
      </c>
      <c r="D11">
        <v>140</v>
      </c>
      <c r="E11">
        <v>1060</v>
      </c>
      <c r="F11">
        <v>4524</v>
      </c>
      <c r="G11" t="s">
        <v>84</v>
      </c>
      <c r="H11" t="s">
        <v>81</v>
      </c>
    </row>
    <row r="13" spans="1:8" x14ac:dyDescent="0.25">
      <c r="A13" t="s">
        <v>52</v>
      </c>
      <c r="C13" t="s">
        <v>73</v>
      </c>
      <c r="D13" t="s">
        <v>74</v>
      </c>
      <c r="E13" t="s">
        <v>75</v>
      </c>
      <c r="F13" t="s">
        <v>76</v>
      </c>
      <c r="G13" t="s">
        <v>77</v>
      </c>
      <c r="H13" t="s">
        <v>78</v>
      </c>
    </row>
    <row r="14" spans="1:8" x14ac:dyDescent="0.25">
      <c r="C14">
        <v>3964</v>
      </c>
      <c r="D14">
        <v>140</v>
      </c>
      <c r="E14">
        <v>1104</v>
      </c>
      <c r="F14">
        <v>5208</v>
      </c>
      <c r="G14">
        <v>1458</v>
      </c>
      <c r="H14" t="s">
        <v>81</v>
      </c>
    </row>
    <row r="16" spans="1:8" x14ac:dyDescent="0.25">
      <c r="A16" t="s">
        <v>91</v>
      </c>
      <c r="C16" t="s">
        <v>73</v>
      </c>
      <c r="D16" t="s">
        <v>74</v>
      </c>
      <c r="E16" t="s">
        <v>75</v>
      </c>
      <c r="F16" t="s">
        <v>76</v>
      </c>
      <c r="G16" t="s">
        <v>77</v>
      </c>
      <c r="H16" t="s">
        <v>78</v>
      </c>
    </row>
    <row r="17" spans="1:8" x14ac:dyDescent="0.25">
      <c r="C17">
        <v>8644</v>
      </c>
      <c r="D17">
        <v>156</v>
      </c>
      <c r="E17">
        <v>4328</v>
      </c>
      <c r="F17">
        <v>13128</v>
      </c>
      <c r="G17">
        <v>3348</v>
      </c>
      <c r="H17" t="s">
        <v>98</v>
      </c>
    </row>
    <row r="19" spans="1:8" x14ac:dyDescent="0.25">
      <c r="A19" t="s">
        <v>52</v>
      </c>
      <c r="C19" t="s">
        <v>82</v>
      </c>
      <c r="D19" t="s">
        <v>74</v>
      </c>
      <c r="E19" t="s">
        <v>75</v>
      </c>
      <c r="F19" t="s">
        <v>76</v>
      </c>
      <c r="G19" t="s">
        <v>77</v>
      </c>
      <c r="H19" t="s">
        <v>78</v>
      </c>
    </row>
    <row r="20" spans="1:8" x14ac:dyDescent="0.25">
      <c r="C20">
        <v>11040</v>
      </c>
      <c r="D20">
        <v>156</v>
      </c>
      <c r="E20">
        <v>4332</v>
      </c>
      <c r="F20">
        <v>15528</v>
      </c>
      <c r="G20" t="s">
        <v>99</v>
      </c>
      <c r="H20" t="s">
        <v>98</v>
      </c>
    </row>
    <row r="22" spans="1:8" x14ac:dyDescent="0.25">
      <c r="A22" t="s">
        <v>52</v>
      </c>
      <c r="C22" t="s">
        <v>73</v>
      </c>
      <c r="D22" t="s">
        <v>74</v>
      </c>
      <c r="E22" t="s">
        <v>75</v>
      </c>
      <c r="F22" t="s">
        <v>76</v>
      </c>
      <c r="G22" t="s">
        <v>77</v>
      </c>
      <c r="H22" t="s">
        <v>78</v>
      </c>
    </row>
    <row r="23" spans="1:8" x14ac:dyDescent="0.25">
      <c r="C23">
        <v>7856</v>
      </c>
      <c r="D23">
        <v>144</v>
      </c>
      <c r="E23">
        <v>4344</v>
      </c>
      <c r="F23">
        <v>12344</v>
      </c>
      <c r="G23">
        <v>3038</v>
      </c>
      <c r="H23" t="s">
        <v>100</v>
      </c>
    </row>
    <row r="25" spans="1:8" x14ac:dyDescent="0.25">
      <c r="A25" t="s">
        <v>91</v>
      </c>
      <c r="C25" t="s">
        <v>73</v>
      </c>
      <c r="D25" t="s">
        <v>74</v>
      </c>
      <c r="E25" t="s">
        <v>75</v>
      </c>
      <c r="F25" t="s">
        <v>76</v>
      </c>
      <c r="G25" t="s">
        <v>77</v>
      </c>
      <c r="H25" t="s">
        <v>78</v>
      </c>
    </row>
    <row r="26" spans="1:8" x14ac:dyDescent="0.25">
      <c r="C26">
        <v>6768</v>
      </c>
      <c r="D26">
        <v>152</v>
      </c>
      <c r="E26">
        <v>4344</v>
      </c>
      <c r="F26">
        <v>11264</v>
      </c>
      <c r="G26" t="s">
        <v>101</v>
      </c>
      <c r="H26" t="s">
        <v>100</v>
      </c>
    </row>
    <row r="28" spans="1:8" x14ac:dyDescent="0.25">
      <c r="A28" t="s">
        <v>52</v>
      </c>
      <c r="C28" t="s">
        <v>73</v>
      </c>
      <c r="D28" t="s">
        <v>74</v>
      </c>
      <c r="E28" t="s">
        <v>75</v>
      </c>
      <c r="F28" t="s">
        <v>76</v>
      </c>
      <c r="G28" t="s">
        <v>77</v>
      </c>
      <c r="H28" t="s">
        <v>78</v>
      </c>
    </row>
    <row r="29" spans="1:8" x14ac:dyDescent="0.25">
      <c r="C29">
        <v>5096</v>
      </c>
      <c r="D29">
        <v>140</v>
      </c>
      <c r="E29">
        <v>1192</v>
      </c>
      <c r="F29">
        <v>6428</v>
      </c>
      <c r="G29" t="s">
        <v>103</v>
      </c>
      <c r="H29" t="s">
        <v>104</v>
      </c>
    </row>
    <row r="31" spans="1:8" x14ac:dyDescent="0.25">
      <c r="A31" t="s">
        <v>50</v>
      </c>
      <c r="C31" t="s">
        <v>73</v>
      </c>
      <c r="D31" t="s">
        <v>74</v>
      </c>
      <c r="E31" t="s">
        <v>75</v>
      </c>
      <c r="F31" t="s">
        <v>76</v>
      </c>
      <c r="G31" t="s">
        <v>77</v>
      </c>
      <c r="H31" t="s">
        <v>78</v>
      </c>
    </row>
    <row r="32" spans="1:8" x14ac:dyDescent="0.25">
      <c r="C32">
        <v>4384</v>
      </c>
      <c r="D32">
        <v>140</v>
      </c>
      <c r="E32">
        <v>1148</v>
      </c>
      <c r="F32">
        <v>5672</v>
      </c>
      <c r="G32">
        <v>1628</v>
      </c>
      <c r="H32" t="s">
        <v>105</v>
      </c>
    </row>
    <row r="34" spans="1:8" x14ac:dyDescent="0.25">
      <c r="A34" t="s">
        <v>50</v>
      </c>
      <c r="C34" t="s">
        <v>73</v>
      </c>
      <c r="D34" t="s">
        <v>74</v>
      </c>
      <c r="E34" t="s">
        <v>75</v>
      </c>
      <c r="F34" t="s">
        <v>76</v>
      </c>
      <c r="G34" t="s">
        <v>77</v>
      </c>
      <c r="H34" t="s">
        <v>78</v>
      </c>
    </row>
    <row r="35" spans="1:8" x14ac:dyDescent="0.25">
      <c r="C35">
        <v>6236</v>
      </c>
      <c r="D35">
        <v>148</v>
      </c>
      <c r="E35">
        <v>1356</v>
      </c>
      <c r="F35">
        <v>7740</v>
      </c>
      <c r="G35" t="s">
        <v>106</v>
      </c>
      <c r="H35" t="s">
        <v>107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31"/>
  <sheetViews>
    <sheetView topLeftCell="G1" workbookViewId="0">
      <selection activeCell="Z16" sqref="Z16"/>
    </sheetView>
  </sheetViews>
  <sheetFormatPr defaultRowHeight="15" x14ac:dyDescent="0.25"/>
  <cols>
    <col min="2" max="2" width="19.7109375" customWidth="1"/>
    <col min="3" max="4" width="14.140625" customWidth="1"/>
    <col min="5" max="5" width="11.28515625" bestFit="1" customWidth="1"/>
    <col min="9" max="10" width="11.5703125" bestFit="1" customWidth="1"/>
    <col min="26" max="26" width="32.7109375" customWidth="1"/>
    <col min="27" max="27" width="9.5703125" bestFit="1" customWidth="1"/>
  </cols>
  <sheetData>
    <row r="1" spans="2:30" x14ac:dyDescent="0.25">
      <c r="AC1" t="s">
        <v>23</v>
      </c>
    </row>
    <row r="2" spans="2:30" x14ac:dyDescent="0.25">
      <c r="Z2" t="s">
        <v>25</v>
      </c>
      <c r="AA2" s="2">
        <f>L7</f>
        <v>464810</v>
      </c>
      <c r="AB2">
        <f>10^6/AA2</f>
        <v>2.1514167079021536</v>
      </c>
      <c r="AD2" s="4">
        <f>AB2/AB$7</f>
        <v>1.9192788451195111E-2</v>
      </c>
    </row>
    <row r="3" spans="2:30" x14ac:dyDescent="0.25">
      <c r="E3" t="s">
        <v>10</v>
      </c>
      <c r="I3" t="s">
        <v>13</v>
      </c>
      <c r="L3" t="s">
        <v>24</v>
      </c>
      <c r="O3" t="s">
        <v>15</v>
      </c>
      <c r="T3" t="s">
        <v>30</v>
      </c>
      <c r="Z3" t="s">
        <v>26</v>
      </c>
      <c r="AA3" s="2">
        <v>166000</v>
      </c>
      <c r="AB3">
        <f>10^6/AA3</f>
        <v>6.024096385542169</v>
      </c>
      <c r="AD3" s="4">
        <f>AB3/AB$7</f>
        <v>5.3740963855421688E-2</v>
      </c>
    </row>
    <row r="4" spans="2:30" x14ac:dyDescent="0.25">
      <c r="B4" t="s">
        <v>0</v>
      </c>
      <c r="C4" t="s">
        <v>7</v>
      </c>
      <c r="D4" t="s">
        <v>9</v>
      </c>
      <c r="E4" t="s">
        <v>4</v>
      </c>
      <c r="F4" t="s">
        <v>2</v>
      </c>
      <c r="G4" t="s">
        <v>3</v>
      </c>
      <c r="I4" t="s">
        <v>12</v>
      </c>
      <c r="J4" t="s">
        <v>11</v>
      </c>
      <c r="L4" t="s">
        <v>14</v>
      </c>
      <c r="M4" t="s">
        <v>16</v>
      </c>
      <c r="O4" t="s">
        <v>14</v>
      </c>
      <c r="P4" t="s">
        <v>16</v>
      </c>
      <c r="Q4" t="s">
        <v>29</v>
      </c>
      <c r="AA4" s="2">
        <f>AA2/AA3</f>
        <v>2.8000602409638553</v>
      </c>
      <c r="AD4" s="4"/>
    </row>
    <row r="5" spans="2:30" x14ac:dyDescent="0.25">
      <c r="B5" t="s">
        <v>1</v>
      </c>
      <c r="C5" t="b">
        <v>0</v>
      </c>
      <c r="D5" t="b">
        <v>1</v>
      </c>
      <c r="E5">
        <v>221.68</v>
      </c>
      <c r="F5">
        <v>76.599999999999994</v>
      </c>
      <c r="G5">
        <v>145.4</v>
      </c>
      <c r="I5" s="2">
        <f>10^6/E5</f>
        <v>4511.0068567304224</v>
      </c>
      <c r="J5" s="2">
        <f>I5*2</f>
        <v>9022.0137134608449</v>
      </c>
      <c r="L5">
        <v>8921</v>
      </c>
      <c r="M5">
        <f>10^6/L5</f>
        <v>112.09505660800359</v>
      </c>
      <c r="O5">
        <v>37964</v>
      </c>
      <c r="P5">
        <f>10^6/O5</f>
        <v>26.340743862606679</v>
      </c>
      <c r="Q5">
        <v>18676</v>
      </c>
      <c r="R5">
        <f>O5+Q5</f>
        <v>56640</v>
      </c>
      <c r="S5">
        <f>10^6/R5</f>
        <v>17.655367231638419</v>
      </c>
      <c r="T5">
        <v>66736</v>
      </c>
      <c r="U5">
        <f>10^6/T5</f>
        <v>14.984416207144569</v>
      </c>
    </row>
    <row r="6" spans="2:30" x14ac:dyDescent="0.25">
      <c r="B6" t="s">
        <v>5</v>
      </c>
      <c r="C6" t="b">
        <v>1</v>
      </c>
      <c r="D6" t="b">
        <v>1</v>
      </c>
      <c r="E6">
        <v>260</v>
      </c>
      <c r="F6">
        <v>171.2</v>
      </c>
      <c r="G6">
        <v>88.8</v>
      </c>
      <c r="I6" s="2">
        <f t="shared" ref="I6:I7" si="0">10^6/E6</f>
        <v>3846.1538461538462</v>
      </c>
      <c r="J6" s="2">
        <f t="shared" ref="J6:J7" si="1">I6*2</f>
        <v>7692.3076923076924</v>
      </c>
      <c r="O6">
        <v>27078</v>
      </c>
      <c r="P6">
        <f>10^6/O6</f>
        <v>36.930349361104959</v>
      </c>
      <c r="Q6">
        <v>13570</v>
      </c>
      <c r="R6">
        <f>O6+Q6</f>
        <v>40648</v>
      </c>
      <c r="S6">
        <f>10^6/R6</f>
        <v>24.601456406219249</v>
      </c>
      <c r="T6">
        <v>45707</v>
      </c>
      <c r="U6">
        <f>10^6/T6</f>
        <v>21.878486883847113</v>
      </c>
      <c r="AA6" t="s">
        <v>17</v>
      </c>
    </row>
    <row r="7" spans="2:30" x14ac:dyDescent="0.25">
      <c r="B7" t="s">
        <v>8</v>
      </c>
      <c r="C7" t="b">
        <v>0</v>
      </c>
      <c r="D7" t="b">
        <v>0</v>
      </c>
      <c r="E7">
        <f>F7+G7</f>
        <v>3.59</v>
      </c>
      <c r="F7">
        <v>1.81</v>
      </c>
      <c r="G7">
        <v>1.78</v>
      </c>
      <c r="I7" s="2">
        <f t="shared" si="0"/>
        <v>278551.53203342622</v>
      </c>
      <c r="J7" s="2">
        <f t="shared" si="1"/>
        <v>557103.06406685244</v>
      </c>
      <c r="L7">
        <v>464810</v>
      </c>
      <c r="M7">
        <f>10^6/L7</f>
        <v>2.1514167079021536</v>
      </c>
      <c r="Z7" t="s">
        <v>18</v>
      </c>
      <c r="AA7">
        <v>8921</v>
      </c>
      <c r="AB7">
        <f>10^6/AA7</f>
        <v>112.09505660800359</v>
      </c>
    </row>
    <row r="8" spans="2:30" x14ac:dyDescent="0.25">
      <c r="B8" t="s">
        <v>6</v>
      </c>
      <c r="C8" t="b">
        <v>1</v>
      </c>
      <c r="D8" t="b">
        <v>1</v>
      </c>
      <c r="Z8" t="s">
        <v>19</v>
      </c>
      <c r="AA8">
        <v>14736</v>
      </c>
      <c r="AB8">
        <f>10^6/AA8</f>
        <v>67.861020629750271</v>
      </c>
      <c r="AC8" s="4">
        <f>(AB7-AB8)/AB7</f>
        <v>0.39461183496199781</v>
      </c>
      <c r="AD8" s="4">
        <f>AB8/$AB$7</f>
        <v>0.60538816503800219</v>
      </c>
    </row>
    <row r="9" spans="2:30" x14ac:dyDescent="0.25">
      <c r="B9" t="s">
        <v>31</v>
      </c>
      <c r="C9" t="b">
        <v>0</v>
      </c>
      <c r="D9" t="b">
        <v>0</v>
      </c>
      <c r="O9" s="2">
        <v>166000</v>
      </c>
      <c r="P9">
        <f>10^6/O9</f>
        <v>6.024096385542169</v>
      </c>
      <c r="Z9" s="3" t="s">
        <v>20</v>
      </c>
      <c r="AA9">
        <v>33256</v>
      </c>
      <c r="AB9">
        <f>10^6/AA9</f>
        <v>30.069761847486166</v>
      </c>
      <c r="AC9" s="4">
        <f t="shared" ref="AC9:AC10" si="2">(AB8-AB9)/AB8</f>
        <v>0.55689198941544393</v>
      </c>
      <c r="AD9" s="4">
        <f t="shared" ref="AD9:AD10" si="3">AB9/$AB$7</f>
        <v>0.26825234544142407</v>
      </c>
    </row>
    <row r="10" spans="2:30" x14ac:dyDescent="0.25">
      <c r="Z10" t="s">
        <v>21</v>
      </c>
      <c r="AA10">
        <v>37964</v>
      </c>
      <c r="AB10">
        <f>10^6/AA10</f>
        <v>26.340743862606679</v>
      </c>
      <c r="AC10" s="4">
        <f t="shared" si="2"/>
        <v>0.12401222210515223</v>
      </c>
      <c r="AD10" s="4">
        <f t="shared" si="3"/>
        <v>0.23498577599831419</v>
      </c>
    </row>
    <row r="11" spans="2:30" x14ac:dyDescent="0.25">
      <c r="Z11" t="s">
        <v>22</v>
      </c>
    </row>
    <row r="13" spans="2:30" x14ac:dyDescent="0.25">
      <c r="AA13">
        <f>AA10/AA7</f>
        <v>4.2555767290662478</v>
      </c>
    </row>
    <row r="15" spans="2:30" x14ac:dyDescent="0.25">
      <c r="Z15" t="s">
        <v>27</v>
      </c>
      <c r="AA15">
        <f>AA2/AA7</f>
        <v>52.102903261966148</v>
      </c>
    </row>
    <row r="16" spans="2:30" x14ac:dyDescent="0.25">
      <c r="Z16" t="s">
        <v>28</v>
      </c>
      <c r="AA16">
        <f>AA3/AA10</f>
        <v>4.3725634811927092</v>
      </c>
    </row>
    <row r="26" spans="41:42" x14ac:dyDescent="0.25">
      <c r="AO26">
        <v>37436</v>
      </c>
    </row>
    <row r="27" spans="41:42" x14ac:dyDescent="0.25">
      <c r="AO27">
        <v>56112</v>
      </c>
      <c r="AP27">
        <f>AO27-AO26</f>
        <v>18676</v>
      </c>
    </row>
    <row r="28" spans="41:42" x14ac:dyDescent="0.25">
      <c r="AO28">
        <v>74790</v>
      </c>
      <c r="AP28">
        <f t="shared" ref="AP28:AP31" si="4">AO28-AO27</f>
        <v>18678</v>
      </c>
    </row>
    <row r="29" spans="41:42" x14ac:dyDescent="0.25">
      <c r="AO29">
        <v>93468</v>
      </c>
      <c r="AP29">
        <f t="shared" si="4"/>
        <v>18678</v>
      </c>
    </row>
    <row r="30" spans="41:42" x14ac:dyDescent="0.25">
      <c r="AO30">
        <v>112145</v>
      </c>
      <c r="AP30">
        <f t="shared" si="4"/>
        <v>18677</v>
      </c>
    </row>
    <row r="31" spans="41:42" x14ac:dyDescent="0.25">
      <c r="AO31">
        <v>130820</v>
      </c>
      <c r="AP31">
        <f t="shared" si="4"/>
        <v>18675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workbookViewId="0">
      <selection activeCell="B5" sqref="B5:F9"/>
    </sheetView>
  </sheetViews>
  <sheetFormatPr defaultRowHeight="15" x14ac:dyDescent="0.25"/>
  <cols>
    <col min="2" max="2" width="20.140625" bestFit="1" customWidth="1"/>
    <col min="3" max="3" width="16.85546875" bestFit="1" customWidth="1"/>
    <col min="4" max="4" width="14.140625" bestFit="1" customWidth="1"/>
  </cols>
  <sheetData>
    <row r="1" spans="2:6" x14ac:dyDescent="0.25">
      <c r="B1" t="s">
        <v>45</v>
      </c>
      <c r="D1">
        <f>120*10^6</f>
        <v>120000000</v>
      </c>
    </row>
    <row r="2" spans="2:6" x14ac:dyDescent="0.25">
      <c r="B2" t="s">
        <v>62</v>
      </c>
      <c r="D2">
        <f>D1/10^6</f>
        <v>120</v>
      </c>
    </row>
    <row r="5" spans="2:6" x14ac:dyDescent="0.25">
      <c r="C5" t="s">
        <v>70</v>
      </c>
      <c r="E5" t="s">
        <v>69</v>
      </c>
    </row>
    <row r="6" spans="2:6" x14ac:dyDescent="0.25">
      <c r="C6" t="s">
        <v>71</v>
      </c>
      <c r="D6" t="s">
        <v>72</v>
      </c>
      <c r="E6" t="s">
        <v>71</v>
      </c>
      <c r="F6" t="s">
        <v>72</v>
      </c>
    </row>
    <row r="7" spans="2:6" x14ac:dyDescent="0.25">
      <c r="B7" t="s">
        <v>68</v>
      </c>
      <c r="C7" s="1">
        <f>1.61/2</f>
        <v>0.80500000000000005</v>
      </c>
      <c r="D7" s="2">
        <f>C7*$D$2</f>
        <v>96.600000000000009</v>
      </c>
    </row>
    <row r="8" spans="2:6" x14ac:dyDescent="0.25">
      <c r="B8" t="s">
        <v>64</v>
      </c>
      <c r="C8" s="1">
        <f>1.8/2</f>
        <v>0.9</v>
      </c>
      <c r="D8" s="2">
        <f>C8*$D$2</f>
        <v>108</v>
      </c>
      <c r="E8" s="1">
        <f>C8-$C$7</f>
        <v>9.4999999999999973E-2</v>
      </c>
      <c r="F8" s="2">
        <f>E8*$D$2</f>
        <v>11.399999999999997</v>
      </c>
    </row>
    <row r="9" spans="2:6" x14ac:dyDescent="0.25">
      <c r="B9" t="s">
        <v>65</v>
      </c>
      <c r="C9" s="1">
        <f>3.99/2</f>
        <v>1.9950000000000001</v>
      </c>
      <c r="D9" s="2">
        <f>C9*$D$2</f>
        <v>239.4</v>
      </c>
      <c r="E9" s="1">
        <f>C9-$C$7</f>
        <v>1.19</v>
      </c>
      <c r="F9" s="2">
        <f>E9*$D$2</f>
        <v>142.79999999999998</v>
      </c>
    </row>
    <row r="12" spans="2:6" x14ac:dyDescent="0.25">
      <c r="C12" t="s">
        <v>66</v>
      </c>
      <c r="D12" t="s">
        <v>67</v>
      </c>
    </row>
    <row r="13" spans="2:6" x14ac:dyDescent="0.25">
      <c r="B13" t="s">
        <v>64</v>
      </c>
      <c r="C13" s="1">
        <f>1.8/2</f>
        <v>0.9</v>
      </c>
      <c r="D13" s="2">
        <f>C13*$D$2</f>
        <v>108</v>
      </c>
    </row>
    <row r="14" spans="2:6" x14ac:dyDescent="0.25">
      <c r="B14" t="s">
        <v>65</v>
      </c>
      <c r="C14" s="1">
        <f>3.99/2</f>
        <v>1.9950000000000001</v>
      </c>
      <c r="D14" s="2">
        <f>C14*$D$2</f>
        <v>239.4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Switch test (1)</vt:lpstr>
      <vt:lpstr>Switch test (2)</vt:lpstr>
      <vt:lpstr>Charts (Switch test)</vt:lpstr>
      <vt:lpstr>Sheet4</vt:lpstr>
      <vt:lpstr>Sheet1</vt:lpstr>
      <vt:lpstr>Sheet3</vt:lpstr>
    </vt:vector>
  </TitlesOfParts>
  <Company>On The Buses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Belson</dc:creator>
  <cp:lastModifiedBy>Bruce Belson</cp:lastModifiedBy>
  <cp:lastPrinted>2019-04-22T06:32:59Z</cp:lastPrinted>
  <dcterms:created xsi:type="dcterms:W3CDTF">2019-03-13T04:14:50Z</dcterms:created>
  <dcterms:modified xsi:type="dcterms:W3CDTF">2019-04-24T03:30:30Z</dcterms:modified>
</cp:coreProperties>
</file>