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<sst xmlns="http://schemas.openxmlformats.org/spreadsheetml/2006/main" count="253" uniqueCount="253">
  <si>
    <t>term</t>
  </si>
  <si>
    <t>definition</t>
  </si>
  <si>
    <t>diabetes: A chronic condition where the body cannot regulate blood sugar levels properly</t>
  </si>
  <si>
    <t>hypertension: A condition where the blood pressure in the arteries is persistently elevated</t>
  </si>
  <si>
    <t>cardiology: The branch of medicine that deals with disorders of the heart and blood vessels</t>
  </si>
  <si>
    <t>oncology: The study and treatment of tumors especially cancer</t>
  </si>
  <si>
    <t>neurology: The branch of medicine dealing with disorders of the nervous system</t>
  </si>
  <si>
    <t>radiology: The science dealing with X-rays and other high-energy radiation especially for diagnostic imaging</t>
  </si>
  <si>
    <t>immunology: The branch of medicine and biology concerned with immunity</t>
  </si>
  <si>
    <t>endocrinology: The study of the glands and hormones of the body and their related disorders</t>
  </si>
  <si>
    <t>pediatrics: The branch of medicine dealing with children and their diseases</t>
  </si>
  <si>
    <t>gastroenterology: The branch of medicine focused on the digestive system and its disorders</t>
  </si>
  <si>
    <t>nephrology: The study of kidney function and diseases</t>
  </si>
  <si>
    <t>hematology: The branch of medicine involving the study of blood and blood diseases</t>
  </si>
  <si>
    <t>dermatology: The branch of medicine dealing with the skin and its diseases</t>
  </si>
  <si>
    <t>surgery: A medical procedure involving an incision with instruments to treat diseases or injuries</t>
  </si>
  <si>
    <t>anesthesia: A medical treatment to prevent pain during surgery or other procedures</t>
  </si>
  <si>
    <t>infection: The invasion and multiplication of microorganisms like bacteria viruses and parasites that are not normally present within the body</t>
  </si>
  <si>
    <t>antibiotic: A type of medication used to treat bacterial infections</t>
  </si>
  <si>
    <t>vaccine: A biological preparation that provides active acquired immunity to a particular infectious disease</t>
  </si>
  <si>
    <t>diagnosis: The identification of a disease based on the signs and symptoms presented</t>
  </si>
  <si>
    <t>treatment: The management and care of a patient for the purpose of combating a disease or condition</t>
  </si>
  <si>
    <t>therapy: Treatment intended to relieve or heal a disorder</t>
  </si>
  <si>
    <t>rehabilitation: Therapeutic interventions to restore skills or normal life activities to someone with physical or mental limitations</t>
  </si>
  <si>
    <t>prescription: An instruction written by a medical practitioner that authorizes a patient to be issued a medicine or treatment</t>
  </si>
  <si>
    <t>pharmacy: The science and practice of preparing and dispensing medical drugs</t>
  </si>
  <si>
    <t>patient: A person receiving medical treatment</t>
  </si>
  <si>
    <t>care: The services provided to maintain or improve a person's health</t>
  </si>
  <si>
    <t>chronic: A condition persisting for a long time or constantly recurring</t>
  </si>
  <si>
    <t>acute: A condition with a rapid onset and a short course</t>
  </si>
  <si>
    <t>palliative: Relieving pain or alleviating a problem without dealing with the underlying cause</t>
  </si>
  <si>
    <t>allergy: A condition in which the immune system reacts abnormally to a foreign substance</t>
  </si>
  <si>
    <t>asthma: A respiratory condition marked by spasms in the bronchi of the lungs causing difficulty in breathing</t>
  </si>
  <si>
    <t>trauma: Physical injury caused by an external force</t>
  </si>
  <si>
    <t>stroke: A medical emergency where the blood supply to part of the brain is interrupted or reduced preventing brain tissue from getting oxygen and nutrients</t>
  </si>
  <si>
    <t>cardiac arrest: A sudden sometimes temporary cessation of function of the heart</t>
  </si>
  <si>
    <t>heart attack: A blockage of blood flow to the heart muscle</t>
  </si>
  <si>
    <t>obesity: A condition characterized by excessive body fat</t>
  </si>
  <si>
    <t>COPD: Chronic obstructive pulmonary disease a lung condition that makes it hard to breathe</t>
  </si>
  <si>
    <t>insulin: A hormone that regulates the amount of glucose in the blood</t>
  </si>
  <si>
    <t>HIV: Human Immunodeficiency Virus which attacks the body's immune system</t>
  </si>
  <si>
    <t>AIDS: Acquired Immunodeficiency Syndrome the most severe phase of HIV infection</t>
  </si>
  <si>
    <t>mental health: A person's condition with regard to their psychological and emotional well-being</t>
  </si>
  <si>
    <t>depression: A mood disorder causing a persistent feeling of sadness and loss of interest</t>
  </si>
  <si>
    <t>anxiety: A feeling of worry nervousness or unease often about an imminent event or something with an uncertain outcome</t>
  </si>
  <si>
    <t>sepsis: A life-threatening condition that arises when the body's response to infection causes injury to its own tissues and organs</t>
  </si>
  <si>
    <t>ICU: Intensive Care Unit a special department of a hospital that provides intensive treatment and monitoring</t>
  </si>
  <si>
    <t>ER: Emergency Room a medical facility specializing in acute emergency care</t>
  </si>
  <si>
    <t>triage: The process of determining the priority of patients' treatments based on the severity of their condition</t>
  </si>
  <si>
    <t>PPS: Prospective Payment System - A method of reimbursement where Medicare payment is made based on a predetermined fixed amount</t>
  </si>
  <si>
    <t>all-payer: A healthcare payment system where all payers pay the same rates for services regardless of the patient's insurance status</t>
  </si>
  <si>
    <t>Accountable Care Organization (ACO): A group of healthcare providers that work together to coordinate care for Medicare patients sharing in savings achieved from improved care and efficiency</t>
  </si>
  <si>
    <t>Affordable Care Act (ACA): A comprehensive healthcare reform law enacted in March 2010 aimed at expanding insurance coverage improving healthcare quality and reducing healthcare costs</t>
  </si>
  <si>
    <t>Alternative Payment Model (APM): A payment approach that gives added incentive payments to healthcare providers to provide high-quality and cost-efficient care such as bundled payments and ACOs</t>
  </si>
  <si>
    <t>Bundled Payment: A reimbursement model where a single payment is made for all services related to a treatment or condition rather than paying providers separately for each service</t>
  </si>
  <si>
    <t>Capitation: A payment arrangement where a physician or hospital is paid a fixed amount per patient for a prescribed period regardless of the services provided</t>
  </si>
  <si>
    <t>Centers for Medicare &amp; Medicaid Services (CMS): A federal agency within the US Department of Health and Human Services that administers Medicare Medicaid and other health programs</t>
  </si>
  <si>
    <t>Clinical Integration: A healthcare delivery model that involves the collaboration of healthcare providers to improve the quality of care reduce costs and enhance patient satisfaction</t>
  </si>
  <si>
    <t>Diagnosis-Related Group (DRG): A classification system used in the Prospective Payment System to determine hospital reimbursement for Medicare patients based on the diagnosis and resources required</t>
  </si>
  <si>
    <t>Fee-for-Service (FFS): A traditional healthcare payment model where services are paid for separately encouraging providers to offer more treatments</t>
  </si>
  <si>
    <t>Global Budget: A fixed total dollar amount paid annually for all care provided by a hospital regardless of the number of services provided</t>
  </si>
  <si>
    <t>Health Maintenance Organization (HMO): A type of health insurance plan that requires members to receive healthcare services from a network of approved providers with a focus on prevention and wellness</t>
  </si>
  <si>
    <t>Healthcare Quality Improvement: Efforts to improve the effectiveness efficiency safety and patient satisfaction of healthcare services</t>
  </si>
  <si>
    <t>Integrated Delivery System (IDS): A network of healthcare organizations under a parent holding company providing a continuum of care services to a specific population</t>
  </si>
  <si>
    <t>Managed Care: A healthcare delivery system where the goal is to manage cost utilization and quality by coordinating care through a defined network of providers</t>
  </si>
  <si>
    <t>Medicare Advantage (MA): A type of Medicare health plan offered by private companies that contract with Medicare to provide all Part A and Part B benefits often including prescription drug coverage</t>
  </si>
  <si>
    <t>Merit-Based Incentive Payment System (MIPS): A payment system under the Quality Payment Program that adjusts Medicare payments based on performance in quality cost improvement activities and promoting interoperability</t>
  </si>
  <si>
    <t>Pay-for-Performance (P4P): A reimbursement model where providers are financially incentivized to meet specific healthcare quality or efficiency goals</t>
  </si>
  <si>
    <t>Population Health Management: The management of patient populations to improve clinical outcomes and reduce healthcare costs by addressing a wide range of determinants of health</t>
  </si>
  <si>
    <t>Preferred Provider Organization (PPO): A type of health insurance plan that provides greater flexibility in choosing healthcare providers and does not require a referral for specialist visits</t>
  </si>
  <si>
    <t>Prospective Payment System (PPS): A method of reimbursement in which Medicare payments to healthcare providers are made based on a predetermined fixed amount per episode of care such as DRG rates for hospitals</t>
  </si>
  <si>
    <t>Quality Payment Program (QPP): A program created by the MACRA law that rewards providers for giving high-quality and cost-effective care including the MIPS and APM payment tracks</t>
  </si>
  <si>
    <t>Readmission Penalties: Financial penalties imposed on hospitals by Medicare for having higher-than-expected readmission rates for certain conditions aimed at encouraging quality improvement</t>
  </si>
  <si>
    <t>Risk Adjustment: A statistical process used to adjust payments based on the health status and demographic characteristics of the patients</t>
  </si>
  <si>
    <t>Shared Savings Program: A program under which healthcare providers are rewarded for reducing their spending for a defined patient population provided they meet certain quality standards</t>
  </si>
  <si>
    <t>Social Determinants of Health (SDOH): The non-medical factors that influence health outcomes such as socioeconomic status education and the physical environment</t>
  </si>
  <si>
    <t>Telehealth: The distribution of health-related services and information via electronic and telecommunication technologies</t>
  </si>
  <si>
    <t>Value-Based Care: A payment model where providers are paid based on patient health outcomes with an emphasis on quality over quantity</t>
  </si>
  <si>
    <t>All-Payer System: A healthcare payment system where all payers including private insurers and government programs pay the same rates for services from healthcare providers</t>
  </si>
  <si>
    <t>Capitated Payment Model: A payment model in which healthcare providers are paid a set amount per enrolled patient over a given period regardless of the services provided</t>
  </si>
  <si>
    <t>Chronic Care Management (CCM): A service provided by healthcare professionals to help patients with chronic diseases manage their conditions and prevent complications</t>
  </si>
  <si>
    <t>Clinical Outcomes: The measurable effects of healthcare services on a patient\u2019s health including changes in symptoms functionality and quality of life</t>
  </si>
  <si>
    <t>Cost Sharing: The portion of healthcare costs covered by the patient which may include deductibles copayments and coinsurance</t>
  </si>
  <si>
    <t>Episode of Care: The series of interactions between a patient and healthcare providers for a specific condition or illness typically over a defined period of time</t>
  </si>
  <si>
    <t>Healthcare Reform: Efforts to change or improve the healthcare system often focusing on increasing access reducing costs and improving quality of care</t>
  </si>
  <si>
    <t>High-Deductible Health Plan (HDHP): A type of health insurance plan with higher deductibles and lower premiums often paired with a health savings account (HSA)</t>
  </si>
  <si>
    <t>Independent Practice Association (IPA): An organization of independent physicians that contract with managed care organizations to provide care to patients while maintaining autonomy</t>
  </si>
  <si>
    <t>Patient-Centered Medical Home (PCMH): A care delivery model where patient treatment is coordinated through their primary care physician to ensure they receive necessary care when and where they need it</t>
  </si>
  <si>
    <t>Payment Bundling: A payment approach in which a single comprehensive payment covers all the care related to a treatment or condition regardless of the number of services provided</t>
  </si>
  <si>
    <t>Primary Care Physician (PCP): A healthcare professional who provides first contact and continuing care for patients with undiagnosed signs symptoms or health concerns</t>
  </si>
  <si>
    <t>Risk-Based Contracting: A healthcare contract where providers assume financial risk for the cost of services incentivizing them to manage care more efficiently</t>
  </si>
  <si>
    <t>Stop-Loss Insurance: Insurance that protects healthcare providers from the risk of exceptionally high costs associated with catastrophic care or high-cost patients</t>
  </si>
  <si>
    <t>Uncompensated Care: Healthcare services provided by hospitals or providers that are not paid for by the patient or an insurance company</t>
  </si>
  <si>
    <t>ACO: Accountable Care Organization - A group of healthcare providers who come together voluntarily to provide coordinated high-quality care to their patients</t>
  </si>
  <si>
    <t>ACA: Affordable Care Act - A comprehensive healthcare reform law enacted in March 2010 (also known as 'Obamacare')</t>
  </si>
  <si>
    <t>APM: Alternative Payment Model A payment approach that rewards providers for delivering high-quality cost-efficient care such as bundled payments or ACOs</t>
  </si>
  <si>
    <t>CMS: Centers for Medicare &amp; Medicaid Services - A federal agency that administers the nation's major healthcare programs including Medicare Medicaid and the Health Insurance Marketplace</t>
  </si>
  <si>
    <t>DRG: Diagnosis-Related Group - A system to classify hospital cases into groups that are expected to have similar hospital resource use used as part of Medicare\u2019s inpatient payment system</t>
  </si>
  <si>
    <t>FFS: Fee-for-Service A traditional healthcare payment model where providers are paid for each service or treatment they deliver</t>
  </si>
  <si>
    <t>HMO: Health Maintenance Organization A type of health insurance plan that requires members to use a network of healthcare providers and emphasizes preventive care</t>
  </si>
  <si>
    <t>IDS: Integrated Delivery System A healthcare organization that offers a full range of healthcare services to patients through a single system often owned by a parent company</t>
  </si>
  <si>
    <t>MA: Medicare Advantage A type of Medicare plan offered by private companies that contract with Medicare to provide all Part A and Part B benefits</t>
  </si>
  <si>
    <t>MIPS: Merit-Based Incentive Payment System - A performance-based payment system for Medicare providers based on quality resource use clinical practice improvement and meaningful use of certified EHR technology</t>
  </si>
  <si>
    <t>P4P: Pay-for-Performance A reimbursement system where providers are rewarded based on meeting specific quality and efficiency goals</t>
  </si>
  <si>
    <t>PPO: Preferred Provider Organization A health insurance plan that offers flexibility in choosing healthcare providers and allows patients to see specialists without referrals</t>
  </si>
  <si>
    <t>QPP: Quality Payment Program - Medicare\u2019s program to reward value and outcomes established under MACRA</t>
  </si>
  <si>
    <t>SDOH: Social Determinants of Health - Non-medical factors that influence health outcomes such as housing education and employment</t>
  </si>
  <si>
    <t>VBC: Value-Based Care A healthcare delivery model in which providers are reimbursed based on patient outcomes and the value of care provided rather than volume of services</t>
  </si>
  <si>
    <t>CCM: Chronic Care Management A service provided to patients with chronic conditions to manage their care and prevent hospitalizations</t>
  </si>
  <si>
    <t>EHR: Electronic Health Record - A digital version of a patient\u2019s paper chart making information available instantly and securely to authorized users</t>
  </si>
  <si>
    <t>HSA: Health Service Area - A geographical area defined for the purposes of planning and delivering healthcare services</t>
  </si>
  <si>
    <t>IPA: Independent Practice Association An organization of independent physicians that contracts with managed care organizations to provide healthcare services</t>
  </si>
  <si>
    <t>PCMH: Patient-Centered Medical Home - A model of care that focuses on coordination and communication to transform primary care into 'what patients want it to be'</t>
  </si>
  <si>
    <t>QALY: Quality-Adjusted Life Year A measure of the value of health outcomes used to assess the cost-effectiveness of medical interventions</t>
  </si>
  <si>
    <t>HIT: Health Information Technology - The application of information processing involving both computer hardware and software that deals with the storage retrieval sharing and use of health care information</t>
  </si>
  <si>
    <t>EMR: Electronic Medical Record - A digital record of health information maintained by a single healthcare provider</t>
  </si>
  <si>
    <t>HDHP: High-Deductible Health Plan A health insurance plan with lower premiums and higher deductibles often used with a health savings account (HSA)</t>
  </si>
  <si>
    <t>PMPM: Per Member Per Month - The amount of revenue or cost attributed to each member of a health plan on a monthly basis</t>
  </si>
  <si>
    <t>SDC: Skilled Nursing Facility A healthcare facility providing inpatient skilled nursing care rehabilitation and related services</t>
  </si>
  <si>
    <t>SDoH: Social Determinants of Health The conditions in the environment where people live learn work and play that affect a wide range of health and quality-of-life outcomes</t>
  </si>
  <si>
    <t>UCR: Usual Customary and Reasonable The standard fee charged by healthcare providers for a specific service in a given geographic area</t>
  </si>
  <si>
    <t>VBP: Value-Based Purchasing - A strategy used by buyers to promote quality and value in healthcare by reimbursing providers based on patient outcomes</t>
  </si>
  <si>
    <t>HIE: Health Information Exchange - The electronic sharing of health-related information among organizations according to nationally recognized standards</t>
  </si>
  <si>
    <t>Population Health: An approach that aims to improve the health of an entire population by addressing a wide range of factors that influence health</t>
  </si>
  <si>
    <t>MACRA: Medicare Access and CHIP Reauthorization Act - Legislation that created new quality payment programs like the Merit-Based Incentive Payment System (MIPS)</t>
  </si>
  <si>
    <t>ACO Shared Savings Program: A voluntary program that encourages groups of doctors hospitals and other healthcare providers to come together and give coordinated high-quality care to their Medicare patients</t>
  </si>
  <si>
    <t>Bundled Payments: A payment method in which payments for multiple services during an episode of care are combined into a single bundle</t>
  </si>
  <si>
    <t>MS-DRG: Medicare Severity Diagnosis Related Group - A refinement of DRG used to account for the severity of patient conditions</t>
  </si>
  <si>
    <t>RVU: Relative Value Unit - A measure used in determining reimbursement levels for healthcare services</t>
  </si>
  <si>
    <t>Reinsurance: A program that helps to stabilize premiums in the individual health insurance market by reimbursing insurers for high-cost claims</t>
  </si>
  <si>
    <t>DSH Payments: Disproportionate Share Hospital Payments - Additional payments given to hospitals that treat a large number of low-income patients under Medicare and Medicaid</t>
  </si>
  <si>
    <t>Medicare Advantage: A type of Medicare health plan offered by private companies that contract with Medicare to provide Part A and Part B benefits</t>
  </si>
  <si>
    <t>CHIP: Children\u2019s Health Insurance Program - A program administered by the United States government that provides matching funds to states for health insurance to families with children</t>
  </si>
  <si>
    <t>CMMI: Center for Medicare &amp; Medicaid Innovation - A department within CMS tasked with testing innovative payment and service delivery models to reduce costs and improve care quality</t>
  </si>
  <si>
    <t>Cures Act: A law passed in 2016 to accelerate medical product development streamline approvals and increase patient access to medical innovations and data</t>
  </si>
  <si>
    <t>Information Blocking: A practice prohibited by the Cures Act that prevents or interferes with the access exchange or use of electronic health information</t>
  </si>
  <si>
    <t>TEFCA: Trusted Exchange Framework and Common Agreement - A set of policies procedures and standards to enable nationwide interoperability of health information</t>
  </si>
  <si>
    <t>ACO-REACH: The ACO Realizing Equity Access and Community Health (ACO-REACH) model aims to make healthcare more equitable through enhanced risk-sharing arrangements</t>
  </si>
  <si>
    <t>Value-Based Payment: A reimbursement model that incentivizes healthcare providers for providing high-quality care and improving patient outcomes</t>
  </si>
  <si>
    <t>FQHC: Federally Qualified Health Center - Community-based health care providers that receive funds from the HRSA to provide primary care services in underserved areas</t>
  </si>
  <si>
    <t>Act 167: Legislation passed by the Vermont Legislature in 2022 to investigate healthcare system sustainability and hospital financial health</t>
  </si>
  <si>
    <t>HL7: Health Level 7 - A set of international standards for the exchange integration sharing and retrieval of electronic health information</t>
  </si>
  <si>
    <t>HL7 FHIR: Fast Healthcare Interoperability Resources - A modern HL7 standard for healthcare data exchange combining the best of HL7 V2 V3 and CDA while focusing on ease of implementation through web technologies</t>
  </si>
  <si>
    <t>HL7 CDA: Clinical Document Architecture - An HL7 standard that defines the structure of certain medical records such as discharge summaries and is designed to improve interoperability</t>
  </si>
  <si>
    <t>HL7 ADT: Admission Discharge and Transfer - A type of HL7 message that communicates patient administrative information such as admissions and discharges</t>
  </si>
  <si>
    <t>HL7 ORM: Order Entry - A type of HL7 message used to send orders from clinical settings such as laboratory radiology or pharmacy orders</t>
  </si>
  <si>
    <t>HL7 ORU: Observation Result - A message format used to transmit observation reports such as lab results radiology reports and more</t>
  </si>
  <si>
    <t>HL7 DFT: Detailed Financial Transactions - HL7 message type used for billing-related information</t>
  </si>
  <si>
    <t>HL7 SIU: Scheduling Information Unsolicited - A message type for managing and exchanging scheduling information for appointments</t>
  </si>
  <si>
    <t>FHIR Resource: A modular component used in FHIR to represent various types of healthcare data (eg Patient Observation Medication)</t>
  </si>
  <si>
    <t>FHIR RESTful API: An API framework in FHIR that uses standard web technologies (HTTP REST) to allow seamless integration and data exchange between healthcare systems</t>
  </si>
  <si>
    <t>FHIR Bundle: A collection of resources returned in a single package often in response to a query or a batch update</t>
  </si>
  <si>
    <t>FHIR Server: A backend system that stores and serves healthcare data in FHIR format allowing clients to query or update data via FHIR APIs</t>
  </si>
  <si>
    <t>FHIR Endpoint: A specific URL at which FHIR resources can be accessed or updated typically as part of a REST API call</t>
  </si>
  <si>
    <t>FHIR Profile: A customized set of constraints applied to FHIR resources to meet the specific needs of a healthcare organization or a use case</t>
  </si>
  <si>
    <t>SMART on FHIR: A set of open specifications to integrate healthcare apps with electronic health records (EHRs) using FHIR standards</t>
  </si>
  <si>
    <t>CDSS: Clinical Decision Support System - A health IT system designed to assist providers in making clinical decisions by analyzing data within EHRs</t>
  </si>
  <si>
    <t>Wearable Health Tech: Devices that individuals wear often connected to apps to monitor and collect data on health metrics like heart rate physical activity and sleep</t>
  </si>
  <si>
    <t>Interoperability: The ability of different information systems devices or applications to connect and exchange data in a coordinated manner within and across organizational boundaries</t>
  </si>
  <si>
    <t>PHR: Personal Health Record - An electronic application used by patients to maintain and manage their health information in a private secure and confidential environment</t>
  </si>
  <si>
    <t>Blockchain in Healthcare: A decentralized digital ledger technology being explored to securely exchange health data and increase transparency in medical supply chains</t>
  </si>
  <si>
    <t>IoMT: Internet of Medical Things - A connected infrastructure of medical devices and healthcare systems that enables machine-to-machine communication for monitoring patients and collecting data</t>
  </si>
  <si>
    <t>Telemedicine: The use of telecommunications technology to provide clinical healthcare from a distance</t>
  </si>
  <si>
    <t>eRx: Electronic Prescribing - The use of electronic systems to write and fill prescriptions</t>
  </si>
  <si>
    <t>mHealth: Mobile Health - The use of mobile devices to support public health and clinical practice</t>
  </si>
  <si>
    <t>FHIR Consent Resource: A resource used in FHIR to represent patient consent for the sharing of their health data</t>
  </si>
  <si>
    <t>FHIR Encounter Resource: A FHIR resource that records details about an interaction between a patient and a healthcare provider</t>
  </si>
  <si>
    <t>FHIR Patient Resource: A FHIR resource used to store and exchange patient demographic data such as name gender date of birth and contact information</t>
  </si>
  <si>
    <t>FHIR Observation Resource: A FHIR resource that represents clinical observations such as vital signs lab results or physical exam findings</t>
  </si>
  <si>
    <t>RBRVS: Resource-Based Relative Value Scale - A schema used to determine how much money medical providers should be paid used in the US by Medicare</t>
  </si>
  <si>
    <t>Fee-for-Service: A traditional payment model where healthcare providers are paid for each service provided such as a test or procedure</t>
  </si>
  <si>
    <t>PBM: Pharmacy Benefit Manager - An entity that manages prescription drug benefits on behalf of health insurers Medicare Part D drug plans large employers and other payers</t>
  </si>
  <si>
    <t>Medicaid Expansion: A provision in the Affordable Care Act that expands Medicaid eligibility to more low-income individuals</t>
  </si>
  <si>
    <t>Dual Eligibles: Individuals who are eligible for both Medicare and Medicaid</t>
  </si>
  <si>
    <t>Medicare Part D: A federal program to subsidize the costs of prescription drugs for Medicare beneficiaries</t>
  </si>
  <si>
    <t>Cures Act Final Rule: A 2020 regulation from the ONC that supports patients' access to electronic health information and bans practices that prevent the sharing of healthcare data (information blocking)</t>
  </si>
  <si>
    <t>All-Payer Model: A payment system in which all payers (Medicare Medicaid private insurance) use the same rates for services at hospitals or doctors</t>
  </si>
  <si>
    <t>Hospital at Home: A model of care where acute care services are provided in a patient's home as an alternative to hospitalization</t>
  </si>
  <si>
    <t>Closed-loop referrals: A process in which patient referrals are tracked and documented from initiation to completion ensuring proper follow-up care</t>
  </si>
  <si>
    <t>Centralized EMR: A unified electronic medical records system accessible across different healthcare facilities for better continuity of care</t>
  </si>
  <si>
    <t>EMS: Emergency Medical Services - A critical component of emergency response systems providing pre-hospital emergency care and transport</t>
  </si>
  <si>
    <t>Reference-based pricing: A healthcare pricing strategy that sets a maximum payment amount for specific services typically based on a percentage of Medicare rates</t>
  </si>
  <si>
    <t>Global Budgeting: A method of hospital financing where a fixed budget is provided for all care aimed at controlling costs while improving quality</t>
  </si>
  <si>
    <t>Ambulatory Surgery: A healthcare service where surgical procedures are performed on an outpatient basis reducing the need for inpatient hospital care</t>
  </si>
  <si>
    <t>Rural Emergency Hospital (REH): A facility designation under which small rural hospitals can convert to an emergency care center while maintaining outpatient services to address rural health needs</t>
  </si>
  <si>
    <t>Disproportionate Share Hospital (DSH) Payments: Payments provided to hospitals that serve a large number of low-income patients to ensure financial sustainability</t>
  </si>
  <si>
    <t>GMCB: Green Mountain Care Board - The regulatory body responsible for overseeing the Vermont healthcare system including hospital budgets and payment reforms</t>
  </si>
  <si>
    <t>Regionalization of Care: A healthcare strategy where specialized services are consolidated into regional centers to improve quality and reduce costs</t>
  </si>
  <si>
    <t>Ambulatory Care Center: A healthcare facility that provides a variety of outpatient services such as diagnostic tests minor surgeries and consultations</t>
  </si>
  <si>
    <t>PACE: Program of All-Inclusive Care for the Elderly - A Medicare and Medicaid program that helps people meet healthcare needs in the community instead of going to a nursing home</t>
  </si>
  <si>
    <t>Primary Care Shortages: A critical issue where there is insufficient access to primary healthcare providers leading to long wait times and decreased healthcare quality</t>
  </si>
  <si>
    <t>Workforce Shortages: A significant issue in healthcare especially in rural Vermont where hospitals face a shortage of physicians nurses and other critical staff</t>
  </si>
  <si>
    <t>Cross-subsidization: The practice of charging higher prices to one group of patients (eg commercially insured) to offset the costs of providing care to another group (eg Medicare/Medicaid)</t>
  </si>
  <si>
    <t>Out-of-pocket maximum (OOP): The maximum amount a patient has to pay for healthcare services in a year after which the insurance covers all additional costs</t>
  </si>
  <si>
    <t>Health Equity: Ensuring that everyone has a fair and just opportunity to be as healthy as possible by addressing inequalities in healthcare access and outcomes</t>
  </si>
  <si>
    <t>Premium Subsidization: A financial strategy where higher premiums in commercial insurance plans help subsidize the costs for public programs like Medicare and Medicaid</t>
  </si>
  <si>
    <t>SNF: Skilled Nursing Facility - A healthcare facility providing a high level of medical care and nursing services typically for rehabilitation or long-term care</t>
  </si>
  <si>
    <t>Care Coordination: Deliberate organization of patient care activities between two or more participants involved in a patient\u2019s care to facilitate appropriate healthcare delivery</t>
  </si>
  <si>
    <t>Workforce Development: Programs and strategies designed to recruit retain and train healthcare professionals to address staffing shortages and meet healthcare needs</t>
  </si>
  <si>
    <t>Mobile Health Clinics: Healthcare services provided via mobile units to reach underserved populations particularly in rural areas</t>
  </si>
  <si>
    <t>Community Paramedicine: A healthcare model where paramedics provide non-emergency medical care in the community helping to reduce emergency department visits</t>
  </si>
  <si>
    <t>Non-Emergent Transportation: Transport services for patients who need assistance getting to non-emergency medical appointments helping to reduce missed healthcare visits</t>
  </si>
  <si>
    <t>HL7 V2: Version 2 of the HL7 standard widely used for the exchange of clinical data with a focus on messaging structures to support interoperability between health systems</t>
  </si>
  <si>
    <t>HL7 V3: Version 3 of HL7 which uses a formal methodology to create standardized healthcare messages that are richer and more flexible than V2 but less widely adopted</t>
  </si>
  <si>
    <t>HL7 ACK: Acknowledgment - A type of message sent in response to another HL7 message to confirm its receipt and acceptance or rejection</t>
  </si>
  <si>
    <t>HL7 Z-segment: Custom segments in HL7 used by organizations for fields not covered in the existing HL7 standards</t>
  </si>
  <si>
    <t>HL7 Segment: The individual building blocks of an HL7 message each consisting of fields and sub-fields that carry specific healthcare data (eg PID for Patient Identification)</t>
  </si>
  <si>
    <t>HL7 Message: A group of segments that communicate information from one healthcare system to another (eg lab results patient admission)</t>
  </si>
  <si>
    <t>HL7 MSH: Message Header - The first segment of every HL7 message which contains metadata such as sending and receiving systems message type and timestamp</t>
  </si>
  <si>
    <t>HL7 PID: Patient Identification - A segment used in HL7 messages that contains patient demographics such as name medical record number and date of birth</t>
  </si>
  <si>
    <t>HL7 OBX: Observation Result Segment - A segment used in HL7 messages to send clinical observations such as lab results or vital signs</t>
  </si>
  <si>
    <t>FHIR JSON: JavaScript Object Notation - The format used by FHIR to structure data making it easy to transmit between healthcare systems using APIs</t>
  </si>
  <si>
    <t>FHIR XML: An alternative format to JSON used by FHIR to represent healthcare data in a structured format for exchange between systems</t>
  </si>
  <si>
    <t>FHIR R4: The fourth major release of FHIR which is the first normative version meaning it is stable for long-term use and widely implemented</t>
  </si>
  <si>
    <t>FHIR STU3: The third release of FHIR known as the Standard for Trial Use 3 which introduced key improvements over previous versions but is not normative</t>
  </si>
  <si>
    <t>21st Century Cures Act: Legislation aimed at advancing interoperability promoting patient access to data and preventing information blocking by healthcare providers and developers</t>
  </si>
  <si>
    <t>ONC: Office of the National Coordinator for Health Information Technology - A federal entity that promotes the adoption of health information technology and the electronic exchange of health information</t>
  </si>
  <si>
    <t>HITRUST CSF: Health Information Trust Alliance Common Security Framework - A certifiable framework that provides organizations with a comprehensive and flexible approach to regulatory compliance and risk management</t>
  </si>
  <si>
    <t>IHE: Integrating the Healthcare Enterprise - An initiative to improve the way healthcare systems exchange information and share resources using established standards such as HL7 and DICOM</t>
  </si>
  <si>
    <t>Direct Messaging: A secure encrypted email-like service used by healthcare providers to exchange clinical data over the DirectTrust network</t>
  </si>
  <si>
    <t>eMPI: Enterprise Master Patient Index - A database that maintains unique patient identifiers to ensure that a patient\u2019s records are matched across multiple healthcare systems</t>
  </si>
  <si>
    <t>Patient Matching: The process of accurately identifying a patient\u2019s records across multiple healthcare systems or providers to ensure continuity of care</t>
  </si>
  <si>
    <t>CCD: Continuity of Care Document - A standardized format for the exchange of patient summary information part of the HL7 CDA framework</t>
  </si>
  <si>
    <t>CCDA: Consolidated Clinical Document Architecture - An HL7 standard that provides a framework for clinical document exchange supporting continuity of care across different settings</t>
  </si>
  <si>
    <t>X12: A set of standards for the electronic exchange of business data including healthcare transactions such as claims and remittance advice</t>
  </si>
  <si>
    <t>XDS: Cross-Enterprise Document Sharing - A protocol for sharing medical documents across healthcare organizations in a standardized way</t>
  </si>
  <si>
    <t>IHE XDR: Cross-Enterprise Document Reliable Interchange - A secure and reliable method of exchanging documents between healthcare systems using web services</t>
  </si>
  <si>
    <t>eCQM: Electronic Clinical Quality Measure - A tool that uses data from EHRs and HIEs to measure the quality of care provided by healthcare professionals</t>
  </si>
  <si>
    <t>OAuth 20: An authorization framework that allows third-party applications to access a user's resources without exposing credentials often used in healthcare for accessing EHR data securely</t>
  </si>
  <si>
    <t>HL7 API: An application programming interface (API) used to enable systems to interact with HL7 standards for exchanging healthcare data</t>
  </si>
  <si>
    <t>Open API: An API that is publicly available for software developers to access and use promoting interoperability between different health systems</t>
  </si>
  <si>
    <t>Interoperability Standards: A set of standards protocols and specifications that enable different health IT systems to communicate and exchange information</t>
  </si>
  <si>
    <t>USCDI: United States Core Data for Interoperability - A standardized set of health data classes and elements required to support nationwide interoperable health information exchange</t>
  </si>
  <si>
    <t>Surescripts: A health information network that connects healthcare providers pharmacies and payers to exchange clinical data and electronic prescriptions</t>
  </si>
  <si>
    <t>HIPAA: Health Insurance Portability and Accountability Act - US legislation providing data privacy and security provisions for safeguarding medical information</t>
  </si>
  <si>
    <t>HIPAA Security Rule: A regulation within HIPAA that mandates the protection of electronic health information through administrative physical and technical safeguards</t>
  </si>
  <si>
    <t>PHI: Protected Health Information - Any information about health status provision of healthcare or payment for healthcare that can be linked to an individual</t>
  </si>
  <si>
    <t>BAA: Business Associate Agreement - A contract between a HIPAA-covered entity and a third-party service provider to ensure compliance with HIPAA when PHI is involved</t>
  </si>
  <si>
    <t>SOC 2: Service Organization Control 2 - A compliance framework used by companies to assess and report on their information security practices often required for handling sensitive healthcare data</t>
  </si>
  <si>
    <t>FHIR: Fast Healthcare Interoperability Resources - A standard describing data formats and elements for exchanging electronic health records</t>
  </si>
  <si>
    <t>CPOE: Computerized Physician Order Entry - A process of electronic entry of medical practitioner instructions for the treatment of patients under their care</t>
  </si>
  <si>
    <t>PACS: Picture Archiving and Communication System - A medical imaging technology that provides economical storage and convenient access to images from multiple modalities</t>
  </si>
  <si>
    <t>Data Interoperability: The ability of different healthcare systems and applications to access exchange integrate and cooperatively use data in a coordinated manner</t>
  </si>
  <si>
    <t>ePHI: Electronic Protected Health Information - Any protected health information (PHI) that is created stored transmitted or received in any electronic format</t>
  </si>
  <si>
    <t>HITRUST: Health Information Trust Alliance - An organization that provides a security framework that harmonizes multiple regulations and standards into one certifiable framework for healthcare information protection</t>
  </si>
  <si>
    <t>Telehealth Parity Laws: Laws that require insurers to reimburse telehealth services at the same rate as in-person care</t>
  </si>
  <si>
    <t>Revenue Cycle Management: The financial process that facilities use to track patient care episodes from registration and appointment scheduling to the final payment of a balance</t>
  </si>
  <si>
    <t>Patient-Centered Care: A healthcare approach that ensures the preferences needs and values of patients guide all clinical decisions</t>
  </si>
  <si>
    <t>Patient Engagement: The process of involving patients in their own healthcare ensuring they have the tools resources and knowledge to make informed decisions</t>
  </si>
  <si>
    <t>Hospital Sustainability: Efforts and strategies used by hospitals to maintain financial viability and operational effectiveness in the face of economic pressures</t>
  </si>
  <si>
    <t>Health Disparities: Differences in health outcomes and access to healthcare across different populations</t>
  </si>
  <si>
    <t>EMR Optimization: The process of refining electronic medical record systems to improve usability efficiency and clinical outcomes</t>
  </si>
  <si>
    <t>ADL: Activities of Daily Living - Everyday activities such as eating bathing and dressing that are often used to measure a patient's functional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</si>
</sst>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9863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93.0"/>
    <col customWidth="1" min="3" max="3" width="161.25"/>
  </cols>
  <sheetData>
    <row r="1">
      <c r="A1" s="1"/>
      <c r="B1" s="2" t="s">
        <v>0</v>
      </c>
      <c r="C1" s="1" t="s">
        <v>1</v>
      </c>
    </row>
    <row r="2">
      <c r="A2" s="1" t="s">
        <v>2</v>
      </c>
      <c r="B2" s="2" t="str">
        <f>IFERROR(__xludf.DUMMYFUNCTION("SPLIT(A2, "":"")"),"diabetes")</f>
        <v>diabetes</v>
      </c>
      <c r="C2" s="3" t="str">
        <f>IFERROR(__xludf.DUMMYFUNCTION("""COMPUTED_VALUE""")," A chronic condition where the body cannot regulate blood sugar levels properly")</f>
        <v> A chronic condition where the body cannot regulate blood sugar levels properly</v>
      </c>
    </row>
    <row r="3">
      <c r="A3" s="1" t="s">
        <v>3</v>
      </c>
      <c r="B3" s="2" t="str">
        <f>IFERROR(__xludf.DUMMYFUNCTION("SPLIT(A3, "":"")"),"hypertension")</f>
        <v>hypertension</v>
      </c>
      <c r="C3" s="3" t="str">
        <f>IFERROR(__xludf.DUMMYFUNCTION("""COMPUTED_VALUE""")," A condition where the blood pressure in the arteries is persistently elevated")</f>
        <v> A condition where the blood pressure in the arteries is persistently elevated</v>
      </c>
    </row>
    <row r="4">
      <c r="A4" s="1" t="s">
        <v>4</v>
      </c>
      <c r="B4" s="2" t="str">
        <f>IFERROR(__xludf.DUMMYFUNCTION("SPLIT(A4, "":"")"),"cardiology")</f>
        <v>cardiology</v>
      </c>
      <c r="C4" s="3" t="str">
        <f>IFERROR(__xludf.DUMMYFUNCTION("""COMPUTED_VALUE""")," The branch of medicine that deals with disorders of the heart and blood vessels")</f>
        <v> The branch of medicine that deals with disorders of the heart and blood vessels</v>
      </c>
    </row>
    <row r="5">
      <c r="A5" s="1" t="s">
        <v>5</v>
      </c>
      <c r="B5" s="2" t="str">
        <f>IFERROR(__xludf.DUMMYFUNCTION("SPLIT(A5, "":"")"),"oncology")</f>
        <v>oncology</v>
      </c>
      <c r="C5" s="3" t="str">
        <f>IFERROR(__xludf.DUMMYFUNCTION("""COMPUTED_VALUE""")," The study and treatment of tumors especially cancer")</f>
        <v> The study and treatment of tumors especially cancer</v>
      </c>
    </row>
    <row r="6">
      <c r="A6" s="1" t="s">
        <v>6</v>
      </c>
      <c r="B6" s="2" t="str">
        <f>IFERROR(__xludf.DUMMYFUNCTION("SPLIT(A6, "":"")"),"neurology")</f>
        <v>neurology</v>
      </c>
      <c r="C6" s="3" t="str">
        <f>IFERROR(__xludf.DUMMYFUNCTION("""COMPUTED_VALUE""")," The branch of medicine dealing with disorders of the nervous system")</f>
        <v> The branch of medicine dealing with disorders of the nervous system</v>
      </c>
    </row>
    <row r="7">
      <c r="A7" s="1" t="s">
        <v>7</v>
      </c>
      <c r="B7" s="2" t="str">
        <f>IFERROR(__xludf.DUMMYFUNCTION("SPLIT(A7, "":"")"),"radiology")</f>
        <v>radiology</v>
      </c>
      <c r="C7" s="3" t="str">
        <f>IFERROR(__xludf.DUMMYFUNCTION("""COMPUTED_VALUE""")," The science dealing with X-rays and other high-energy radiation especially for diagnostic imaging")</f>
        <v> The science dealing with X-rays and other high-energy radiation especially for diagnostic imaging</v>
      </c>
    </row>
    <row r="8">
      <c r="A8" s="1" t="s">
        <v>8</v>
      </c>
      <c r="B8" s="2" t="str">
        <f>IFERROR(__xludf.DUMMYFUNCTION("SPLIT(A8, "":"")"),"immunology")</f>
        <v>immunology</v>
      </c>
      <c r="C8" s="3" t="str">
        <f>IFERROR(__xludf.DUMMYFUNCTION("""COMPUTED_VALUE""")," The branch of medicine and biology concerned with immunity")</f>
        <v> The branch of medicine and biology concerned with immunity</v>
      </c>
    </row>
    <row r="9">
      <c r="A9" s="1" t="s">
        <v>9</v>
      </c>
      <c r="B9" s="2" t="str">
        <f>IFERROR(__xludf.DUMMYFUNCTION("SPLIT(A9, "":"")"),"endocrinology")</f>
        <v>endocrinology</v>
      </c>
      <c r="C9" s="3" t="str">
        <f>IFERROR(__xludf.DUMMYFUNCTION("""COMPUTED_VALUE""")," The study of the glands and hormones of the body and their related disorders")</f>
        <v> The study of the glands and hormones of the body and their related disorders</v>
      </c>
    </row>
    <row r="10">
      <c r="A10" s="1" t="s">
        <v>10</v>
      </c>
      <c r="B10" s="2" t="str">
        <f>IFERROR(__xludf.DUMMYFUNCTION("SPLIT(A10, "":"")"),"pediatrics")</f>
        <v>pediatrics</v>
      </c>
      <c r="C10" s="3" t="str">
        <f>IFERROR(__xludf.DUMMYFUNCTION("""COMPUTED_VALUE""")," The branch of medicine dealing with children and their diseases")</f>
        <v> The branch of medicine dealing with children and their diseases</v>
      </c>
    </row>
    <row r="11">
      <c r="A11" s="1" t="s">
        <v>11</v>
      </c>
      <c r="B11" s="2" t="str">
        <f>IFERROR(__xludf.DUMMYFUNCTION("SPLIT(A11, "":"")"),"gastroenterology")</f>
        <v>gastroenterology</v>
      </c>
      <c r="C11" s="3" t="str">
        <f>IFERROR(__xludf.DUMMYFUNCTION("""COMPUTED_VALUE""")," The branch of medicine focused on the digestive system and its disorders")</f>
        <v> The branch of medicine focused on the digestive system and its disorders</v>
      </c>
    </row>
    <row r="12">
      <c r="A12" s="1" t="s">
        <v>12</v>
      </c>
      <c r="B12" s="2" t="str">
        <f>IFERROR(__xludf.DUMMYFUNCTION("SPLIT(A12, "":"")"),"nephrology")</f>
        <v>nephrology</v>
      </c>
      <c r="C12" s="3" t="str">
        <f>IFERROR(__xludf.DUMMYFUNCTION("""COMPUTED_VALUE""")," The study of kidney function and diseases")</f>
        <v> The study of kidney function and diseases</v>
      </c>
    </row>
    <row r="13">
      <c r="A13" s="1" t="s">
        <v>13</v>
      </c>
      <c r="B13" s="2" t="str">
        <f>IFERROR(__xludf.DUMMYFUNCTION("SPLIT(A13, "":"")"),"hematology")</f>
        <v>hematology</v>
      </c>
      <c r="C13" s="3" t="str">
        <f>IFERROR(__xludf.DUMMYFUNCTION("""COMPUTED_VALUE""")," The branch of medicine involving the study of blood and blood diseases")</f>
        <v> The branch of medicine involving the study of blood and blood diseases</v>
      </c>
    </row>
    <row r="14">
      <c r="A14" s="1" t="s">
        <v>14</v>
      </c>
      <c r="B14" s="2" t="str">
        <f>IFERROR(__xludf.DUMMYFUNCTION("SPLIT(A14, "":"")"),"dermatology")</f>
        <v>dermatology</v>
      </c>
      <c r="C14" s="3" t="str">
        <f>IFERROR(__xludf.DUMMYFUNCTION("""COMPUTED_VALUE""")," The branch of medicine dealing with the skin and its diseases")</f>
        <v> The branch of medicine dealing with the skin and its diseases</v>
      </c>
    </row>
    <row r="15">
      <c r="A15" s="1" t="s">
        <v>15</v>
      </c>
      <c r="B15" s="2" t="str">
        <f>IFERROR(__xludf.DUMMYFUNCTION("SPLIT(A15, "":"")"),"surgery")</f>
        <v>surgery</v>
      </c>
      <c r="C15" s="3" t="str">
        <f>IFERROR(__xludf.DUMMYFUNCTION("""COMPUTED_VALUE""")," A medical procedure involving an incision with instruments to treat diseases or injuries")</f>
        <v> A medical procedure involving an incision with instruments to treat diseases or injuries</v>
      </c>
    </row>
    <row r="16">
      <c r="A16" s="1" t="s">
        <v>16</v>
      </c>
      <c r="B16" s="2" t="str">
        <f>IFERROR(__xludf.DUMMYFUNCTION("SPLIT(A16, "":"")"),"anesthesia")</f>
        <v>anesthesia</v>
      </c>
      <c r="C16" s="3" t="str">
        <f>IFERROR(__xludf.DUMMYFUNCTION("""COMPUTED_VALUE""")," A medical treatment to prevent pain during surgery or other procedures")</f>
        <v> A medical treatment to prevent pain during surgery or other procedures</v>
      </c>
    </row>
    <row r="17">
      <c r="A17" s="1" t="s">
        <v>17</v>
      </c>
      <c r="B17" s="2" t="str">
        <f>IFERROR(__xludf.DUMMYFUNCTION("SPLIT(A17, "":"")"),"infection")</f>
        <v>infection</v>
      </c>
      <c r="C17" s="3" t="str">
        <f>IFERROR(__xludf.DUMMYFUNCTION("""COMPUTED_VALUE""")," The invasion and multiplication of microorganisms like bacteria viruses and parasites that are not normally present within the body")</f>
        <v> The invasion and multiplication of microorganisms like bacteria viruses and parasites that are not normally present within the body</v>
      </c>
    </row>
    <row r="18">
      <c r="A18" s="1" t="s">
        <v>18</v>
      </c>
      <c r="B18" s="2" t="str">
        <f>IFERROR(__xludf.DUMMYFUNCTION("SPLIT(A18, "":"")"),"antibiotic")</f>
        <v>antibiotic</v>
      </c>
      <c r="C18" s="3" t="str">
        <f>IFERROR(__xludf.DUMMYFUNCTION("""COMPUTED_VALUE""")," A type of medication used to treat bacterial infections")</f>
        <v> A type of medication used to treat bacterial infections</v>
      </c>
    </row>
    <row r="19">
      <c r="A19" s="1" t="s">
        <v>19</v>
      </c>
      <c r="B19" s="2" t="str">
        <f>IFERROR(__xludf.DUMMYFUNCTION("SPLIT(A19, "":"")"),"vaccine")</f>
        <v>vaccine</v>
      </c>
      <c r="C19" s="3" t="str">
        <f>IFERROR(__xludf.DUMMYFUNCTION("""COMPUTED_VALUE""")," A biological preparation that provides active acquired immunity to a particular infectious disease")</f>
        <v> A biological preparation that provides active acquired immunity to a particular infectious disease</v>
      </c>
    </row>
    <row r="20">
      <c r="A20" s="1" t="s">
        <v>20</v>
      </c>
      <c r="B20" s="2" t="str">
        <f>IFERROR(__xludf.DUMMYFUNCTION("SPLIT(A20, "":"")"),"diagnosis")</f>
        <v>diagnosis</v>
      </c>
      <c r="C20" s="3" t="str">
        <f>IFERROR(__xludf.DUMMYFUNCTION("""COMPUTED_VALUE""")," The identification of a disease based on the signs and symptoms presented")</f>
        <v> The identification of a disease based on the signs and symptoms presented</v>
      </c>
    </row>
    <row r="21">
      <c r="A21" s="1" t="s">
        <v>21</v>
      </c>
      <c r="B21" s="2" t="str">
        <f>IFERROR(__xludf.DUMMYFUNCTION("SPLIT(A21, "":"")"),"treatment")</f>
        <v>treatment</v>
      </c>
      <c r="C21" s="3" t="str">
        <f>IFERROR(__xludf.DUMMYFUNCTION("""COMPUTED_VALUE""")," The management and care of a patient for the purpose of combating a disease or condition")</f>
        <v> The management and care of a patient for the purpose of combating a disease or condition</v>
      </c>
    </row>
    <row r="22">
      <c r="A22" s="1" t="s">
        <v>22</v>
      </c>
      <c r="B22" s="2" t="str">
        <f>IFERROR(__xludf.DUMMYFUNCTION("SPLIT(A22, "":"")"),"therapy")</f>
        <v>therapy</v>
      </c>
      <c r="C22" s="3" t="str">
        <f>IFERROR(__xludf.DUMMYFUNCTION("""COMPUTED_VALUE""")," Treatment intended to relieve or heal a disorder")</f>
        <v> Treatment intended to relieve or heal a disorder</v>
      </c>
    </row>
    <row r="23">
      <c r="A23" s="1" t="s">
        <v>23</v>
      </c>
      <c r="B23" s="2" t="str">
        <f>IFERROR(__xludf.DUMMYFUNCTION("SPLIT(A23, "":"")"),"rehabilitation")</f>
        <v>rehabilitation</v>
      </c>
      <c r="C23" s="3" t="str">
        <f>IFERROR(__xludf.DUMMYFUNCTION("""COMPUTED_VALUE""")," Therapeutic interventions to restore skills or normal life activities to someone with physical or mental limitations")</f>
        <v> Therapeutic interventions to restore skills or normal life activities to someone with physical or mental limitations</v>
      </c>
    </row>
    <row r="24">
      <c r="A24" s="1" t="s">
        <v>24</v>
      </c>
      <c r="B24" s="2" t="str">
        <f>IFERROR(__xludf.DUMMYFUNCTION("SPLIT(A24, "":"")"),"prescription")</f>
        <v>prescription</v>
      </c>
      <c r="C24" s="3" t="str">
        <f>IFERROR(__xludf.DUMMYFUNCTION("""COMPUTED_VALUE""")," An instruction written by a medical practitioner that authorizes a patient to be issued a medicine or treatment")</f>
        <v> An instruction written by a medical practitioner that authorizes a patient to be issued a medicine or treatment</v>
      </c>
    </row>
    <row r="25">
      <c r="A25" s="1" t="s">
        <v>25</v>
      </c>
      <c r="B25" s="2" t="str">
        <f>IFERROR(__xludf.DUMMYFUNCTION("SPLIT(A25, "":"")"),"pharmacy")</f>
        <v>pharmacy</v>
      </c>
      <c r="C25" s="3" t="str">
        <f>IFERROR(__xludf.DUMMYFUNCTION("""COMPUTED_VALUE""")," The science and practice of preparing and dispensing medical drugs")</f>
        <v> The science and practice of preparing and dispensing medical drugs</v>
      </c>
    </row>
    <row r="26">
      <c r="A26" s="1" t="s">
        <v>26</v>
      </c>
      <c r="B26" s="2" t="str">
        <f>IFERROR(__xludf.DUMMYFUNCTION("SPLIT(A26, "":"")"),"patient")</f>
        <v>patient</v>
      </c>
      <c r="C26" s="3" t="str">
        <f>IFERROR(__xludf.DUMMYFUNCTION("""COMPUTED_VALUE""")," A person receiving medical treatment")</f>
        <v> A person receiving medical treatment</v>
      </c>
    </row>
    <row r="27">
      <c r="A27" s="1" t="s">
        <v>27</v>
      </c>
      <c r="B27" s="2" t="str">
        <f>IFERROR(__xludf.DUMMYFUNCTION("SPLIT(A27, "":"")"),"care")</f>
        <v>care</v>
      </c>
      <c r="C27" s="3" t="str">
        <f>IFERROR(__xludf.DUMMYFUNCTION("""COMPUTED_VALUE""")," The services provided to maintain or improve a person's health")</f>
        <v> The services provided to maintain or improve a person's health</v>
      </c>
    </row>
    <row r="28">
      <c r="A28" s="1" t="s">
        <v>28</v>
      </c>
      <c r="B28" s="2" t="str">
        <f>IFERROR(__xludf.DUMMYFUNCTION("SPLIT(A28, "":"")"),"chronic")</f>
        <v>chronic</v>
      </c>
      <c r="C28" s="3" t="str">
        <f>IFERROR(__xludf.DUMMYFUNCTION("""COMPUTED_VALUE""")," A condition persisting for a long time or constantly recurring")</f>
        <v> A condition persisting for a long time or constantly recurring</v>
      </c>
    </row>
    <row r="29">
      <c r="A29" s="1" t="s">
        <v>29</v>
      </c>
      <c r="B29" s="2" t="str">
        <f>IFERROR(__xludf.DUMMYFUNCTION("SPLIT(A29, "":"")"),"acute")</f>
        <v>acute</v>
      </c>
      <c r="C29" s="3" t="str">
        <f>IFERROR(__xludf.DUMMYFUNCTION("""COMPUTED_VALUE""")," A condition with a rapid onset and a short course")</f>
        <v> A condition with a rapid onset and a short course</v>
      </c>
    </row>
    <row r="30">
      <c r="A30" s="1" t="s">
        <v>30</v>
      </c>
      <c r="B30" s="2" t="str">
        <f>IFERROR(__xludf.DUMMYFUNCTION("SPLIT(A30, "":"")"),"palliative")</f>
        <v>palliative</v>
      </c>
      <c r="C30" s="3" t="str">
        <f>IFERROR(__xludf.DUMMYFUNCTION("""COMPUTED_VALUE""")," Relieving pain or alleviating a problem without dealing with the underlying cause")</f>
        <v> Relieving pain or alleviating a problem without dealing with the underlying cause</v>
      </c>
    </row>
    <row r="31">
      <c r="A31" s="1" t="s">
        <v>31</v>
      </c>
      <c r="B31" s="2" t="str">
        <f>IFERROR(__xludf.DUMMYFUNCTION("SPLIT(A31, "":"")"),"allergy")</f>
        <v>allergy</v>
      </c>
      <c r="C31" s="3" t="str">
        <f>IFERROR(__xludf.DUMMYFUNCTION("""COMPUTED_VALUE""")," A condition in which the immune system reacts abnormally to a foreign substance")</f>
        <v> A condition in which the immune system reacts abnormally to a foreign substance</v>
      </c>
    </row>
    <row r="32">
      <c r="A32" s="1" t="s">
        <v>32</v>
      </c>
      <c r="B32" s="2" t="str">
        <f>IFERROR(__xludf.DUMMYFUNCTION("SPLIT(A32, "":"")"),"asthma")</f>
        <v>asthma</v>
      </c>
      <c r="C32" s="3" t="str">
        <f>IFERROR(__xludf.DUMMYFUNCTION("""COMPUTED_VALUE""")," A respiratory condition marked by spasms in the bronchi of the lungs causing difficulty in breathing")</f>
        <v> A respiratory condition marked by spasms in the bronchi of the lungs causing difficulty in breathing</v>
      </c>
    </row>
    <row r="33">
      <c r="A33" s="1" t="s">
        <v>33</v>
      </c>
      <c r="B33" s="2" t="str">
        <f>IFERROR(__xludf.DUMMYFUNCTION("SPLIT(A33, "":"")"),"trauma")</f>
        <v>trauma</v>
      </c>
      <c r="C33" s="3" t="str">
        <f>IFERROR(__xludf.DUMMYFUNCTION("""COMPUTED_VALUE""")," Physical injury caused by an external force")</f>
        <v> Physical injury caused by an external force</v>
      </c>
    </row>
    <row r="34">
      <c r="A34" s="1" t="s">
        <v>34</v>
      </c>
      <c r="B34" s="2" t="str">
        <f>IFERROR(__xludf.DUMMYFUNCTION("SPLIT(A34, "":"")"),"stroke")</f>
        <v>stroke</v>
      </c>
      <c r="C34" s="3" t="str">
        <f>IFERROR(__xludf.DUMMYFUNCTION("""COMPUTED_VALUE""")," A medical emergency where the blood supply to part of the brain is interrupted or reduced preventing brain tissue from getting oxygen and nutrients")</f>
        <v> A medical emergency where the blood supply to part of the brain is interrupted or reduced preventing brain tissue from getting oxygen and nutrients</v>
      </c>
    </row>
    <row r="35">
      <c r="A35" s="1" t="s">
        <v>35</v>
      </c>
      <c r="B35" s="2" t="str">
        <f>IFERROR(__xludf.DUMMYFUNCTION("SPLIT(A35, "":"")"),"cardiac arrest")</f>
        <v>cardiac arrest</v>
      </c>
      <c r="C35" s="3" t="str">
        <f>IFERROR(__xludf.DUMMYFUNCTION("""COMPUTED_VALUE""")," A sudden sometimes temporary cessation of function of the heart")</f>
        <v> A sudden sometimes temporary cessation of function of the heart</v>
      </c>
    </row>
    <row r="36">
      <c r="A36" s="1" t="s">
        <v>36</v>
      </c>
      <c r="B36" s="2" t="str">
        <f>IFERROR(__xludf.DUMMYFUNCTION("SPLIT(A36, "":"")"),"heart attack")</f>
        <v>heart attack</v>
      </c>
      <c r="C36" s="3" t="str">
        <f>IFERROR(__xludf.DUMMYFUNCTION("""COMPUTED_VALUE""")," A blockage of blood flow to the heart muscle")</f>
        <v> A blockage of blood flow to the heart muscle</v>
      </c>
    </row>
    <row r="37">
      <c r="A37" s="1" t="s">
        <v>37</v>
      </c>
      <c r="B37" s="2" t="str">
        <f>IFERROR(__xludf.DUMMYFUNCTION("SPLIT(A37, "":"")"),"obesity")</f>
        <v>obesity</v>
      </c>
      <c r="C37" s="3" t="str">
        <f>IFERROR(__xludf.DUMMYFUNCTION("""COMPUTED_VALUE""")," A condition characterized by excessive body fat")</f>
        <v> A condition characterized by excessive body fat</v>
      </c>
    </row>
    <row r="38">
      <c r="A38" s="1" t="s">
        <v>38</v>
      </c>
      <c r="B38" s="2" t="str">
        <f>IFERROR(__xludf.DUMMYFUNCTION("SPLIT(A38, "":"")"),"COPD")</f>
        <v>COPD</v>
      </c>
      <c r="C38" s="3" t="str">
        <f>IFERROR(__xludf.DUMMYFUNCTION("""COMPUTED_VALUE""")," Chronic obstructive pulmonary disease a lung condition that makes it hard to breathe")</f>
        <v> Chronic obstructive pulmonary disease a lung condition that makes it hard to breathe</v>
      </c>
    </row>
    <row r="39">
      <c r="A39" s="1" t="s">
        <v>39</v>
      </c>
      <c r="B39" s="2" t="str">
        <f>IFERROR(__xludf.DUMMYFUNCTION("SPLIT(A39, "":"")"),"insulin")</f>
        <v>insulin</v>
      </c>
      <c r="C39" s="3" t="str">
        <f>IFERROR(__xludf.DUMMYFUNCTION("""COMPUTED_VALUE""")," A hormone that regulates the amount of glucose in the blood")</f>
        <v> A hormone that regulates the amount of glucose in the blood</v>
      </c>
    </row>
    <row r="40">
      <c r="A40" s="1" t="s">
        <v>40</v>
      </c>
      <c r="B40" s="2" t="str">
        <f>IFERROR(__xludf.DUMMYFUNCTION("SPLIT(A40, "":"")"),"HIV")</f>
        <v>HIV</v>
      </c>
      <c r="C40" s="3" t="str">
        <f>IFERROR(__xludf.DUMMYFUNCTION("""COMPUTED_VALUE""")," Human Immunodeficiency Virus which attacks the body's immune system")</f>
        <v> Human Immunodeficiency Virus which attacks the body's immune system</v>
      </c>
    </row>
    <row r="41">
      <c r="A41" s="1" t="s">
        <v>41</v>
      </c>
      <c r="B41" s="2" t="str">
        <f>IFERROR(__xludf.DUMMYFUNCTION("SPLIT(A41, "":"")"),"AIDS")</f>
        <v>AIDS</v>
      </c>
      <c r="C41" s="3" t="str">
        <f>IFERROR(__xludf.DUMMYFUNCTION("""COMPUTED_VALUE""")," Acquired Immunodeficiency Syndrome the most severe phase of HIV infection")</f>
        <v> Acquired Immunodeficiency Syndrome the most severe phase of HIV infection</v>
      </c>
    </row>
    <row r="42">
      <c r="A42" s="1" t="s">
        <v>42</v>
      </c>
      <c r="B42" s="2" t="str">
        <f>IFERROR(__xludf.DUMMYFUNCTION("SPLIT(A42, "":"")"),"mental health")</f>
        <v>mental health</v>
      </c>
      <c r="C42" s="3" t="str">
        <f>IFERROR(__xludf.DUMMYFUNCTION("""COMPUTED_VALUE""")," A person's condition with regard to their psychological and emotional well-being")</f>
        <v> A person's condition with regard to their psychological and emotional well-being</v>
      </c>
    </row>
    <row r="43">
      <c r="A43" s="1" t="s">
        <v>43</v>
      </c>
      <c r="B43" s="2" t="str">
        <f>IFERROR(__xludf.DUMMYFUNCTION("SPLIT(A43, "":"")"),"depression")</f>
        <v>depression</v>
      </c>
      <c r="C43" s="3" t="str">
        <f>IFERROR(__xludf.DUMMYFUNCTION("""COMPUTED_VALUE""")," A mood disorder causing a persistent feeling of sadness and loss of interest")</f>
        <v> A mood disorder causing a persistent feeling of sadness and loss of interest</v>
      </c>
    </row>
    <row r="44">
      <c r="A44" s="1" t="s">
        <v>44</v>
      </c>
      <c r="B44" s="2" t="str">
        <f>IFERROR(__xludf.DUMMYFUNCTION("SPLIT(A44, "":"")"),"anxiety")</f>
        <v>anxiety</v>
      </c>
      <c r="C44" s="3" t="str">
        <f>IFERROR(__xludf.DUMMYFUNCTION("""COMPUTED_VALUE""")," A feeling of worry nervousness or unease often about an imminent event or something with an uncertain outcome")</f>
        <v> A feeling of worry nervousness or unease often about an imminent event or something with an uncertain outcome</v>
      </c>
    </row>
    <row r="45">
      <c r="A45" s="1" t="s">
        <v>45</v>
      </c>
      <c r="B45" s="2" t="str">
        <f>IFERROR(__xludf.DUMMYFUNCTION("SPLIT(A45, "":"")"),"sepsis")</f>
        <v>sepsis</v>
      </c>
      <c r="C45" s="3" t="str">
        <f>IFERROR(__xludf.DUMMYFUNCTION("""COMPUTED_VALUE""")," A life-threatening condition that arises when the body's response to infection causes injury to its own tissues and organs")</f>
        <v> A life-threatening condition that arises when the body's response to infection causes injury to its own tissues and organs</v>
      </c>
    </row>
    <row r="46">
      <c r="A46" s="1" t="s">
        <v>46</v>
      </c>
      <c r="B46" s="2" t="str">
        <f>IFERROR(__xludf.DUMMYFUNCTION("SPLIT(A46, "":"")"),"ICU")</f>
        <v>ICU</v>
      </c>
      <c r="C46" s="3" t="str">
        <f>IFERROR(__xludf.DUMMYFUNCTION("""COMPUTED_VALUE""")," Intensive Care Unit a special department of a hospital that provides intensive treatment and monitoring")</f>
        <v> Intensive Care Unit a special department of a hospital that provides intensive treatment and monitoring</v>
      </c>
    </row>
    <row r="47">
      <c r="A47" s="1" t="s">
        <v>47</v>
      </c>
      <c r="B47" s="2" t="str">
        <f>IFERROR(__xludf.DUMMYFUNCTION("SPLIT(A47, "":"")"),"ER")</f>
        <v>ER</v>
      </c>
      <c r="C47" s="3" t="str">
        <f>IFERROR(__xludf.DUMMYFUNCTION("""COMPUTED_VALUE""")," Emergency Room a medical facility specializing in acute emergency care")</f>
        <v> Emergency Room a medical facility specializing in acute emergency care</v>
      </c>
    </row>
    <row r="48">
      <c r="A48" s="1" t="s">
        <v>48</v>
      </c>
      <c r="B48" s="2" t="str">
        <f>IFERROR(__xludf.DUMMYFUNCTION("SPLIT(A48, "":"")"),"triage")</f>
        <v>triage</v>
      </c>
      <c r="C48" s="3" t="str">
        <f>IFERROR(__xludf.DUMMYFUNCTION("""COMPUTED_VALUE""")," The process of determining the priority of patients' treatments based on the severity of their condition")</f>
        <v> The process of determining the priority of patients' treatments based on the severity of their condition</v>
      </c>
    </row>
    <row r="49">
      <c r="A49" s="1" t="s">
        <v>49</v>
      </c>
      <c r="B49" s="2" t="str">
        <f>IFERROR(__xludf.DUMMYFUNCTION("SPLIT(A49, "":"")"),"PPS")</f>
        <v>PPS</v>
      </c>
      <c r="C49" s="3" t="str">
        <f>IFERROR(__xludf.DUMMYFUNCTION("""COMPUTED_VALUE""")," Prospective Payment System - A method of reimbursement where Medicare payment is made based on a predetermined fixed amount")</f>
        <v> Prospective Payment System - A method of reimbursement where Medicare payment is made based on a predetermined fixed amount</v>
      </c>
    </row>
    <row r="50">
      <c r="A50" s="1" t="s">
        <v>50</v>
      </c>
      <c r="B50" s="2" t="str">
        <f>IFERROR(__xludf.DUMMYFUNCTION("SPLIT(A50, "":"")"),"all-payer")</f>
        <v>all-payer</v>
      </c>
      <c r="C50" s="3" t="str">
        <f>IFERROR(__xludf.DUMMYFUNCTION("""COMPUTED_VALUE""")," A healthcare payment system where all payers pay the same rates for services regardless of the patient's insurance status")</f>
        <v> A healthcare payment system where all payers pay the same rates for services regardless of the patient's insurance status</v>
      </c>
    </row>
    <row r="51">
      <c r="A51" s="1" t="s">
        <v>51</v>
      </c>
      <c r="B51" s="2" t="str">
        <f>IFERROR(__xludf.DUMMYFUNCTION("SPLIT(A51, "":"")"),"Accountable Care Organization (ACO)")</f>
        <v>Accountable Care Organization (ACO)</v>
      </c>
      <c r="C51" s="3" t="str">
        <f>IFERROR(__xludf.DUMMYFUNCTION("""COMPUTED_VALUE""")," A group of healthcare providers that work together to coordinate care for Medicare patients sharing in savings achieved from improved care and efficiency")</f>
        <v> A group of healthcare providers that work together to coordinate care for Medicare patients sharing in savings achieved from improved care and efficiency</v>
      </c>
    </row>
    <row r="52">
      <c r="A52" s="1" t="s">
        <v>52</v>
      </c>
      <c r="B52" s="2" t="str">
        <f>IFERROR(__xludf.DUMMYFUNCTION("SPLIT(A52, "":"")"),"Affordable Care Act (ACA)")</f>
        <v>Affordable Care Act (ACA)</v>
      </c>
      <c r="C52" s="3" t="str">
        <f>IFERROR(__xludf.DUMMYFUNCTION("""COMPUTED_VALUE""")," A comprehensive healthcare reform law enacted in March 2010 aimed at expanding insurance coverage improving healthcare quality and reducing healthcare costs")</f>
        <v> A comprehensive healthcare reform law enacted in March 2010 aimed at expanding insurance coverage improving healthcare quality and reducing healthcare costs</v>
      </c>
    </row>
    <row r="53">
      <c r="A53" s="1" t="s">
        <v>53</v>
      </c>
      <c r="B53" s="2" t="str">
        <f>IFERROR(__xludf.DUMMYFUNCTION("SPLIT(A53, "":"")"),"Alternative Payment Model (APM)")</f>
        <v>Alternative Payment Model (APM)</v>
      </c>
      <c r="C53" s="3" t="str">
        <f>IFERROR(__xludf.DUMMYFUNCTION("""COMPUTED_VALUE""")," A payment approach that gives added incentive payments to healthcare providers to provide high-quality and cost-efficient care such as bundled payments and ACOs")</f>
        <v> A payment approach that gives added incentive payments to healthcare providers to provide high-quality and cost-efficient care such as bundled payments and ACOs</v>
      </c>
    </row>
    <row r="54">
      <c r="A54" s="1" t="s">
        <v>54</v>
      </c>
      <c r="B54" s="2" t="str">
        <f>IFERROR(__xludf.DUMMYFUNCTION("SPLIT(A54, "":"")"),"Bundled Payment")</f>
        <v>Bundled Payment</v>
      </c>
      <c r="C54" s="3" t="str">
        <f>IFERROR(__xludf.DUMMYFUNCTION("""COMPUTED_VALUE""")," A reimbursement model where a single payment is made for all services related to a treatment or condition rather than paying providers separately for each service")</f>
        <v> A reimbursement model where a single payment is made for all services related to a treatment or condition rather than paying providers separately for each service</v>
      </c>
    </row>
    <row r="55">
      <c r="A55" s="1" t="s">
        <v>55</v>
      </c>
      <c r="B55" s="2" t="str">
        <f>IFERROR(__xludf.DUMMYFUNCTION("SPLIT(A55, "":"")"),"Capitation")</f>
        <v>Capitation</v>
      </c>
      <c r="C55" s="3" t="str">
        <f>IFERROR(__xludf.DUMMYFUNCTION("""COMPUTED_VALUE""")," A payment arrangement where a physician or hospital is paid a fixed amount per patient for a prescribed period regardless of the services provided")</f>
        <v> A payment arrangement where a physician or hospital is paid a fixed amount per patient for a prescribed period regardless of the services provided</v>
      </c>
    </row>
    <row r="56">
      <c r="A56" s="1" t="s">
        <v>56</v>
      </c>
      <c r="B56" s="2" t="str">
        <f>IFERROR(__xludf.DUMMYFUNCTION("SPLIT(A56, "":"")"),"Centers for Medicare &amp; Medicaid Services (CMS)")</f>
        <v>Centers for Medicare &amp; Medicaid Services (CMS)</v>
      </c>
      <c r="C56" s="3" t="str">
        <f>IFERROR(__xludf.DUMMYFUNCTION("""COMPUTED_VALUE""")," A federal agency within the US Department of Health and Human Services that administers Medicare Medicaid and other health programs")</f>
        <v> A federal agency within the US Department of Health and Human Services that administers Medicare Medicaid and other health programs</v>
      </c>
    </row>
    <row r="57">
      <c r="A57" s="1" t="s">
        <v>57</v>
      </c>
      <c r="B57" s="2" t="str">
        <f>IFERROR(__xludf.DUMMYFUNCTION("SPLIT(A57, "":"")"),"Clinical Integration")</f>
        <v>Clinical Integration</v>
      </c>
      <c r="C57" s="3" t="str">
        <f>IFERROR(__xludf.DUMMYFUNCTION("""COMPUTED_VALUE""")," A healthcare delivery model that involves the collaboration of healthcare providers to improve the quality of care reduce costs and enhance patient satisfaction")</f>
        <v> A healthcare delivery model that involves the collaboration of healthcare providers to improve the quality of care reduce costs and enhance patient satisfaction</v>
      </c>
    </row>
    <row r="58">
      <c r="A58" s="1" t="s">
        <v>58</v>
      </c>
      <c r="B58" s="2" t="str">
        <f>IFERROR(__xludf.DUMMYFUNCTION("SPLIT(A58, "":"")"),"Diagnosis-Related Group (DRG)")</f>
        <v>Diagnosis-Related Group (DRG)</v>
      </c>
      <c r="C58" s="3" t="str">
        <f>IFERROR(__xludf.DUMMYFUNCTION("""COMPUTED_VALUE""")," A classification system used in the Prospective Payment System to determine hospital reimbursement for Medicare patients based on the diagnosis and resources required")</f>
        <v> A classification system used in the Prospective Payment System to determine hospital reimbursement for Medicare patients based on the diagnosis and resources required</v>
      </c>
    </row>
    <row r="59">
      <c r="A59" s="1" t="s">
        <v>59</v>
      </c>
      <c r="B59" s="2" t="str">
        <f>IFERROR(__xludf.DUMMYFUNCTION("SPLIT(A59, "":"")"),"Fee-for-Service (FFS)")</f>
        <v>Fee-for-Service (FFS)</v>
      </c>
      <c r="C59" s="3" t="str">
        <f>IFERROR(__xludf.DUMMYFUNCTION("""COMPUTED_VALUE""")," A traditional healthcare payment model where services are paid for separately encouraging providers to offer more treatments")</f>
        <v> A traditional healthcare payment model where services are paid for separately encouraging providers to offer more treatments</v>
      </c>
    </row>
    <row r="60">
      <c r="A60" s="1" t="s">
        <v>60</v>
      </c>
      <c r="B60" s="2" t="str">
        <f>IFERROR(__xludf.DUMMYFUNCTION("SPLIT(A60, "":"")"),"Global Budget")</f>
        <v>Global Budget</v>
      </c>
      <c r="C60" s="3" t="str">
        <f>IFERROR(__xludf.DUMMYFUNCTION("""COMPUTED_VALUE""")," A fixed total dollar amount paid annually for all care provided by a hospital regardless of the number of services provided")</f>
        <v> A fixed total dollar amount paid annually for all care provided by a hospital regardless of the number of services provided</v>
      </c>
    </row>
    <row r="61">
      <c r="A61" s="1" t="s">
        <v>61</v>
      </c>
      <c r="B61" s="2" t="str">
        <f>IFERROR(__xludf.DUMMYFUNCTION("SPLIT(A61, "":"")"),"Health Maintenance Organization (HMO)")</f>
        <v>Health Maintenance Organization (HMO)</v>
      </c>
      <c r="C61" s="3" t="str">
        <f>IFERROR(__xludf.DUMMYFUNCTION("""COMPUTED_VALUE""")," A type of health insurance plan that requires members to receive healthcare services from a network of approved providers with a focus on prevention and wellness")</f>
        <v> A type of health insurance plan that requires members to receive healthcare services from a network of approved providers with a focus on prevention and wellness</v>
      </c>
    </row>
    <row r="62">
      <c r="A62" s="1" t="s">
        <v>62</v>
      </c>
      <c r="B62" s="2" t="str">
        <f>IFERROR(__xludf.DUMMYFUNCTION("SPLIT(A62, "":"")"),"Healthcare Quality Improvement")</f>
        <v>Healthcare Quality Improvement</v>
      </c>
      <c r="C62" s="3" t="str">
        <f>IFERROR(__xludf.DUMMYFUNCTION("""COMPUTED_VALUE""")," Efforts to improve the effectiveness efficiency safety and patient satisfaction of healthcare services")</f>
        <v> Efforts to improve the effectiveness efficiency safety and patient satisfaction of healthcare services</v>
      </c>
    </row>
    <row r="63">
      <c r="A63" s="1" t="s">
        <v>63</v>
      </c>
      <c r="B63" s="2" t="str">
        <f>IFERROR(__xludf.DUMMYFUNCTION("SPLIT(A63, "":"")"),"Integrated Delivery System (IDS)")</f>
        <v>Integrated Delivery System (IDS)</v>
      </c>
      <c r="C63" s="3" t="str">
        <f>IFERROR(__xludf.DUMMYFUNCTION("""COMPUTED_VALUE""")," A network of healthcare organizations under a parent holding company providing a continuum of care services to a specific population")</f>
        <v> A network of healthcare organizations under a parent holding company providing a continuum of care services to a specific population</v>
      </c>
    </row>
    <row r="64">
      <c r="A64" s="1" t="s">
        <v>64</v>
      </c>
      <c r="B64" s="2" t="str">
        <f>IFERROR(__xludf.DUMMYFUNCTION("SPLIT(A64, "":"")"),"Managed Care")</f>
        <v>Managed Care</v>
      </c>
      <c r="C64" s="3" t="str">
        <f>IFERROR(__xludf.DUMMYFUNCTION("""COMPUTED_VALUE""")," A healthcare delivery system where the goal is to manage cost utilization and quality by coordinating care through a defined network of providers")</f>
        <v> A healthcare delivery system where the goal is to manage cost utilization and quality by coordinating care through a defined network of providers</v>
      </c>
    </row>
    <row r="65">
      <c r="A65" s="1" t="s">
        <v>65</v>
      </c>
      <c r="B65" s="2" t="str">
        <f>IFERROR(__xludf.DUMMYFUNCTION("SPLIT(A65, "":"")"),"Medicare Advantage (MA)")</f>
        <v>Medicare Advantage (MA)</v>
      </c>
      <c r="C65" s="3" t="str">
        <f>IFERROR(__xludf.DUMMYFUNCTION("""COMPUTED_VALUE""")," A type of Medicare health plan offered by private companies that contract with Medicare to provide all Part A and Part B benefits often including prescription drug coverage")</f>
        <v> A type of Medicare health plan offered by private companies that contract with Medicare to provide all Part A and Part B benefits often including prescription drug coverage</v>
      </c>
    </row>
    <row r="66">
      <c r="A66" s="1" t="s">
        <v>66</v>
      </c>
      <c r="B66" s="2" t="str">
        <f>IFERROR(__xludf.DUMMYFUNCTION("SPLIT(A66, "":"")"),"Merit-Based Incentive Payment System (MIPS)")</f>
        <v>Merit-Based Incentive Payment System (MIPS)</v>
      </c>
      <c r="C66" s="3" t="str">
        <f>IFERROR(__xludf.DUMMYFUNCTION("""COMPUTED_VALUE""")," A payment system under the Quality Payment Program that adjusts Medicare payments based on performance in quality cost improvement activities and promoting interoperability")</f>
        <v> A payment system under the Quality Payment Program that adjusts Medicare payments based on performance in quality cost improvement activities and promoting interoperability</v>
      </c>
    </row>
    <row r="67">
      <c r="A67" s="1" t="s">
        <v>67</v>
      </c>
      <c r="B67" s="2" t="str">
        <f>IFERROR(__xludf.DUMMYFUNCTION("SPLIT(A67, "":"")"),"Pay-for-Performance (P4P)")</f>
        <v>Pay-for-Performance (P4P)</v>
      </c>
      <c r="C67" s="3" t="str">
        <f>IFERROR(__xludf.DUMMYFUNCTION("""COMPUTED_VALUE""")," A reimbursement model where providers are financially incentivized to meet specific healthcare quality or efficiency goals")</f>
        <v> A reimbursement model where providers are financially incentivized to meet specific healthcare quality or efficiency goals</v>
      </c>
    </row>
    <row r="68">
      <c r="A68" s="1" t="s">
        <v>68</v>
      </c>
      <c r="B68" s="2" t="str">
        <f>IFERROR(__xludf.DUMMYFUNCTION("SPLIT(A68, "":"")"),"Population Health Management")</f>
        <v>Population Health Management</v>
      </c>
      <c r="C68" s="3" t="str">
        <f>IFERROR(__xludf.DUMMYFUNCTION("""COMPUTED_VALUE""")," The management of patient populations to improve clinical outcomes and reduce healthcare costs by addressing a wide range of determinants of health")</f>
        <v> The management of patient populations to improve clinical outcomes and reduce healthcare costs by addressing a wide range of determinants of health</v>
      </c>
    </row>
    <row r="69">
      <c r="A69" s="1" t="s">
        <v>69</v>
      </c>
      <c r="B69" s="2" t="str">
        <f>IFERROR(__xludf.DUMMYFUNCTION("SPLIT(A69, "":"")"),"Preferred Provider Organization (PPO)")</f>
        <v>Preferred Provider Organization (PPO)</v>
      </c>
      <c r="C69" s="3" t="str">
        <f>IFERROR(__xludf.DUMMYFUNCTION("""COMPUTED_VALUE""")," A type of health insurance plan that provides greater flexibility in choosing healthcare providers and does not require a referral for specialist visits")</f>
        <v> A type of health insurance plan that provides greater flexibility in choosing healthcare providers and does not require a referral for specialist visits</v>
      </c>
    </row>
    <row r="70">
      <c r="A70" s="1" t="s">
        <v>70</v>
      </c>
      <c r="B70" s="2" t="str">
        <f>IFERROR(__xludf.DUMMYFUNCTION("SPLIT(A70, "":"")"),"Prospective Payment System (PPS)")</f>
        <v>Prospective Payment System (PPS)</v>
      </c>
      <c r="C70" s="3" t="str">
        <f>IFERROR(__xludf.DUMMYFUNCTION("""COMPUTED_VALUE""")," A method of reimbursement in which Medicare payments to healthcare providers are made based on a predetermined fixed amount per episode of care such as DRG rates for hospitals")</f>
        <v> A method of reimbursement in which Medicare payments to healthcare providers are made based on a predetermined fixed amount per episode of care such as DRG rates for hospitals</v>
      </c>
    </row>
    <row r="71">
      <c r="A71" s="1" t="s">
        <v>71</v>
      </c>
      <c r="B71" s="2" t="str">
        <f>IFERROR(__xludf.DUMMYFUNCTION("SPLIT(A71, "":"")"),"Quality Payment Program (QPP)")</f>
        <v>Quality Payment Program (QPP)</v>
      </c>
      <c r="C71" s="3" t="str">
        <f>IFERROR(__xludf.DUMMYFUNCTION("""COMPUTED_VALUE""")," A program created by the MACRA law that rewards providers for giving high-quality and cost-effective care including the MIPS and APM payment tracks")</f>
        <v> A program created by the MACRA law that rewards providers for giving high-quality and cost-effective care including the MIPS and APM payment tracks</v>
      </c>
    </row>
    <row r="72">
      <c r="A72" s="1" t="s">
        <v>72</v>
      </c>
      <c r="B72" s="2" t="str">
        <f>IFERROR(__xludf.DUMMYFUNCTION("SPLIT(A72, "":"")"),"Readmission Penalties")</f>
        <v>Readmission Penalties</v>
      </c>
      <c r="C72" s="3" t="str">
        <f>IFERROR(__xludf.DUMMYFUNCTION("""COMPUTED_VALUE""")," Financial penalties imposed on hospitals by Medicare for having higher-than-expected readmission rates for certain conditions aimed at encouraging quality improvement")</f>
        <v> Financial penalties imposed on hospitals by Medicare for having higher-than-expected readmission rates for certain conditions aimed at encouraging quality improvement</v>
      </c>
    </row>
    <row r="73">
      <c r="A73" s="1" t="s">
        <v>73</v>
      </c>
      <c r="B73" s="2" t="str">
        <f>IFERROR(__xludf.DUMMYFUNCTION("SPLIT(A73, "":"")"),"Risk Adjustment")</f>
        <v>Risk Adjustment</v>
      </c>
      <c r="C73" s="3" t="str">
        <f>IFERROR(__xludf.DUMMYFUNCTION("""COMPUTED_VALUE""")," A statistical process used to adjust payments based on the health status and demographic characteristics of the patients")</f>
        <v> A statistical process used to adjust payments based on the health status and demographic characteristics of the patients</v>
      </c>
    </row>
    <row r="74">
      <c r="A74" s="1" t="s">
        <v>74</v>
      </c>
      <c r="B74" s="2" t="str">
        <f>IFERROR(__xludf.DUMMYFUNCTION("SPLIT(A74, "":"")"),"Shared Savings Program")</f>
        <v>Shared Savings Program</v>
      </c>
      <c r="C74" s="3" t="str">
        <f>IFERROR(__xludf.DUMMYFUNCTION("""COMPUTED_VALUE""")," A program under which healthcare providers are rewarded for reducing their spending for a defined patient population provided they meet certain quality standards")</f>
        <v> A program under which healthcare providers are rewarded for reducing their spending for a defined patient population provided they meet certain quality standards</v>
      </c>
    </row>
    <row r="75">
      <c r="A75" s="1" t="s">
        <v>75</v>
      </c>
      <c r="B75" s="2" t="str">
        <f>IFERROR(__xludf.DUMMYFUNCTION("SPLIT(A75, "":"")"),"Social Determinants of Health (SDOH)")</f>
        <v>Social Determinants of Health (SDOH)</v>
      </c>
      <c r="C75" s="3" t="str">
        <f>IFERROR(__xludf.DUMMYFUNCTION("""COMPUTED_VALUE""")," The non-medical factors that influence health outcomes such as socioeconomic status education and the physical environment")</f>
        <v> The non-medical factors that influence health outcomes such as socioeconomic status education and the physical environment</v>
      </c>
    </row>
    <row r="76">
      <c r="A76" s="1" t="s">
        <v>76</v>
      </c>
      <c r="B76" s="2" t="str">
        <f>IFERROR(__xludf.DUMMYFUNCTION("SPLIT(A76, "":"")"),"Telehealth")</f>
        <v>Telehealth</v>
      </c>
      <c r="C76" s="3" t="str">
        <f>IFERROR(__xludf.DUMMYFUNCTION("""COMPUTED_VALUE""")," The distribution of health-related services and information via electronic and telecommunication technologies")</f>
        <v> The distribution of health-related services and information via electronic and telecommunication technologies</v>
      </c>
    </row>
    <row r="77">
      <c r="A77" s="1" t="s">
        <v>77</v>
      </c>
      <c r="B77" s="2" t="str">
        <f>IFERROR(__xludf.DUMMYFUNCTION("SPLIT(A77, "":"")"),"Value-Based Care")</f>
        <v>Value-Based Care</v>
      </c>
      <c r="C77" s="3" t="str">
        <f>IFERROR(__xludf.DUMMYFUNCTION("""COMPUTED_VALUE""")," A payment model where providers are paid based on patient health outcomes with an emphasis on quality over quantity")</f>
        <v> A payment model where providers are paid based on patient health outcomes with an emphasis on quality over quantity</v>
      </c>
    </row>
    <row r="78">
      <c r="A78" s="1" t="s">
        <v>78</v>
      </c>
      <c r="B78" s="2" t="str">
        <f>IFERROR(__xludf.DUMMYFUNCTION("SPLIT(A78, "":"")"),"All-Payer System")</f>
        <v>All-Payer System</v>
      </c>
      <c r="C78" s="3" t="str">
        <f>IFERROR(__xludf.DUMMYFUNCTION("""COMPUTED_VALUE""")," A healthcare payment system where all payers including private insurers and government programs pay the same rates for services from healthcare providers")</f>
        <v> A healthcare payment system where all payers including private insurers and government programs pay the same rates for services from healthcare providers</v>
      </c>
    </row>
    <row r="79">
      <c r="A79" s="1" t="s">
        <v>79</v>
      </c>
      <c r="B79" s="2" t="str">
        <f>IFERROR(__xludf.DUMMYFUNCTION("SPLIT(A79, "":"")"),"Capitated Payment Model")</f>
        <v>Capitated Payment Model</v>
      </c>
      <c r="C79" s="3" t="str">
        <f>IFERROR(__xludf.DUMMYFUNCTION("""COMPUTED_VALUE""")," A payment model in which healthcare providers are paid a set amount per enrolled patient over a given period regardless of the services provided")</f>
        <v> A payment model in which healthcare providers are paid a set amount per enrolled patient over a given period regardless of the services provided</v>
      </c>
    </row>
    <row r="80">
      <c r="A80" s="1" t="s">
        <v>80</v>
      </c>
      <c r="B80" s="2" t="str">
        <f>IFERROR(__xludf.DUMMYFUNCTION("SPLIT(A80, "":"")"),"Chronic Care Management (CCM)")</f>
        <v>Chronic Care Management (CCM)</v>
      </c>
      <c r="C80" s="3" t="str">
        <f>IFERROR(__xludf.DUMMYFUNCTION("""COMPUTED_VALUE""")," A service provided by healthcare professionals to help patients with chronic diseases manage their conditions and prevent complications")</f>
        <v> A service provided by healthcare professionals to help patients with chronic diseases manage their conditions and prevent complications</v>
      </c>
    </row>
    <row r="81">
      <c r="A81" s="1" t="s">
        <v>81</v>
      </c>
      <c r="B81" s="2" t="str">
        <f>IFERROR(__xludf.DUMMYFUNCTION("SPLIT(A81, "":"")"),"Clinical Outcomes")</f>
        <v>Clinical Outcomes</v>
      </c>
      <c r="C81" s="3" t="str">
        <f>IFERROR(__xludf.DUMMYFUNCTION("""COMPUTED_VALUE""")," The measurable effects of healthcare services on a patient\u2019s health including changes in symptoms functionality and quality of life")</f>
        <v> The measurable effects of healthcare services on a patient\u2019s health including changes in symptoms functionality and quality of life</v>
      </c>
    </row>
    <row r="82">
      <c r="A82" s="1" t="s">
        <v>82</v>
      </c>
      <c r="B82" s="2" t="str">
        <f>IFERROR(__xludf.DUMMYFUNCTION("SPLIT(A82, "":"")"),"Cost Sharing")</f>
        <v>Cost Sharing</v>
      </c>
      <c r="C82" s="3" t="str">
        <f>IFERROR(__xludf.DUMMYFUNCTION("""COMPUTED_VALUE""")," The portion of healthcare costs covered by the patient which may include deductibles copayments and coinsurance")</f>
        <v> The portion of healthcare costs covered by the patient which may include deductibles copayments and coinsurance</v>
      </c>
    </row>
    <row r="83">
      <c r="A83" s="1" t="s">
        <v>83</v>
      </c>
      <c r="B83" s="2" t="str">
        <f>IFERROR(__xludf.DUMMYFUNCTION("SPLIT(A83, "":"")"),"Episode of Care")</f>
        <v>Episode of Care</v>
      </c>
      <c r="C83" s="3" t="str">
        <f>IFERROR(__xludf.DUMMYFUNCTION("""COMPUTED_VALUE""")," The series of interactions between a patient and healthcare providers for a specific condition or illness typically over a defined period of time")</f>
        <v> The series of interactions between a patient and healthcare providers for a specific condition or illness typically over a defined period of time</v>
      </c>
    </row>
    <row r="84">
      <c r="A84" s="1" t="s">
        <v>84</v>
      </c>
      <c r="B84" s="2" t="str">
        <f>IFERROR(__xludf.DUMMYFUNCTION("SPLIT(A84, "":"")"),"Healthcare Reform")</f>
        <v>Healthcare Reform</v>
      </c>
      <c r="C84" s="3" t="str">
        <f>IFERROR(__xludf.DUMMYFUNCTION("""COMPUTED_VALUE""")," Efforts to change or improve the healthcare system often focusing on increasing access reducing costs and improving quality of care")</f>
        <v> Efforts to change or improve the healthcare system often focusing on increasing access reducing costs and improving quality of care</v>
      </c>
    </row>
    <row r="85">
      <c r="A85" s="1" t="s">
        <v>85</v>
      </c>
      <c r="B85" s="2" t="str">
        <f>IFERROR(__xludf.DUMMYFUNCTION("SPLIT(A85, "":"")"),"High-Deductible Health Plan (HDHP)")</f>
        <v>High-Deductible Health Plan (HDHP)</v>
      </c>
      <c r="C85" s="3" t="str">
        <f>IFERROR(__xludf.DUMMYFUNCTION("""COMPUTED_VALUE""")," A type of health insurance plan with higher deductibles and lower premiums often paired with a health savings account (HSA)")</f>
        <v> A type of health insurance plan with higher deductibles and lower premiums often paired with a health savings account (HSA)</v>
      </c>
    </row>
    <row r="86">
      <c r="A86" s="1" t="s">
        <v>86</v>
      </c>
      <c r="B86" s="2" t="str">
        <f>IFERROR(__xludf.DUMMYFUNCTION("SPLIT(A86, "":"")"),"Independent Practice Association (IPA)")</f>
        <v>Independent Practice Association (IPA)</v>
      </c>
      <c r="C86" s="3" t="str">
        <f>IFERROR(__xludf.DUMMYFUNCTION("""COMPUTED_VALUE""")," An organization of independent physicians that contract with managed care organizations to provide care to patients while maintaining autonomy")</f>
        <v> An organization of independent physicians that contract with managed care organizations to provide care to patients while maintaining autonomy</v>
      </c>
    </row>
    <row r="87">
      <c r="A87" s="1" t="s">
        <v>87</v>
      </c>
      <c r="B87" s="2" t="str">
        <f>IFERROR(__xludf.DUMMYFUNCTION("SPLIT(A87, "":"")"),"Patient-Centered Medical Home (PCMH)")</f>
        <v>Patient-Centered Medical Home (PCMH)</v>
      </c>
      <c r="C87" s="3" t="str">
        <f>IFERROR(__xludf.DUMMYFUNCTION("""COMPUTED_VALUE""")," A care delivery model where patient treatment is coordinated through their primary care physician to ensure they receive necessary care when and where they need it")</f>
        <v> A care delivery model where patient treatment is coordinated through their primary care physician to ensure they receive necessary care when and where they need it</v>
      </c>
    </row>
    <row r="88">
      <c r="A88" s="1" t="s">
        <v>88</v>
      </c>
      <c r="B88" s="2" t="str">
        <f>IFERROR(__xludf.DUMMYFUNCTION("SPLIT(A88, "":"")"),"Payment Bundling")</f>
        <v>Payment Bundling</v>
      </c>
      <c r="C88" s="3" t="str">
        <f>IFERROR(__xludf.DUMMYFUNCTION("""COMPUTED_VALUE""")," A payment approach in which a single comprehensive payment covers all the care related to a treatment or condition regardless of the number of services provided")</f>
        <v> A payment approach in which a single comprehensive payment covers all the care related to a treatment or condition regardless of the number of services provided</v>
      </c>
    </row>
    <row r="89">
      <c r="A89" s="1" t="s">
        <v>89</v>
      </c>
      <c r="B89" s="2" t="str">
        <f>IFERROR(__xludf.DUMMYFUNCTION("SPLIT(A89, "":"")"),"Primary Care Physician (PCP)")</f>
        <v>Primary Care Physician (PCP)</v>
      </c>
      <c r="C89" s="3" t="str">
        <f>IFERROR(__xludf.DUMMYFUNCTION("""COMPUTED_VALUE""")," A healthcare professional who provides first contact and continuing care for patients with undiagnosed signs symptoms or health concerns")</f>
        <v> A healthcare professional who provides first contact and continuing care for patients with undiagnosed signs symptoms or health concerns</v>
      </c>
    </row>
    <row r="90">
      <c r="A90" s="1" t="s">
        <v>90</v>
      </c>
      <c r="B90" s="2" t="str">
        <f>IFERROR(__xludf.DUMMYFUNCTION("SPLIT(A90, "":"")"),"Risk-Based Contracting")</f>
        <v>Risk-Based Contracting</v>
      </c>
      <c r="C90" s="3" t="str">
        <f>IFERROR(__xludf.DUMMYFUNCTION("""COMPUTED_VALUE""")," A healthcare contract where providers assume financial risk for the cost of services incentivizing them to manage care more efficiently")</f>
        <v> A healthcare contract where providers assume financial risk for the cost of services incentivizing them to manage care more efficiently</v>
      </c>
    </row>
    <row r="91">
      <c r="A91" s="1" t="s">
        <v>91</v>
      </c>
      <c r="B91" s="2" t="str">
        <f>IFERROR(__xludf.DUMMYFUNCTION("SPLIT(A91, "":"")"),"Stop-Loss Insurance")</f>
        <v>Stop-Loss Insurance</v>
      </c>
      <c r="C91" s="3" t="str">
        <f>IFERROR(__xludf.DUMMYFUNCTION("""COMPUTED_VALUE""")," Insurance that protects healthcare providers from the risk of exceptionally high costs associated with catastrophic care or high-cost patients")</f>
        <v> Insurance that protects healthcare providers from the risk of exceptionally high costs associated with catastrophic care or high-cost patients</v>
      </c>
    </row>
    <row r="92">
      <c r="A92" s="1" t="s">
        <v>92</v>
      </c>
      <c r="B92" s="2" t="str">
        <f>IFERROR(__xludf.DUMMYFUNCTION("SPLIT(A92, "":"")"),"Uncompensated Care")</f>
        <v>Uncompensated Care</v>
      </c>
      <c r="C92" s="3" t="str">
        <f>IFERROR(__xludf.DUMMYFUNCTION("""COMPUTED_VALUE""")," Healthcare services provided by hospitals or providers that are not paid for by the patient or an insurance company")</f>
        <v> Healthcare services provided by hospitals or providers that are not paid for by the patient or an insurance company</v>
      </c>
    </row>
    <row r="93">
      <c r="A93" s="1" t="s">
        <v>93</v>
      </c>
      <c r="B93" s="2" t="str">
        <f>IFERROR(__xludf.DUMMYFUNCTION("SPLIT(A93, "":"")"),"ACO")</f>
        <v>ACO</v>
      </c>
      <c r="C93" s="3" t="str">
        <f>IFERROR(__xludf.DUMMYFUNCTION("""COMPUTED_VALUE""")," Accountable Care Organization - A group of healthcare providers who come together voluntarily to provide coordinated high-quality care to their patients")</f>
        <v> Accountable Care Organization - A group of healthcare providers who come together voluntarily to provide coordinated high-quality care to their patients</v>
      </c>
    </row>
    <row r="94">
      <c r="A94" s="1" t="s">
        <v>94</v>
      </c>
      <c r="B94" s="2" t="str">
        <f>IFERROR(__xludf.DUMMYFUNCTION("SPLIT(A94, "":"")"),"ACA")</f>
        <v>ACA</v>
      </c>
      <c r="C94" s="3" t="str">
        <f>IFERROR(__xludf.DUMMYFUNCTION("""COMPUTED_VALUE""")," Affordable Care Act - A comprehensive healthcare reform law enacted in March 2010 (also known as 'Obamacare')")</f>
        <v> Affordable Care Act - A comprehensive healthcare reform law enacted in March 2010 (also known as 'Obamacare')</v>
      </c>
    </row>
    <row r="95">
      <c r="A95" s="1" t="s">
        <v>95</v>
      </c>
      <c r="B95" s="2" t="str">
        <f>IFERROR(__xludf.DUMMYFUNCTION("SPLIT(A95, "":"")"),"APM")</f>
        <v>APM</v>
      </c>
      <c r="C95" s="3" t="str">
        <f>IFERROR(__xludf.DUMMYFUNCTION("""COMPUTED_VALUE""")," Alternative Payment Model A payment approach that rewards providers for delivering high-quality cost-efficient care such as bundled payments or ACOs")</f>
        <v> Alternative Payment Model A payment approach that rewards providers for delivering high-quality cost-efficient care such as bundled payments or ACOs</v>
      </c>
    </row>
    <row r="96">
      <c r="A96" s="1" t="s">
        <v>96</v>
      </c>
      <c r="B96" s="2" t="str">
        <f>IFERROR(__xludf.DUMMYFUNCTION("SPLIT(A96, "":"")"),"CMS")</f>
        <v>CMS</v>
      </c>
      <c r="C96" s="3" t="str">
        <f>IFERROR(__xludf.DUMMYFUNCTION("""COMPUTED_VALUE""")," Centers for Medicare &amp; Medicaid Services - A federal agency that administers the nation's major healthcare programs including Medicare Medicaid and the Health Insurance Marketplace")</f>
        <v> Centers for Medicare &amp; Medicaid Services - A federal agency that administers the nation's major healthcare programs including Medicare Medicaid and the Health Insurance Marketplace</v>
      </c>
    </row>
    <row r="97">
      <c r="A97" s="1" t="s">
        <v>97</v>
      </c>
      <c r="B97" s="2" t="str">
        <f>IFERROR(__xludf.DUMMYFUNCTION("SPLIT(A97, "":"")"),"DRG")</f>
        <v>DRG</v>
      </c>
      <c r="C97" s="3" t="str">
        <f>IFERROR(__xludf.DUMMYFUNCTION("""COMPUTED_VALUE""")," Diagnosis-Related Group - A system to classify hospital cases into groups that are expected to have similar hospital resource use used as part of Medicare\u2019s inpatient payment system")</f>
        <v> Diagnosis-Related Group - A system to classify hospital cases into groups that are expected to have similar hospital resource use used as part of Medicare\u2019s inpatient payment system</v>
      </c>
    </row>
    <row r="98">
      <c r="A98" s="1" t="s">
        <v>98</v>
      </c>
      <c r="B98" s="2" t="str">
        <f>IFERROR(__xludf.DUMMYFUNCTION("SPLIT(A98, "":"")"),"FFS")</f>
        <v>FFS</v>
      </c>
      <c r="C98" s="3" t="str">
        <f>IFERROR(__xludf.DUMMYFUNCTION("""COMPUTED_VALUE""")," Fee-for-Service A traditional healthcare payment model where providers are paid for each service or treatment they deliver")</f>
        <v> Fee-for-Service A traditional healthcare payment model where providers are paid for each service or treatment they deliver</v>
      </c>
    </row>
    <row r="99">
      <c r="A99" s="1" t="s">
        <v>99</v>
      </c>
      <c r="B99" s="2" t="str">
        <f>IFERROR(__xludf.DUMMYFUNCTION("SPLIT(A99, "":"")"),"HMO")</f>
        <v>HMO</v>
      </c>
      <c r="C99" s="3" t="str">
        <f>IFERROR(__xludf.DUMMYFUNCTION("""COMPUTED_VALUE""")," Health Maintenance Organization A type of health insurance plan that requires members to use a network of healthcare providers and emphasizes preventive care")</f>
        <v> Health Maintenance Organization A type of health insurance plan that requires members to use a network of healthcare providers and emphasizes preventive care</v>
      </c>
    </row>
    <row r="100">
      <c r="A100" s="1" t="s">
        <v>100</v>
      </c>
      <c r="B100" s="2" t="str">
        <f>IFERROR(__xludf.DUMMYFUNCTION("SPLIT(A100, "":"")"),"IDS")</f>
        <v>IDS</v>
      </c>
      <c r="C100" s="3" t="str">
        <f>IFERROR(__xludf.DUMMYFUNCTION("""COMPUTED_VALUE""")," Integrated Delivery System A healthcare organization that offers a full range of healthcare services to patients through a single system often owned by a parent company")</f>
        <v> Integrated Delivery System A healthcare organization that offers a full range of healthcare services to patients through a single system often owned by a parent company</v>
      </c>
    </row>
    <row r="101">
      <c r="A101" s="1" t="s">
        <v>101</v>
      </c>
      <c r="B101" s="2" t="str">
        <f>IFERROR(__xludf.DUMMYFUNCTION("SPLIT(A101, "":"")"),"MA")</f>
        <v>MA</v>
      </c>
      <c r="C101" s="3" t="str">
        <f>IFERROR(__xludf.DUMMYFUNCTION("""COMPUTED_VALUE""")," Medicare Advantage A type of Medicare plan offered by private companies that contract with Medicare to provide all Part A and Part B benefits")</f>
        <v> Medicare Advantage A type of Medicare plan offered by private companies that contract with Medicare to provide all Part A and Part B benefits</v>
      </c>
    </row>
    <row r="102">
      <c r="A102" s="1" t="s">
        <v>102</v>
      </c>
      <c r="B102" s="2" t="str">
        <f>IFERROR(__xludf.DUMMYFUNCTION("SPLIT(A102, "":"")"),"MIPS")</f>
        <v>MIPS</v>
      </c>
      <c r="C102" s="3" t="str">
        <f>IFERROR(__xludf.DUMMYFUNCTION("""COMPUTED_VALUE""")," Merit-Based Incentive Payment System - A performance-based payment system for Medicare providers based on quality resource use clinical practice improvement and meaningful use of certified EHR technology")</f>
        <v> Merit-Based Incentive Payment System - A performance-based payment system for Medicare providers based on quality resource use clinical practice improvement and meaningful use of certified EHR technology</v>
      </c>
    </row>
    <row r="103">
      <c r="A103" s="1" t="s">
        <v>103</v>
      </c>
      <c r="B103" s="2" t="str">
        <f>IFERROR(__xludf.DUMMYFUNCTION("SPLIT(A103, "":"")"),"P4P")</f>
        <v>P4P</v>
      </c>
      <c r="C103" s="3" t="str">
        <f>IFERROR(__xludf.DUMMYFUNCTION("""COMPUTED_VALUE""")," Pay-for-Performance A reimbursement system where providers are rewarded based on meeting specific quality and efficiency goals")</f>
        <v> Pay-for-Performance A reimbursement system where providers are rewarded based on meeting specific quality and efficiency goals</v>
      </c>
    </row>
    <row r="104">
      <c r="A104" s="1" t="s">
        <v>104</v>
      </c>
      <c r="B104" s="2" t="str">
        <f>IFERROR(__xludf.DUMMYFUNCTION("SPLIT(A104, "":"")"),"PPO")</f>
        <v>PPO</v>
      </c>
      <c r="C104" s="3" t="str">
        <f>IFERROR(__xludf.DUMMYFUNCTION("""COMPUTED_VALUE""")," Preferred Provider Organization A health insurance plan that offers flexibility in choosing healthcare providers and allows patients to see specialists without referrals")</f>
        <v> Preferred Provider Organization A health insurance plan that offers flexibility in choosing healthcare providers and allows patients to see specialists without referrals</v>
      </c>
    </row>
    <row r="105">
      <c r="A105" s="1" t="s">
        <v>105</v>
      </c>
      <c r="B105" s="2" t="str">
        <f>IFERROR(__xludf.DUMMYFUNCTION("SPLIT(A105, "":"")"),"QPP")</f>
        <v>QPP</v>
      </c>
      <c r="C105" s="3" t="str">
        <f>IFERROR(__xludf.DUMMYFUNCTION("""COMPUTED_VALUE""")," Quality Payment Program - Medicare\u2019s program to reward value and outcomes established under MACRA")</f>
        <v> Quality Payment Program - Medicare\u2019s program to reward value and outcomes established under MACRA</v>
      </c>
    </row>
    <row r="106">
      <c r="A106" s="1" t="s">
        <v>106</v>
      </c>
      <c r="B106" s="2" t="str">
        <f>IFERROR(__xludf.DUMMYFUNCTION("SPLIT(A106, "":"")"),"SDOH")</f>
        <v>SDOH</v>
      </c>
      <c r="C106" s="3" t="str">
        <f>IFERROR(__xludf.DUMMYFUNCTION("""COMPUTED_VALUE""")," Social Determinants of Health - Non-medical factors that influence health outcomes such as housing education and employment")</f>
        <v> Social Determinants of Health - Non-medical factors that influence health outcomes such as housing education and employment</v>
      </c>
    </row>
    <row r="107">
      <c r="A107" s="1" t="s">
        <v>107</v>
      </c>
      <c r="B107" s="2" t="str">
        <f>IFERROR(__xludf.DUMMYFUNCTION("SPLIT(A107, "":"")"),"VBC")</f>
        <v>VBC</v>
      </c>
      <c r="C107" s="3" t="str">
        <f>IFERROR(__xludf.DUMMYFUNCTION("""COMPUTED_VALUE""")," Value-Based Care A healthcare delivery model in which providers are reimbursed based on patient outcomes and the value of care provided rather than volume of services")</f>
        <v> Value-Based Care A healthcare delivery model in which providers are reimbursed based on patient outcomes and the value of care provided rather than volume of services</v>
      </c>
    </row>
    <row r="108">
      <c r="A108" s="1" t="s">
        <v>108</v>
      </c>
      <c r="B108" s="2" t="str">
        <f>IFERROR(__xludf.DUMMYFUNCTION("SPLIT(A108, "":"")"),"CCM")</f>
        <v>CCM</v>
      </c>
      <c r="C108" s="3" t="str">
        <f>IFERROR(__xludf.DUMMYFUNCTION("""COMPUTED_VALUE""")," Chronic Care Management A service provided to patients with chronic conditions to manage their care and prevent hospitalizations")</f>
        <v> Chronic Care Management A service provided to patients with chronic conditions to manage their care and prevent hospitalizations</v>
      </c>
    </row>
    <row r="109">
      <c r="A109" s="1" t="s">
        <v>109</v>
      </c>
      <c r="B109" s="2" t="str">
        <f>IFERROR(__xludf.DUMMYFUNCTION("SPLIT(A109, "":"")"),"EHR")</f>
        <v>EHR</v>
      </c>
      <c r="C109" s="3" t="str">
        <f>IFERROR(__xludf.DUMMYFUNCTION("""COMPUTED_VALUE""")," Electronic Health Record - A digital version of a patient\u2019s paper chart making information available instantly and securely to authorized users")</f>
        <v> Electronic Health Record - A digital version of a patient\u2019s paper chart making information available instantly and securely to authorized users</v>
      </c>
    </row>
    <row r="110">
      <c r="A110" s="1" t="s">
        <v>110</v>
      </c>
      <c r="B110" s="2" t="str">
        <f>IFERROR(__xludf.DUMMYFUNCTION("SPLIT(A110, "":"")"),"HSA")</f>
        <v>HSA</v>
      </c>
      <c r="C110" s="3" t="str">
        <f>IFERROR(__xludf.DUMMYFUNCTION("""COMPUTED_VALUE""")," Health Service Area - A geographical area defined for the purposes of planning and delivering healthcare services")</f>
        <v> Health Service Area - A geographical area defined for the purposes of planning and delivering healthcare services</v>
      </c>
    </row>
    <row r="111">
      <c r="A111" s="1" t="s">
        <v>111</v>
      </c>
      <c r="B111" s="2" t="str">
        <f>IFERROR(__xludf.DUMMYFUNCTION("SPLIT(A111, "":"")"),"IPA")</f>
        <v>IPA</v>
      </c>
      <c r="C111" s="3" t="str">
        <f>IFERROR(__xludf.DUMMYFUNCTION("""COMPUTED_VALUE""")," Independent Practice Association An organization of independent physicians that contracts with managed care organizations to provide healthcare services")</f>
        <v> Independent Practice Association An organization of independent physicians that contracts with managed care organizations to provide healthcare services</v>
      </c>
    </row>
    <row r="112">
      <c r="A112" s="1" t="s">
        <v>112</v>
      </c>
      <c r="B112" s="2" t="str">
        <f>IFERROR(__xludf.DUMMYFUNCTION("SPLIT(A112, "":"")"),"PCMH")</f>
        <v>PCMH</v>
      </c>
      <c r="C112" s="3" t="str">
        <f>IFERROR(__xludf.DUMMYFUNCTION("""COMPUTED_VALUE""")," Patient-Centered Medical Home - A model of care that focuses on coordination and communication to transform primary care into 'what patients want it to be'")</f>
        <v> Patient-Centered Medical Home - A model of care that focuses on coordination and communication to transform primary care into 'what patients want it to be'</v>
      </c>
    </row>
    <row r="113">
      <c r="A113" s="1" t="s">
        <v>113</v>
      </c>
      <c r="B113" s="2" t="str">
        <f>IFERROR(__xludf.DUMMYFUNCTION("SPLIT(A113, "":"")"),"QALY")</f>
        <v>QALY</v>
      </c>
      <c r="C113" s="3" t="str">
        <f>IFERROR(__xludf.DUMMYFUNCTION("""COMPUTED_VALUE""")," Quality-Adjusted Life Year A measure of the value of health outcomes used to assess the cost-effectiveness of medical interventions")</f>
        <v> Quality-Adjusted Life Year A measure of the value of health outcomes used to assess the cost-effectiveness of medical interventions</v>
      </c>
    </row>
    <row r="114">
      <c r="A114" s="1" t="s">
        <v>114</v>
      </c>
      <c r="B114" s="2" t="str">
        <f>IFERROR(__xludf.DUMMYFUNCTION("SPLIT(A114, "":"")"),"HIT")</f>
        <v>HIT</v>
      </c>
      <c r="C114" s="3" t="str">
        <f>IFERROR(__xludf.DUMMYFUNCTION("""COMPUTED_VALUE""")," Health Information Technology - The application of information processing involving both computer hardware and software that deals with the storage retrieval sharing and use of health care information")</f>
        <v> Health Information Technology - The application of information processing involving both computer hardware and software that deals with the storage retrieval sharing and use of health care information</v>
      </c>
    </row>
    <row r="115">
      <c r="A115" s="1" t="s">
        <v>115</v>
      </c>
      <c r="B115" s="2" t="str">
        <f>IFERROR(__xludf.DUMMYFUNCTION("SPLIT(A115, "":"")"),"EMR")</f>
        <v>EMR</v>
      </c>
      <c r="C115" s="3" t="str">
        <f>IFERROR(__xludf.DUMMYFUNCTION("""COMPUTED_VALUE""")," Electronic Medical Record - A digital record of health information maintained by a single healthcare provider")</f>
        <v> Electronic Medical Record - A digital record of health information maintained by a single healthcare provider</v>
      </c>
    </row>
    <row r="116">
      <c r="A116" s="1" t="s">
        <v>116</v>
      </c>
      <c r="B116" s="2" t="str">
        <f>IFERROR(__xludf.DUMMYFUNCTION("SPLIT(A116, "":"")"),"HDHP")</f>
        <v>HDHP</v>
      </c>
      <c r="C116" s="3" t="str">
        <f>IFERROR(__xludf.DUMMYFUNCTION("""COMPUTED_VALUE""")," High-Deductible Health Plan A health insurance plan with lower premiums and higher deductibles often used with a health savings account (HSA)")</f>
        <v> High-Deductible Health Plan A health insurance plan with lower premiums and higher deductibles often used with a health savings account (HSA)</v>
      </c>
    </row>
    <row r="117">
      <c r="A117" s="1" t="s">
        <v>117</v>
      </c>
      <c r="B117" s="2" t="str">
        <f>IFERROR(__xludf.DUMMYFUNCTION("SPLIT(A117, "":"")"),"PMPM")</f>
        <v>PMPM</v>
      </c>
      <c r="C117" s="3" t="str">
        <f>IFERROR(__xludf.DUMMYFUNCTION("""COMPUTED_VALUE""")," Per Member Per Month - The amount of revenue or cost attributed to each member of a health plan on a monthly basis")</f>
        <v> Per Member Per Month - The amount of revenue or cost attributed to each member of a health plan on a monthly basis</v>
      </c>
    </row>
    <row r="118">
      <c r="A118" s="1" t="s">
        <v>118</v>
      </c>
      <c r="B118" s="2" t="str">
        <f>IFERROR(__xludf.DUMMYFUNCTION("SPLIT(A118, "":"")"),"SDC")</f>
        <v>SDC</v>
      </c>
      <c r="C118" s="3" t="str">
        <f>IFERROR(__xludf.DUMMYFUNCTION("""COMPUTED_VALUE""")," Skilled Nursing Facility A healthcare facility providing inpatient skilled nursing care rehabilitation and related services")</f>
        <v> Skilled Nursing Facility A healthcare facility providing inpatient skilled nursing care rehabilitation and related services</v>
      </c>
    </row>
    <row r="119">
      <c r="A119" s="1" t="s">
        <v>119</v>
      </c>
      <c r="B119" s="2" t="str">
        <f>IFERROR(__xludf.DUMMYFUNCTION("SPLIT(A119, "":"")"),"SDoH")</f>
        <v>SDoH</v>
      </c>
      <c r="C119" s="3" t="str">
        <f>IFERROR(__xludf.DUMMYFUNCTION("""COMPUTED_VALUE""")," Social Determinants of Health The conditions in the environment where people live learn work and play that affect a wide range of health and quality-of-life outcomes")</f>
        <v> Social Determinants of Health The conditions in the environment where people live learn work and play that affect a wide range of health and quality-of-life outcomes</v>
      </c>
    </row>
    <row r="120">
      <c r="A120" s="1" t="s">
        <v>120</v>
      </c>
      <c r="B120" s="2" t="str">
        <f>IFERROR(__xludf.DUMMYFUNCTION("SPLIT(A120, "":"")"),"UCR")</f>
        <v>UCR</v>
      </c>
      <c r="C120" s="3" t="str">
        <f>IFERROR(__xludf.DUMMYFUNCTION("""COMPUTED_VALUE""")," Usual Customary and Reasonable The standard fee charged by healthcare providers for a specific service in a given geographic area")</f>
        <v> Usual Customary and Reasonable The standard fee charged by healthcare providers for a specific service in a given geographic area</v>
      </c>
    </row>
    <row r="121">
      <c r="A121" s="1" t="s">
        <v>121</v>
      </c>
      <c r="B121" s="2" t="str">
        <f>IFERROR(__xludf.DUMMYFUNCTION("SPLIT(A121, "":"")"),"VBP")</f>
        <v>VBP</v>
      </c>
      <c r="C121" s="3" t="str">
        <f>IFERROR(__xludf.DUMMYFUNCTION("""COMPUTED_VALUE""")," Value-Based Purchasing - A strategy used by buyers to promote quality and value in healthcare by reimbursing providers based on patient outcomes")</f>
        <v> Value-Based Purchasing - A strategy used by buyers to promote quality and value in healthcare by reimbursing providers based on patient outcomes</v>
      </c>
    </row>
    <row r="122">
      <c r="A122" s="1" t="s">
        <v>122</v>
      </c>
      <c r="B122" s="2" t="str">
        <f>IFERROR(__xludf.DUMMYFUNCTION("SPLIT(A122, "":"")"),"HIE")</f>
        <v>HIE</v>
      </c>
      <c r="C122" s="3" t="str">
        <f>IFERROR(__xludf.DUMMYFUNCTION("""COMPUTED_VALUE""")," Health Information Exchange - The electronic sharing of health-related information among organizations according to nationally recognized standards")</f>
        <v> Health Information Exchange - The electronic sharing of health-related information among organizations according to nationally recognized standards</v>
      </c>
    </row>
    <row r="123">
      <c r="A123" s="1" t="s">
        <v>123</v>
      </c>
      <c r="B123" s="2" t="str">
        <f>IFERROR(__xludf.DUMMYFUNCTION("SPLIT(A123, "":"")"),"Population Health")</f>
        <v>Population Health</v>
      </c>
      <c r="C123" s="3" t="str">
        <f>IFERROR(__xludf.DUMMYFUNCTION("""COMPUTED_VALUE""")," An approach that aims to improve the health of an entire population by addressing a wide range of factors that influence health")</f>
        <v> An approach that aims to improve the health of an entire population by addressing a wide range of factors that influence health</v>
      </c>
    </row>
    <row r="124">
      <c r="A124" s="1" t="s">
        <v>124</v>
      </c>
      <c r="B124" s="2" t="str">
        <f>IFERROR(__xludf.DUMMYFUNCTION("SPLIT(A124, "":"")"),"MACRA")</f>
        <v>MACRA</v>
      </c>
      <c r="C124" s="3" t="str">
        <f>IFERROR(__xludf.DUMMYFUNCTION("""COMPUTED_VALUE""")," Medicare Access and CHIP Reauthorization Act - Legislation that created new quality payment programs like the Merit-Based Incentive Payment System (MIPS)")</f>
        <v> Medicare Access and CHIP Reauthorization Act - Legislation that created new quality payment programs like the Merit-Based Incentive Payment System (MIPS)</v>
      </c>
    </row>
    <row r="125">
      <c r="A125" s="1" t="s">
        <v>125</v>
      </c>
      <c r="B125" s="2" t="str">
        <f>IFERROR(__xludf.DUMMYFUNCTION("SPLIT(A125, "":"")"),"ACO Shared Savings Program")</f>
        <v>ACO Shared Savings Program</v>
      </c>
      <c r="C125" s="3" t="str">
        <f>IFERROR(__xludf.DUMMYFUNCTION("""COMPUTED_VALUE""")," A voluntary program that encourages groups of doctors hospitals and other healthcare providers to come together and give coordinated high-quality care to their Medicare patients")</f>
        <v> A voluntary program that encourages groups of doctors hospitals and other healthcare providers to come together and give coordinated high-quality care to their Medicare patients</v>
      </c>
    </row>
    <row r="126">
      <c r="A126" s="1" t="s">
        <v>126</v>
      </c>
      <c r="B126" s="2" t="str">
        <f>IFERROR(__xludf.DUMMYFUNCTION("SPLIT(A126, "":"")"),"Bundled Payments")</f>
        <v>Bundled Payments</v>
      </c>
      <c r="C126" s="3" t="str">
        <f>IFERROR(__xludf.DUMMYFUNCTION("""COMPUTED_VALUE""")," A payment method in which payments for multiple services during an episode of care are combined into a single bundle")</f>
        <v> A payment method in which payments for multiple services during an episode of care are combined into a single bundle</v>
      </c>
    </row>
    <row r="127">
      <c r="A127" s="1" t="s">
        <v>127</v>
      </c>
      <c r="B127" s="2" t="str">
        <f>IFERROR(__xludf.DUMMYFUNCTION("SPLIT(A127, "":"")"),"MS-DRG")</f>
        <v>MS-DRG</v>
      </c>
      <c r="C127" s="3" t="str">
        <f>IFERROR(__xludf.DUMMYFUNCTION("""COMPUTED_VALUE""")," Medicare Severity Diagnosis Related Group - A refinement of DRG used to account for the severity of patient conditions")</f>
        <v> Medicare Severity Diagnosis Related Group - A refinement of DRG used to account for the severity of patient conditions</v>
      </c>
    </row>
    <row r="128">
      <c r="A128" s="1" t="s">
        <v>128</v>
      </c>
      <c r="B128" s="2" t="str">
        <f>IFERROR(__xludf.DUMMYFUNCTION("SPLIT(A128, "":"")"),"RVU")</f>
        <v>RVU</v>
      </c>
      <c r="C128" s="3" t="str">
        <f>IFERROR(__xludf.DUMMYFUNCTION("""COMPUTED_VALUE""")," Relative Value Unit - A measure used in determining reimbursement levels for healthcare services")</f>
        <v> Relative Value Unit - A measure used in determining reimbursement levels for healthcare services</v>
      </c>
    </row>
    <row r="129">
      <c r="A129" s="1" t="s">
        <v>129</v>
      </c>
      <c r="B129" s="2" t="str">
        <f>IFERROR(__xludf.DUMMYFUNCTION("SPLIT(A129, "":"")"),"Reinsurance")</f>
        <v>Reinsurance</v>
      </c>
      <c r="C129" s="3" t="str">
        <f>IFERROR(__xludf.DUMMYFUNCTION("""COMPUTED_VALUE""")," A program that helps to stabilize premiums in the individual health insurance market by reimbursing insurers for high-cost claims")</f>
        <v> A program that helps to stabilize premiums in the individual health insurance market by reimbursing insurers for high-cost claims</v>
      </c>
    </row>
    <row r="130">
      <c r="A130" s="1" t="s">
        <v>130</v>
      </c>
      <c r="B130" s="2" t="str">
        <f>IFERROR(__xludf.DUMMYFUNCTION("SPLIT(A130, "":"")"),"DSH Payments")</f>
        <v>DSH Payments</v>
      </c>
      <c r="C130" s="3" t="str">
        <f>IFERROR(__xludf.DUMMYFUNCTION("""COMPUTED_VALUE""")," Disproportionate Share Hospital Payments - Additional payments given to hospitals that treat a large number of low-income patients under Medicare and Medicaid")</f>
        <v> Disproportionate Share Hospital Payments - Additional payments given to hospitals that treat a large number of low-income patients under Medicare and Medicaid</v>
      </c>
    </row>
    <row r="131">
      <c r="A131" s="1" t="s">
        <v>131</v>
      </c>
      <c r="B131" s="2" t="str">
        <f>IFERROR(__xludf.DUMMYFUNCTION("SPLIT(A131, "":"")"),"Medicare Advantage")</f>
        <v>Medicare Advantage</v>
      </c>
      <c r="C131" s="3" t="str">
        <f>IFERROR(__xludf.DUMMYFUNCTION("""COMPUTED_VALUE""")," A type of Medicare health plan offered by private companies that contract with Medicare to provide Part A and Part B benefits")</f>
        <v> A type of Medicare health plan offered by private companies that contract with Medicare to provide Part A and Part B benefits</v>
      </c>
    </row>
    <row r="132">
      <c r="A132" s="1" t="s">
        <v>132</v>
      </c>
      <c r="B132" s="2" t="str">
        <f>IFERROR(__xludf.DUMMYFUNCTION("SPLIT(A132, "":"")"),"CHIP")</f>
        <v>CHIP</v>
      </c>
      <c r="C132" s="3" t="str">
        <f>IFERROR(__xludf.DUMMYFUNCTION("""COMPUTED_VALUE""")," Children\u2019s Health Insurance Program - A program administered by the United States government that provides matching funds to states for health insurance to families with children")</f>
        <v> Children\u2019s Health Insurance Program - A program administered by the United States government that provides matching funds to states for health insurance to families with children</v>
      </c>
    </row>
    <row r="133">
      <c r="A133" s="1" t="s">
        <v>133</v>
      </c>
      <c r="B133" s="2" t="str">
        <f>IFERROR(__xludf.DUMMYFUNCTION("SPLIT(A133, "":"")"),"CMMI")</f>
        <v>CMMI</v>
      </c>
      <c r="C133" s="3" t="str">
        <f>IFERROR(__xludf.DUMMYFUNCTION("""COMPUTED_VALUE""")," Center for Medicare &amp; Medicaid Innovation - A department within CMS tasked with testing innovative payment and service delivery models to reduce costs and improve care quality")</f>
        <v> Center for Medicare &amp; Medicaid Innovation - A department within CMS tasked with testing innovative payment and service delivery models to reduce costs and improve care quality</v>
      </c>
    </row>
    <row r="134">
      <c r="A134" s="1" t="s">
        <v>134</v>
      </c>
      <c r="B134" s="2" t="str">
        <f>IFERROR(__xludf.DUMMYFUNCTION("SPLIT(A134, "":"")"),"Cures Act")</f>
        <v>Cures Act</v>
      </c>
      <c r="C134" s="3" t="str">
        <f>IFERROR(__xludf.DUMMYFUNCTION("""COMPUTED_VALUE""")," A law passed in 2016 to accelerate medical product development streamline approvals and increase patient access to medical innovations and data")</f>
        <v> A law passed in 2016 to accelerate medical product development streamline approvals and increase patient access to medical innovations and data</v>
      </c>
    </row>
    <row r="135">
      <c r="A135" s="1" t="s">
        <v>135</v>
      </c>
      <c r="B135" s="2" t="str">
        <f>IFERROR(__xludf.DUMMYFUNCTION("SPLIT(A135, "":"")"),"Information Blocking")</f>
        <v>Information Blocking</v>
      </c>
      <c r="C135" s="3" t="str">
        <f>IFERROR(__xludf.DUMMYFUNCTION("""COMPUTED_VALUE""")," A practice prohibited by the Cures Act that prevents or interferes with the access exchange or use of electronic health information")</f>
        <v> A practice prohibited by the Cures Act that prevents or interferes with the access exchange or use of electronic health information</v>
      </c>
    </row>
    <row r="136">
      <c r="A136" s="1" t="s">
        <v>136</v>
      </c>
      <c r="B136" s="2" t="str">
        <f>IFERROR(__xludf.DUMMYFUNCTION("SPLIT(A136, "":"")"),"TEFCA")</f>
        <v>TEFCA</v>
      </c>
      <c r="C136" s="3" t="str">
        <f>IFERROR(__xludf.DUMMYFUNCTION("""COMPUTED_VALUE""")," Trusted Exchange Framework and Common Agreement - A set of policies procedures and standards to enable nationwide interoperability of health information")</f>
        <v> Trusted Exchange Framework and Common Agreement - A set of policies procedures and standards to enable nationwide interoperability of health information</v>
      </c>
    </row>
    <row r="137">
      <c r="A137" s="1" t="s">
        <v>137</v>
      </c>
      <c r="B137" s="2" t="str">
        <f>IFERROR(__xludf.DUMMYFUNCTION("SPLIT(A137, "":"")"),"ACO-REACH")</f>
        <v>ACO-REACH</v>
      </c>
      <c r="C137" s="3" t="str">
        <f>IFERROR(__xludf.DUMMYFUNCTION("""COMPUTED_VALUE""")," The ACO Realizing Equity Access and Community Health (ACO-REACH) model aims to make healthcare more equitable through enhanced risk-sharing arrangements")</f>
        <v> The ACO Realizing Equity Access and Community Health (ACO-REACH) model aims to make healthcare more equitable through enhanced risk-sharing arrangements</v>
      </c>
    </row>
    <row r="138">
      <c r="A138" s="1" t="s">
        <v>138</v>
      </c>
      <c r="B138" s="2" t="str">
        <f>IFERROR(__xludf.DUMMYFUNCTION("SPLIT(A138, "":"")"),"Value-Based Payment")</f>
        <v>Value-Based Payment</v>
      </c>
      <c r="C138" s="3" t="str">
        <f>IFERROR(__xludf.DUMMYFUNCTION("""COMPUTED_VALUE""")," A reimbursement model that incentivizes healthcare providers for providing high-quality care and improving patient outcomes")</f>
        <v> A reimbursement model that incentivizes healthcare providers for providing high-quality care and improving patient outcomes</v>
      </c>
    </row>
    <row r="139">
      <c r="A139" s="1" t="s">
        <v>139</v>
      </c>
      <c r="B139" s="2" t="str">
        <f>IFERROR(__xludf.DUMMYFUNCTION("SPLIT(A139, "":"")"),"FQHC")</f>
        <v>FQHC</v>
      </c>
      <c r="C139" s="3" t="str">
        <f>IFERROR(__xludf.DUMMYFUNCTION("""COMPUTED_VALUE""")," Federally Qualified Health Center - Community-based health care providers that receive funds from the HRSA to provide primary care services in underserved areas")</f>
        <v> Federally Qualified Health Center - Community-based health care providers that receive funds from the HRSA to provide primary care services in underserved areas</v>
      </c>
    </row>
    <row r="140">
      <c r="A140" s="1" t="s">
        <v>140</v>
      </c>
      <c r="B140" s="2" t="str">
        <f>IFERROR(__xludf.DUMMYFUNCTION("SPLIT(A140, "":"")"),"Act 167")</f>
        <v>Act 167</v>
      </c>
      <c r="C140" s="3" t="str">
        <f>IFERROR(__xludf.DUMMYFUNCTION("""COMPUTED_VALUE""")," Legislation passed by the Vermont Legislature in 2022 to investigate healthcare system sustainability and hospital financial health")</f>
        <v> Legislation passed by the Vermont Legislature in 2022 to investigate healthcare system sustainability and hospital financial health</v>
      </c>
    </row>
    <row r="141">
      <c r="A141" s="1" t="s">
        <v>141</v>
      </c>
      <c r="B141" s="2" t="str">
        <f>IFERROR(__xludf.DUMMYFUNCTION("SPLIT(A141, "":"")"),"HL7")</f>
        <v>HL7</v>
      </c>
      <c r="C141" s="3" t="str">
        <f>IFERROR(__xludf.DUMMYFUNCTION("""COMPUTED_VALUE""")," Health Level 7 - A set of international standards for the exchange integration sharing and retrieval of electronic health information")</f>
        <v> Health Level 7 - A set of international standards for the exchange integration sharing and retrieval of electronic health information</v>
      </c>
    </row>
    <row r="142">
      <c r="A142" s="1" t="s">
        <v>142</v>
      </c>
      <c r="B142" s="2" t="str">
        <f>IFERROR(__xludf.DUMMYFUNCTION("SPLIT(A142, "":"")"),"HL7 FHIR")</f>
        <v>HL7 FHIR</v>
      </c>
      <c r="C142" s="3" t="str">
        <f>IFERROR(__xludf.DUMMYFUNCTION("""COMPUTED_VALUE""")," Fast Healthcare Interoperability Resources - A modern HL7 standard for healthcare data exchange combining the best of HL7 V2 V3 and CDA while focusing on ease of implementation through web technologies")</f>
        <v> Fast Healthcare Interoperability Resources - A modern HL7 standard for healthcare data exchange combining the best of HL7 V2 V3 and CDA while focusing on ease of implementation through web technologies</v>
      </c>
    </row>
    <row r="143">
      <c r="A143" s="1" t="s">
        <v>143</v>
      </c>
      <c r="B143" s="2" t="str">
        <f>IFERROR(__xludf.DUMMYFUNCTION("SPLIT(A143, "":"")"),"HL7 CDA")</f>
        <v>HL7 CDA</v>
      </c>
      <c r="C143" s="3" t="str">
        <f>IFERROR(__xludf.DUMMYFUNCTION("""COMPUTED_VALUE""")," Clinical Document Architecture - An HL7 standard that defines the structure of certain medical records such as discharge summaries and is designed to improve interoperability")</f>
        <v> Clinical Document Architecture - An HL7 standard that defines the structure of certain medical records such as discharge summaries and is designed to improve interoperability</v>
      </c>
    </row>
    <row r="144">
      <c r="A144" s="1" t="s">
        <v>144</v>
      </c>
      <c r="B144" s="2" t="str">
        <f>IFERROR(__xludf.DUMMYFUNCTION("SPLIT(A144, "":"")"),"HL7 ADT")</f>
        <v>HL7 ADT</v>
      </c>
      <c r="C144" s="3" t="str">
        <f>IFERROR(__xludf.DUMMYFUNCTION("""COMPUTED_VALUE""")," Admission Discharge and Transfer - A type of HL7 message that communicates patient administrative information such as admissions and discharges")</f>
        <v> Admission Discharge and Transfer - A type of HL7 message that communicates patient administrative information such as admissions and discharges</v>
      </c>
    </row>
    <row r="145">
      <c r="A145" s="1" t="s">
        <v>145</v>
      </c>
      <c r="B145" s="2" t="str">
        <f>IFERROR(__xludf.DUMMYFUNCTION("SPLIT(A145, "":"")"),"HL7 ORM")</f>
        <v>HL7 ORM</v>
      </c>
      <c r="C145" s="3" t="str">
        <f>IFERROR(__xludf.DUMMYFUNCTION("""COMPUTED_VALUE""")," Order Entry - A type of HL7 message used to send orders from clinical settings such as laboratory radiology or pharmacy orders")</f>
        <v> Order Entry - A type of HL7 message used to send orders from clinical settings such as laboratory radiology or pharmacy orders</v>
      </c>
    </row>
    <row r="146">
      <c r="A146" s="1" t="s">
        <v>146</v>
      </c>
      <c r="B146" s="2" t="str">
        <f>IFERROR(__xludf.DUMMYFUNCTION("SPLIT(A146, "":"")"),"HL7 ORU")</f>
        <v>HL7 ORU</v>
      </c>
      <c r="C146" s="3" t="str">
        <f>IFERROR(__xludf.DUMMYFUNCTION("""COMPUTED_VALUE""")," Observation Result - A message format used to transmit observation reports such as lab results radiology reports and more")</f>
        <v> Observation Result - A message format used to transmit observation reports such as lab results radiology reports and more</v>
      </c>
    </row>
    <row r="147">
      <c r="A147" s="1" t="s">
        <v>147</v>
      </c>
      <c r="B147" s="2" t="str">
        <f>IFERROR(__xludf.DUMMYFUNCTION("SPLIT(A147, "":"")"),"HL7 DFT")</f>
        <v>HL7 DFT</v>
      </c>
      <c r="C147" s="3" t="str">
        <f>IFERROR(__xludf.DUMMYFUNCTION("""COMPUTED_VALUE""")," Detailed Financial Transactions - HL7 message type used for billing-related information")</f>
        <v> Detailed Financial Transactions - HL7 message type used for billing-related information</v>
      </c>
    </row>
    <row r="148">
      <c r="A148" s="1" t="s">
        <v>148</v>
      </c>
      <c r="B148" s="2" t="str">
        <f>IFERROR(__xludf.DUMMYFUNCTION("SPLIT(A148, "":"")"),"HL7 SIU")</f>
        <v>HL7 SIU</v>
      </c>
      <c r="C148" s="3" t="str">
        <f>IFERROR(__xludf.DUMMYFUNCTION("""COMPUTED_VALUE""")," Scheduling Information Unsolicited - A message type for managing and exchanging scheduling information for appointments")</f>
        <v> Scheduling Information Unsolicited - A message type for managing and exchanging scheduling information for appointments</v>
      </c>
    </row>
    <row r="149">
      <c r="A149" s="1" t="s">
        <v>149</v>
      </c>
      <c r="B149" s="2" t="str">
        <f>IFERROR(__xludf.DUMMYFUNCTION("SPLIT(A149, "":"")"),"FHIR Resource")</f>
        <v>FHIR Resource</v>
      </c>
      <c r="C149" s="3" t="str">
        <f>IFERROR(__xludf.DUMMYFUNCTION("""COMPUTED_VALUE""")," A modular component used in FHIR to represent various types of healthcare data (eg Patient Observation Medication)")</f>
        <v> A modular component used in FHIR to represent various types of healthcare data (eg Patient Observation Medication)</v>
      </c>
    </row>
    <row r="150">
      <c r="A150" s="1" t="s">
        <v>150</v>
      </c>
      <c r="B150" s="2" t="str">
        <f>IFERROR(__xludf.DUMMYFUNCTION("SPLIT(A150, "":"")"),"FHIR RESTful API")</f>
        <v>FHIR RESTful API</v>
      </c>
      <c r="C150" s="3" t="str">
        <f>IFERROR(__xludf.DUMMYFUNCTION("""COMPUTED_VALUE""")," An API framework in FHIR that uses standard web technologies (HTTP REST) to allow seamless integration and data exchange between healthcare systems")</f>
        <v> An API framework in FHIR that uses standard web technologies (HTTP REST) to allow seamless integration and data exchange between healthcare systems</v>
      </c>
    </row>
    <row r="151">
      <c r="A151" s="1" t="s">
        <v>151</v>
      </c>
      <c r="B151" s="2" t="str">
        <f>IFERROR(__xludf.DUMMYFUNCTION("SPLIT(A151, "":"")"),"FHIR Bundle")</f>
        <v>FHIR Bundle</v>
      </c>
      <c r="C151" s="3" t="str">
        <f>IFERROR(__xludf.DUMMYFUNCTION("""COMPUTED_VALUE""")," A collection of resources returned in a single package often in response to a query or a batch update")</f>
        <v> A collection of resources returned in a single package often in response to a query or a batch update</v>
      </c>
    </row>
    <row r="152">
      <c r="A152" s="1" t="s">
        <v>152</v>
      </c>
      <c r="B152" s="2" t="str">
        <f>IFERROR(__xludf.DUMMYFUNCTION("SPLIT(A152, "":"")"),"FHIR Server")</f>
        <v>FHIR Server</v>
      </c>
      <c r="C152" s="3" t="str">
        <f>IFERROR(__xludf.DUMMYFUNCTION("""COMPUTED_VALUE""")," A backend system that stores and serves healthcare data in FHIR format allowing clients to query or update data via FHIR APIs")</f>
        <v> A backend system that stores and serves healthcare data in FHIR format allowing clients to query or update data via FHIR APIs</v>
      </c>
    </row>
    <row r="153">
      <c r="A153" s="1" t="s">
        <v>153</v>
      </c>
      <c r="B153" s="2" t="str">
        <f>IFERROR(__xludf.DUMMYFUNCTION("SPLIT(A153, "":"")"),"FHIR Endpoint")</f>
        <v>FHIR Endpoint</v>
      </c>
      <c r="C153" s="3" t="str">
        <f>IFERROR(__xludf.DUMMYFUNCTION("""COMPUTED_VALUE""")," A specific URL at which FHIR resources can be accessed or updated typically as part of a REST API call")</f>
        <v> A specific URL at which FHIR resources can be accessed or updated typically as part of a REST API call</v>
      </c>
    </row>
    <row r="154">
      <c r="A154" s="1" t="s">
        <v>154</v>
      </c>
      <c r="B154" s="2" t="str">
        <f>IFERROR(__xludf.DUMMYFUNCTION("SPLIT(A154, "":"")"),"FHIR Profile")</f>
        <v>FHIR Profile</v>
      </c>
      <c r="C154" s="3" t="str">
        <f>IFERROR(__xludf.DUMMYFUNCTION("""COMPUTED_VALUE""")," A customized set of constraints applied to FHIR resources to meet the specific needs of a healthcare organization or a use case")</f>
        <v> A customized set of constraints applied to FHIR resources to meet the specific needs of a healthcare organization or a use case</v>
      </c>
    </row>
    <row r="155">
      <c r="A155" s="1" t="s">
        <v>155</v>
      </c>
      <c r="B155" s="2" t="str">
        <f>IFERROR(__xludf.DUMMYFUNCTION("SPLIT(A155, "":"")"),"SMART on FHIR")</f>
        <v>SMART on FHIR</v>
      </c>
      <c r="C155" s="3" t="str">
        <f>IFERROR(__xludf.DUMMYFUNCTION("""COMPUTED_VALUE""")," A set of open specifications to integrate healthcare apps with electronic health records (EHRs) using FHIR standards")</f>
        <v> A set of open specifications to integrate healthcare apps with electronic health records (EHRs) using FHIR standards</v>
      </c>
    </row>
    <row r="156">
      <c r="A156" s="1" t="s">
        <v>156</v>
      </c>
      <c r="B156" s="2" t="str">
        <f>IFERROR(__xludf.DUMMYFUNCTION("SPLIT(A156, "":"")"),"CDSS")</f>
        <v>CDSS</v>
      </c>
      <c r="C156" s="3" t="str">
        <f>IFERROR(__xludf.DUMMYFUNCTION("""COMPUTED_VALUE""")," Clinical Decision Support System - A health IT system designed to assist providers in making clinical decisions by analyzing data within EHRs")</f>
        <v> Clinical Decision Support System - A health IT system designed to assist providers in making clinical decisions by analyzing data within EHRs</v>
      </c>
    </row>
    <row r="157">
      <c r="A157" s="1" t="s">
        <v>157</v>
      </c>
      <c r="B157" s="2" t="str">
        <f>IFERROR(__xludf.DUMMYFUNCTION("SPLIT(A157, "":"")"),"Wearable Health Tech")</f>
        <v>Wearable Health Tech</v>
      </c>
      <c r="C157" s="3" t="str">
        <f>IFERROR(__xludf.DUMMYFUNCTION("""COMPUTED_VALUE""")," Devices that individuals wear often connected to apps to monitor and collect data on health metrics like heart rate physical activity and sleep")</f>
        <v> Devices that individuals wear often connected to apps to monitor and collect data on health metrics like heart rate physical activity and sleep</v>
      </c>
    </row>
    <row r="158">
      <c r="A158" s="1" t="s">
        <v>158</v>
      </c>
      <c r="B158" s="2" t="str">
        <f>IFERROR(__xludf.DUMMYFUNCTION("SPLIT(A158, "":"")"),"Interoperability")</f>
        <v>Interoperability</v>
      </c>
      <c r="C158" s="3" t="str">
        <f>IFERROR(__xludf.DUMMYFUNCTION("""COMPUTED_VALUE""")," The ability of different information systems devices or applications to connect and exchange data in a coordinated manner within and across organizational boundaries")</f>
        <v> The ability of different information systems devices or applications to connect and exchange data in a coordinated manner within and across organizational boundaries</v>
      </c>
    </row>
    <row r="159">
      <c r="A159" s="1" t="s">
        <v>159</v>
      </c>
      <c r="B159" s="2" t="str">
        <f>IFERROR(__xludf.DUMMYFUNCTION("SPLIT(A159, "":"")"),"PHR")</f>
        <v>PHR</v>
      </c>
      <c r="C159" s="3" t="str">
        <f>IFERROR(__xludf.DUMMYFUNCTION("""COMPUTED_VALUE""")," Personal Health Record - An electronic application used by patients to maintain and manage their health information in a private secure and confidential environment")</f>
        <v> Personal Health Record - An electronic application used by patients to maintain and manage their health information in a private secure and confidential environment</v>
      </c>
    </row>
    <row r="160">
      <c r="A160" s="1" t="s">
        <v>160</v>
      </c>
      <c r="B160" s="2" t="str">
        <f>IFERROR(__xludf.DUMMYFUNCTION("SPLIT(A160, "":"")"),"Blockchain in Healthcare")</f>
        <v>Blockchain in Healthcare</v>
      </c>
      <c r="C160" s="3" t="str">
        <f>IFERROR(__xludf.DUMMYFUNCTION("""COMPUTED_VALUE""")," A decentralized digital ledger technology being explored to securely exchange health data and increase transparency in medical supply chains")</f>
        <v> A decentralized digital ledger technology being explored to securely exchange health data and increase transparency in medical supply chains</v>
      </c>
    </row>
    <row r="161">
      <c r="A161" s="1" t="s">
        <v>161</v>
      </c>
      <c r="B161" s="2" t="str">
        <f>IFERROR(__xludf.DUMMYFUNCTION("SPLIT(A161, "":"")"),"IoMT")</f>
        <v>IoMT</v>
      </c>
      <c r="C161" s="3" t="str">
        <f>IFERROR(__xludf.DUMMYFUNCTION("""COMPUTED_VALUE""")," Internet of Medical Things - A connected infrastructure of medical devices and healthcare systems that enables machine-to-machine communication for monitoring patients and collecting data")</f>
        <v> Internet of Medical Things - A connected infrastructure of medical devices and healthcare systems that enables machine-to-machine communication for monitoring patients and collecting data</v>
      </c>
    </row>
    <row r="162">
      <c r="A162" s="1" t="s">
        <v>162</v>
      </c>
      <c r="B162" s="2" t="str">
        <f>IFERROR(__xludf.DUMMYFUNCTION("SPLIT(A162, "":"")"),"Telemedicine")</f>
        <v>Telemedicine</v>
      </c>
      <c r="C162" s="3" t="str">
        <f>IFERROR(__xludf.DUMMYFUNCTION("""COMPUTED_VALUE""")," The use of telecommunications technology to provide clinical healthcare from a distance")</f>
        <v> The use of telecommunications technology to provide clinical healthcare from a distance</v>
      </c>
    </row>
    <row r="163">
      <c r="A163" s="1" t="s">
        <v>163</v>
      </c>
      <c r="B163" s="2" t="str">
        <f>IFERROR(__xludf.DUMMYFUNCTION("SPLIT(A163, "":"")"),"eRx")</f>
        <v>eRx</v>
      </c>
      <c r="C163" s="3" t="str">
        <f>IFERROR(__xludf.DUMMYFUNCTION("""COMPUTED_VALUE""")," Electronic Prescribing - The use of electronic systems to write and fill prescriptions")</f>
        <v> Electronic Prescribing - The use of electronic systems to write and fill prescriptions</v>
      </c>
    </row>
    <row r="164">
      <c r="A164" s="1" t="s">
        <v>164</v>
      </c>
      <c r="B164" s="2" t="str">
        <f>IFERROR(__xludf.DUMMYFUNCTION("SPLIT(A164, "":"")"),"mHealth")</f>
        <v>mHealth</v>
      </c>
      <c r="C164" s="3" t="str">
        <f>IFERROR(__xludf.DUMMYFUNCTION("""COMPUTED_VALUE""")," Mobile Health - The use of mobile devices to support public health and clinical practice")</f>
        <v> Mobile Health - The use of mobile devices to support public health and clinical practice</v>
      </c>
    </row>
    <row r="165">
      <c r="A165" s="1" t="s">
        <v>165</v>
      </c>
      <c r="B165" s="2" t="str">
        <f>IFERROR(__xludf.DUMMYFUNCTION("SPLIT(A165, "":"")"),"FHIR Consent Resource")</f>
        <v>FHIR Consent Resource</v>
      </c>
      <c r="C165" s="3" t="str">
        <f>IFERROR(__xludf.DUMMYFUNCTION("""COMPUTED_VALUE""")," A resource used in FHIR to represent patient consent for the sharing of their health data")</f>
        <v> A resource used in FHIR to represent patient consent for the sharing of their health data</v>
      </c>
    </row>
    <row r="166">
      <c r="A166" s="1" t="s">
        <v>166</v>
      </c>
      <c r="B166" s="2" t="str">
        <f>IFERROR(__xludf.DUMMYFUNCTION("SPLIT(A166, "":"")"),"FHIR Encounter Resource")</f>
        <v>FHIR Encounter Resource</v>
      </c>
      <c r="C166" s="3" t="str">
        <f>IFERROR(__xludf.DUMMYFUNCTION("""COMPUTED_VALUE""")," A FHIR resource that records details about an interaction between a patient and a healthcare provider")</f>
        <v> A FHIR resource that records details about an interaction between a patient and a healthcare provider</v>
      </c>
    </row>
    <row r="167">
      <c r="A167" s="1" t="s">
        <v>167</v>
      </c>
      <c r="B167" s="2" t="str">
        <f>IFERROR(__xludf.DUMMYFUNCTION("SPLIT(A167, "":"")"),"FHIR Patient Resource")</f>
        <v>FHIR Patient Resource</v>
      </c>
      <c r="C167" s="3" t="str">
        <f>IFERROR(__xludf.DUMMYFUNCTION("""COMPUTED_VALUE""")," A FHIR resource used to store and exchange patient demographic data such as name gender date of birth and contact information")</f>
        <v> A FHIR resource used to store and exchange patient demographic data such as name gender date of birth and contact information</v>
      </c>
    </row>
    <row r="168">
      <c r="A168" s="1" t="s">
        <v>168</v>
      </c>
      <c r="B168" s="2" t="str">
        <f>IFERROR(__xludf.DUMMYFUNCTION("SPLIT(A168, "":"")"),"FHIR Observation Resource")</f>
        <v>FHIR Observation Resource</v>
      </c>
      <c r="C168" s="3" t="str">
        <f>IFERROR(__xludf.DUMMYFUNCTION("""COMPUTED_VALUE""")," A FHIR resource that represents clinical observations such as vital signs lab results or physical exam findings")</f>
        <v> A FHIR resource that represents clinical observations such as vital signs lab results or physical exam findings</v>
      </c>
    </row>
    <row r="169">
      <c r="A169" s="1" t="s">
        <v>169</v>
      </c>
      <c r="B169" s="2" t="str">
        <f>IFERROR(__xludf.DUMMYFUNCTION("SPLIT(A169, "":"")"),"RBRVS")</f>
        <v>RBRVS</v>
      </c>
      <c r="C169" s="3" t="str">
        <f>IFERROR(__xludf.DUMMYFUNCTION("""COMPUTED_VALUE""")," Resource-Based Relative Value Scale - A schema used to determine how much money medical providers should be paid used in the US by Medicare")</f>
        <v> Resource-Based Relative Value Scale - A schema used to determine how much money medical providers should be paid used in the US by Medicare</v>
      </c>
    </row>
    <row r="170">
      <c r="A170" s="1" t="s">
        <v>170</v>
      </c>
      <c r="B170" s="2" t="str">
        <f>IFERROR(__xludf.DUMMYFUNCTION("SPLIT(A170, "":"")"),"Fee-for-Service")</f>
        <v>Fee-for-Service</v>
      </c>
      <c r="C170" s="3" t="str">
        <f>IFERROR(__xludf.DUMMYFUNCTION("""COMPUTED_VALUE""")," A traditional payment model where healthcare providers are paid for each service provided such as a test or procedure")</f>
        <v> A traditional payment model where healthcare providers are paid for each service provided such as a test or procedure</v>
      </c>
    </row>
    <row r="171">
      <c r="A171" s="1" t="s">
        <v>171</v>
      </c>
      <c r="B171" s="2" t="str">
        <f>IFERROR(__xludf.DUMMYFUNCTION("SPLIT(A171, "":"")"),"PBM")</f>
        <v>PBM</v>
      </c>
      <c r="C171" s="3" t="str">
        <f>IFERROR(__xludf.DUMMYFUNCTION("""COMPUTED_VALUE""")," Pharmacy Benefit Manager - An entity that manages prescription drug benefits on behalf of health insurers Medicare Part D drug plans large employers and other payers")</f>
        <v> Pharmacy Benefit Manager - An entity that manages prescription drug benefits on behalf of health insurers Medicare Part D drug plans large employers and other payers</v>
      </c>
    </row>
    <row r="172">
      <c r="A172" s="1" t="s">
        <v>172</v>
      </c>
      <c r="B172" s="2" t="str">
        <f>IFERROR(__xludf.DUMMYFUNCTION("SPLIT(A172, "":"")"),"Medicaid Expansion")</f>
        <v>Medicaid Expansion</v>
      </c>
      <c r="C172" s="3" t="str">
        <f>IFERROR(__xludf.DUMMYFUNCTION("""COMPUTED_VALUE""")," A provision in the Affordable Care Act that expands Medicaid eligibility to more low-income individuals")</f>
        <v> A provision in the Affordable Care Act that expands Medicaid eligibility to more low-income individuals</v>
      </c>
    </row>
    <row r="173">
      <c r="A173" s="1" t="s">
        <v>173</v>
      </c>
      <c r="B173" s="2" t="str">
        <f>IFERROR(__xludf.DUMMYFUNCTION("SPLIT(A173, "":"")"),"Dual Eligibles")</f>
        <v>Dual Eligibles</v>
      </c>
      <c r="C173" s="3" t="str">
        <f>IFERROR(__xludf.DUMMYFUNCTION("""COMPUTED_VALUE""")," Individuals who are eligible for both Medicare and Medicaid")</f>
        <v> Individuals who are eligible for both Medicare and Medicaid</v>
      </c>
    </row>
    <row r="174">
      <c r="A174" s="1" t="s">
        <v>174</v>
      </c>
      <c r="B174" s="2" t="str">
        <f>IFERROR(__xludf.DUMMYFUNCTION("SPLIT(A174, "":"")"),"Medicare Part D")</f>
        <v>Medicare Part D</v>
      </c>
      <c r="C174" s="3" t="str">
        <f>IFERROR(__xludf.DUMMYFUNCTION("""COMPUTED_VALUE""")," A federal program to subsidize the costs of prescription drugs for Medicare beneficiaries")</f>
        <v> A federal program to subsidize the costs of prescription drugs for Medicare beneficiaries</v>
      </c>
    </row>
    <row r="175">
      <c r="A175" s="1" t="s">
        <v>175</v>
      </c>
      <c r="B175" s="2" t="str">
        <f>IFERROR(__xludf.DUMMYFUNCTION("SPLIT(A175, "":"")"),"Cures Act Final Rule")</f>
        <v>Cures Act Final Rule</v>
      </c>
      <c r="C175" s="3" t="str">
        <f>IFERROR(__xludf.DUMMYFUNCTION("""COMPUTED_VALUE""")," A 2020 regulation from the ONC that supports patients' access to electronic health information and bans practices that prevent the sharing of healthcare data (information blocking)")</f>
        <v> A 2020 regulation from the ONC that supports patients' access to electronic health information and bans practices that prevent the sharing of healthcare data (information blocking)</v>
      </c>
    </row>
    <row r="176">
      <c r="A176" s="1" t="s">
        <v>176</v>
      </c>
      <c r="B176" s="2" t="str">
        <f>IFERROR(__xludf.DUMMYFUNCTION("SPLIT(A176, "":"")"),"All-Payer Model")</f>
        <v>All-Payer Model</v>
      </c>
      <c r="C176" s="3" t="str">
        <f>IFERROR(__xludf.DUMMYFUNCTION("""COMPUTED_VALUE""")," A payment system in which all payers (Medicare Medicaid private insurance) use the same rates for services at hospitals or doctors")</f>
        <v> A payment system in which all payers (Medicare Medicaid private insurance) use the same rates for services at hospitals or doctors</v>
      </c>
    </row>
    <row r="177">
      <c r="A177" s="1" t="s">
        <v>177</v>
      </c>
      <c r="B177" s="2" t="str">
        <f>IFERROR(__xludf.DUMMYFUNCTION("SPLIT(A177, "":"")"),"Hospital at Home")</f>
        <v>Hospital at Home</v>
      </c>
      <c r="C177" s="3" t="str">
        <f>IFERROR(__xludf.DUMMYFUNCTION("""COMPUTED_VALUE""")," A model of care where acute care services are provided in a patient's home as an alternative to hospitalization")</f>
        <v> A model of care where acute care services are provided in a patient's home as an alternative to hospitalization</v>
      </c>
    </row>
    <row r="178">
      <c r="A178" s="1" t="s">
        <v>178</v>
      </c>
      <c r="B178" s="2" t="str">
        <f>IFERROR(__xludf.DUMMYFUNCTION("SPLIT(A178, "":"")"),"Closed-loop referrals")</f>
        <v>Closed-loop referrals</v>
      </c>
      <c r="C178" s="3" t="str">
        <f>IFERROR(__xludf.DUMMYFUNCTION("""COMPUTED_VALUE""")," A process in which patient referrals are tracked and documented from initiation to completion ensuring proper follow-up care")</f>
        <v> A process in which patient referrals are tracked and documented from initiation to completion ensuring proper follow-up care</v>
      </c>
    </row>
    <row r="179">
      <c r="A179" s="1" t="s">
        <v>179</v>
      </c>
      <c r="B179" s="2" t="str">
        <f>IFERROR(__xludf.DUMMYFUNCTION("SPLIT(A179, "":"")"),"Centralized EMR")</f>
        <v>Centralized EMR</v>
      </c>
      <c r="C179" s="3" t="str">
        <f>IFERROR(__xludf.DUMMYFUNCTION("""COMPUTED_VALUE""")," A unified electronic medical records system accessible across different healthcare facilities for better continuity of care")</f>
        <v> A unified electronic medical records system accessible across different healthcare facilities for better continuity of care</v>
      </c>
    </row>
    <row r="180">
      <c r="A180" s="1" t="s">
        <v>180</v>
      </c>
      <c r="B180" s="2" t="str">
        <f>IFERROR(__xludf.DUMMYFUNCTION("SPLIT(A180, "":"")"),"EMS")</f>
        <v>EMS</v>
      </c>
      <c r="C180" s="3" t="str">
        <f>IFERROR(__xludf.DUMMYFUNCTION("""COMPUTED_VALUE""")," Emergency Medical Services - A critical component of emergency response systems providing pre-hospital emergency care and transport")</f>
        <v> Emergency Medical Services - A critical component of emergency response systems providing pre-hospital emergency care and transport</v>
      </c>
    </row>
    <row r="181">
      <c r="A181" s="1" t="s">
        <v>181</v>
      </c>
      <c r="B181" s="2" t="str">
        <f>IFERROR(__xludf.DUMMYFUNCTION("SPLIT(A181, "":"")"),"Reference-based pricing")</f>
        <v>Reference-based pricing</v>
      </c>
      <c r="C181" s="3" t="str">
        <f>IFERROR(__xludf.DUMMYFUNCTION("""COMPUTED_VALUE""")," A healthcare pricing strategy that sets a maximum payment amount for specific services typically based on a percentage of Medicare rates")</f>
        <v> A healthcare pricing strategy that sets a maximum payment amount for specific services typically based on a percentage of Medicare rates</v>
      </c>
    </row>
    <row r="182">
      <c r="A182" s="1" t="s">
        <v>182</v>
      </c>
      <c r="B182" s="2" t="str">
        <f>IFERROR(__xludf.DUMMYFUNCTION("SPLIT(A182, "":"")"),"Global Budgeting")</f>
        <v>Global Budgeting</v>
      </c>
      <c r="C182" s="3" t="str">
        <f>IFERROR(__xludf.DUMMYFUNCTION("""COMPUTED_VALUE""")," A method of hospital financing where a fixed budget is provided for all care aimed at controlling costs while improving quality")</f>
        <v> A method of hospital financing where a fixed budget is provided for all care aimed at controlling costs while improving quality</v>
      </c>
    </row>
    <row r="183">
      <c r="A183" s="1" t="s">
        <v>183</v>
      </c>
      <c r="B183" s="2" t="str">
        <f>IFERROR(__xludf.DUMMYFUNCTION("SPLIT(A183, "":"")"),"Ambulatory Surgery")</f>
        <v>Ambulatory Surgery</v>
      </c>
      <c r="C183" s="3" t="str">
        <f>IFERROR(__xludf.DUMMYFUNCTION("""COMPUTED_VALUE""")," A healthcare service where surgical procedures are performed on an outpatient basis reducing the need for inpatient hospital care")</f>
        <v> A healthcare service where surgical procedures are performed on an outpatient basis reducing the need for inpatient hospital care</v>
      </c>
    </row>
    <row r="184">
      <c r="A184" s="1" t="s">
        <v>184</v>
      </c>
      <c r="B184" s="2" t="str">
        <f>IFERROR(__xludf.DUMMYFUNCTION("SPLIT(A184, "":"")"),"Rural Emergency Hospital (REH)")</f>
        <v>Rural Emergency Hospital (REH)</v>
      </c>
      <c r="C184" s="3" t="str">
        <f>IFERROR(__xludf.DUMMYFUNCTION("""COMPUTED_VALUE""")," A facility designation under which small rural hospitals can convert to an emergency care center while maintaining outpatient services to address rural health needs")</f>
        <v> A facility designation under which small rural hospitals can convert to an emergency care center while maintaining outpatient services to address rural health needs</v>
      </c>
    </row>
    <row r="185">
      <c r="A185" s="1" t="s">
        <v>185</v>
      </c>
      <c r="B185" s="2" t="str">
        <f>IFERROR(__xludf.DUMMYFUNCTION("SPLIT(A185, "":"")"),"Disproportionate Share Hospital (DSH) Payments")</f>
        <v>Disproportionate Share Hospital (DSH) Payments</v>
      </c>
      <c r="C185" s="3" t="str">
        <f>IFERROR(__xludf.DUMMYFUNCTION("""COMPUTED_VALUE""")," Payments provided to hospitals that serve a large number of low-income patients to ensure financial sustainability")</f>
        <v> Payments provided to hospitals that serve a large number of low-income patients to ensure financial sustainability</v>
      </c>
    </row>
    <row r="186">
      <c r="A186" s="1" t="s">
        <v>186</v>
      </c>
      <c r="B186" s="2" t="str">
        <f>IFERROR(__xludf.DUMMYFUNCTION("SPLIT(A186, "":"")"),"GMCB")</f>
        <v>GMCB</v>
      </c>
      <c r="C186" s="3" t="str">
        <f>IFERROR(__xludf.DUMMYFUNCTION("""COMPUTED_VALUE""")," Green Mountain Care Board - The regulatory body responsible for overseeing the Vermont healthcare system including hospital budgets and payment reforms")</f>
        <v> Green Mountain Care Board - The regulatory body responsible for overseeing the Vermont healthcare system including hospital budgets and payment reforms</v>
      </c>
    </row>
    <row r="187">
      <c r="A187" s="1" t="s">
        <v>187</v>
      </c>
      <c r="B187" s="2" t="str">
        <f>IFERROR(__xludf.DUMMYFUNCTION("SPLIT(A187, "":"")"),"Regionalization of Care")</f>
        <v>Regionalization of Care</v>
      </c>
      <c r="C187" s="3" t="str">
        <f>IFERROR(__xludf.DUMMYFUNCTION("""COMPUTED_VALUE""")," A healthcare strategy where specialized services are consolidated into regional centers to improve quality and reduce costs")</f>
        <v> A healthcare strategy where specialized services are consolidated into regional centers to improve quality and reduce costs</v>
      </c>
    </row>
    <row r="188">
      <c r="A188" s="1" t="s">
        <v>188</v>
      </c>
      <c r="B188" s="2" t="str">
        <f>IFERROR(__xludf.DUMMYFUNCTION("SPLIT(A188, "":"")"),"Ambulatory Care Center")</f>
        <v>Ambulatory Care Center</v>
      </c>
      <c r="C188" s="3" t="str">
        <f>IFERROR(__xludf.DUMMYFUNCTION("""COMPUTED_VALUE""")," A healthcare facility that provides a variety of outpatient services such as diagnostic tests minor surgeries and consultations")</f>
        <v> A healthcare facility that provides a variety of outpatient services such as diagnostic tests minor surgeries and consultations</v>
      </c>
    </row>
    <row r="189">
      <c r="A189" s="1" t="s">
        <v>189</v>
      </c>
      <c r="B189" s="2" t="str">
        <f>IFERROR(__xludf.DUMMYFUNCTION("SPLIT(A189, "":"")"),"PACE")</f>
        <v>PACE</v>
      </c>
      <c r="C189" s="3" t="str">
        <f>IFERROR(__xludf.DUMMYFUNCTION("""COMPUTED_VALUE""")," Program of All-Inclusive Care for the Elderly - A Medicare and Medicaid program that helps people meet healthcare needs in the community instead of going to a nursing home")</f>
        <v> Program of All-Inclusive Care for the Elderly - A Medicare and Medicaid program that helps people meet healthcare needs in the community instead of going to a nursing home</v>
      </c>
    </row>
    <row r="190">
      <c r="A190" s="1" t="s">
        <v>190</v>
      </c>
      <c r="B190" s="2" t="str">
        <f>IFERROR(__xludf.DUMMYFUNCTION("SPLIT(A190, "":"")"),"Primary Care Shortages")</f>
        <v>Primary Care Shortages</v>
      </c>
      <c r="C190" s="3" t="str">
        <f>IFERROR(__xludf.DUMMYFUNCTION("""COMPUTED_VALUE""")," A critical issue where there is insufficient access to primary healthcare providers leading to long wait times and decreased healthcare quality")</f>
        <v> A critical issue where there is insufficient access to primary healthcare providers leading to long wait times and decreased healthcare quality</v>
      </c>
    </row>
    <row r="191">
      <c r="A191" s="1" t="s">
        <v>191</v>
      </c>
      <c r="B191" s="2" t="str">
        <f>IFERROR(__xludf.DUMMYFUNCTION("SPLIT(A191, "":"")"),"Workforce Shortages")</f>
        <v>Workforce Shortages</v>
      </c>
      <c r="C191" s="3" t="str">
        <f>IFERROR(__xludf.DUMMYFUNCTION("""COMPUTED_VALUE""")," A significant issue in healthcare especially in rural Vermont where hospitals face a shortage of physicians nurses and other critical staff")</f>
        <v> A significant issue in healthcare especially in rural Vermont where hospitals face a shortage of physicians nurses and other critical staff</v>
      </c>
    </row>
    <row r="192">
      <c r="A192" s="1" t="s">
        <v>192</v>
      </c>
      <c r="B192" s="2" t="str">
        <f>IFERROR(__xludf.DUMMYFUNCTION("SPLIT(A192, "":"")"),"Cross-subsidization")</f>
        <v>Cross-subsidization</v>
      </c>
      <c r="C192" s="3" t="str">
        <f>IFERROR(__xludf.DUMMYFUNCTION("""COMPUTED_VALUE""")," The practice of charging higher prices to one group of patients (eg commercially insured) to offset the costs of providing care to another group (eg Medicare/Medicaid)")</f>
        <v> The practice of charging higher prices to one group of patients (eg commercially insured) to offset the costs of providing care to another group (eg Medicare/Medicaid)</v>
      </c>
    </row>
    <row r="193">
      <c r="A193" s="1" t="s">
        <v>193</v>
      </c>
      <c r="B193" s="2" t="str">
        <f>IFERROR(__xludf.DUMMYFUNCTION("SPLIT(A193, "":"")"),"Out-of-pocket maximum (OOP)")</f>
        <v>Out-of-pocket maximum (OOP)</v>
      </c>
      <c r="C193" s="3" t="str">
        <f>IFERROR(__xludf.DUMMYFUNCTION("""COMPUTED_VALUE""")," The maximum amount a patient has to pay for healthcare services in a year after which the insurance covers all additional costs")</f>
        <v> The maximum amount a patient has to pay for healthcare services in a year after which the insurance covers all additional costs</v>
      </c>
    </row>
    <row r="194">
      <c r="A194" s="1" t="s">
        <v>194</v>
      </c>
      <c r="B194" s="2" t="str">
        <f>IFERROR(__xludf.DUMMYFUNCTION("SPLIT(A194, "":"")"),"Health Equity")</f>
        <v>Health Equity</v>
      </c>
      <c r="C194" s="3" t="str">
        <f>IFERROR(__xludf.DUMMYFUNCTION("""COMPUTED_VALUE""")," Ensuring that everyone has a fair and just opportunity to be as healthy as possible by addressing inequalities in healthcare access and outcomes")</f>
        <v> Ensuring that everyone has a fair and just opportunity to be as healthy as possible by addressing inequalities in healthcare access and outcomes</v>
      </c>
    </row>
    <row r="195">
      <c r="A195" s="1" t="s">
        <v>195</v>
      </c>
      <c r="B195" s="2" t="str">
        <f>IFERROR(__xludf.DUMMYFUNCTION("SPLIT(A195, "":"")"),"Premium Subsidization")</f>
        <v>Premium Subsidization</v>
      </c>
      <c r="C195" s="3" t="str">
        <f>IFERROR(__xludf.DUMMYFUNCTION("""COMPUTED_VALUE""")," A financial strategy where higher premiums in commercial insurance plans help subsidize the costs for public programs like Medicare and Medicaid")</f>
        <v> A financial strategy where higher premiums in commercial insurance plans help subsidize the costs for public programs like Medicare and Medicaid</v>
      </c>
    </row>
    <row r="196">
      <c r="A196" s="1" t="s">
        <v>196</v>
      </c>
      <c r="B196" s="2" t="str">
        <f>IFERROR(__xludf.DUMMYFUNCTION("SPLIT(A196, "":"")"),"SNF")</f>
        <v>SNF</v>
      </c>
      <c r="C196" s="3" t="str">
        <f>IFERROR(__xludf.DUMMYFUNCTION("""COMPUTED_VALUE""")," Skilled Nursing Facility - A healthcare facility providing a high level of medical care and nursing services typically for rehabilitation or long-term care")</f>
        <v> Skilled Nursing Facility - A healthcare facility providing a high level of medical care and nursing services typically for rehabilitation or long-term care</v>
      </c>
    </row>
    <row r="197">
      <c r="A197" s="1" t="s">
        <v>197</v>
      </c>
      <c r="B197" s="2" t="str">
        <f>IFERROR(__xludf.DUMMYFUNCTION("SPLIT(A197, "":"")"),"Care Coordination")</f>
        <v>Care Coordination</v>
      </c>
      <c r="C197" s="3" t="str">
        <f>IFERROR(__xludf.DUMMYFUNCTION("""COMPUTED_VALUE""")," Deliberate organization of patient care activities between two or more participants involved in a patient\u2019s care to facilitate appropriate healthcare delivery")</f>
        <v> Deliberate organization of patient care activities between two or more participants involved in a patient\u2019s care to facilitate appropriate healthcare delivery</v>
      </c>
    </row>
    <row r="198">
      <c r="A198" s="1" t="s">
        <v>198</v>
      </c>
      <c r="B198" s="2" t="str">
        <f>IFERROR(__xludf.DUMMYFUNCTION("SPLIT(A198, "":"")"),"Workforce Development")</f>
        <v>Workforce Development</v>
      </c>
      <c r="C198" s="3" t="str">
        <f>IFERROR(__xludf.DUMMYFUNCTION("""COMPUTED_VALUE""")," Programs and strategies designed to recruit retain and train healthcare professionals to address staffing shortages and meet healthcare needs")</f>
        <v> Programs and strategies designed to recruit retain and train healthcare professionals to address staffing shortages and meet healthcare needs</v>
      </c>
    </row>
    <row r="199">
      <c r="A199" s="1" t="s">
        <v>199</v>
      </c>
      <c r="B199" s="2" t="str">
        <f>IFERROR(__xludf.DUMMYFUNCTION("SPLIT(A199, "":"")"),"Mobile Health Clinics")</f>
        <v>Mobile Health Clinics</v>
      </c>
      <c r="C199" s="3" t="str">
        <f>IFERROR(__xludf.DUMMYFUNCTION("""COMPUTED_VALUE""")," Healthcare services provided via mobile units to reach underserved populations particularly in rural areas")</f>
        <v> Healthcare services provided via mobile units to reach underserved populations particularly in rural areas</v>
      </c>
    </row>
    <row r="200">
      <c r="A200" s="1" t="s">
        <v>200</v>
      </c>
      <c r="B200" s="2" t="str">
        <f>IFERROR(__xludf.DUMMYFUNCTION("SPLIT(A200, "":"")"),"Community Paramedicine")</f>
        <v>Community Paramedicine</v>
      </c>
      <c r="C200" s="3" t="str">
        <f>IFERROR(__xludf.DUMMYFUNCTION("""COMPUTED_VALUE""")," A healthcare model where paramedics provide non-emergency medical care in the community helping to reduce emergency department visits")</f>
        <v> A healthcare model where paramedics provide non-emergency medical care in the community helping to reduce emergency department visits</v>
      </c>
    </row>
    <row r="201">
      <c r="A201" s="1" t="s">
        <v>201</v>
      </c>
      <c r="B201" s="2" t="str">
        <f>IFERROR(__xludf.DUMMYFUNCTION("SPLIT(A201, "":"")"),"Non-Emergent Transportation")</f>
        <v>Non-Emergent Transportation</v>
      </c>
      <c r="C201" s="3" t="str">
        <f>IFERROR(__xludf.DUMMYFUNCTION("""COMPUTED_VALUE""")," Transport services for patients who need assistance getting to non-emergency medical appointments helping to reduce missed healthcare visits")</f>
        <v> Transport services for patients who need assistance getting to non-emergency medical appointments helping to reduce missed healthcare visits</v>
      </c>
    </row>
    <row r="202">
      <c r="A202" s="1" t="s">
        <v>202</v>
      </c>
      <c r="B202" s="2" t="str">
        <f>IFERROR(__xludf.DUMMYFUNCTION("SPLIT(A202, "":"")"),"HL7 V2")</f>
        <v>HL7 V2</v>
      </c>
      <c r="C202" s="3" t="str">
        <f>IFERROR(__xludf.DUMMYFUNCTION("""COMPUTED_VALUE""")," Version 2 of the HL7 standard widely used for the exchange of clinical data with a focus on messaging structures to support interoperability between health systems")</f>
        <v> Version 2 of the HL7 standard widely used for the exchange of clinical data with a focus on messaging structures to support interoperability between health systems</v>
      </c>
    </row>
    <row r="203">
      <c r="A203" s="1" t="s">
        <v>203</v>
      </c>
      <c r="B203" s="2" t="str">
        <f>IFERROR(__xludf.DUMMYFUNCTION("SPLIT(A203, "":"")"),"HL7 V3")</f>
        <v>HL7 V3</v>
      </c>
      <c r="C203" s="3" t="str">
        <f>IFERROR(__xludf.DUMMYFUNCTION("""COMPUTED_VALUE""")," Version 3 of HL7 which uses a formal methodology to create standardized healthcare messages that are richer and more flexible than V2 but less widely adopted")</f>
        <v> Version 3 of HL7 which uses a formal methodology to create standardized healthcare messages that are richer and more flexible than V2 but less widely adopted</v>
      </c>
    </row>
    <row r="204">
      <c r="A204" s="1" t="s">
        <v>204</v>
      </c>
      <c r="B204" s="2" t="str">
        <f>IFERROR(__xludf.DUMMYFUNCTION("SPLIT(A204, "":"")"),"HL7 ACK")</f>
        <v>HL7 ACK</v>
      </c>
      <c r="C204" s="3" t="str">
        <f>IFERROR(__xludf.DUMMYFUNCTION("""COMPUTED_VALUE""")," Acknowledgment - A type of message sent in response to another HL7 message to confirm its receipt and acceptance or rejection")</f>
        <v> Acknowledgment - A type of message sent in response to another HL7 message to confirm its receipt and acceptance or rejection</v>
      </c>
    </row>
    <row r="205">
      <c r="A205" s="1" t="s">
        <v>205</v>
      </c>
      <c r="B205" s="2" t="str">
        <f>IFERROR(__xludf.DUMMYFUNCTION("SPLIT(A205, "":"")"),"HL7 Z-segment")</f>
        <v>HL7 Z-segment</v>
      </c>
      <c r="C205" s="3" t="str">
        <f>IFERROR(__xludf.DUMMYFUNCTION("""COMPUTED_VALUE""")," Custom segments in HL7 used by organizations for fields not covered in the existing HL7 standards")</f>
        <v> Custom segments in HL7 used by organizations for fields not covered in the existing HL7 standards</v>
      </c>
    </row>
    <row r="206">
      <c r="A206" s="1" t="s">
        <v>206</v>
      </c>
      <c r="B206" s="2" t="str">
        <f>IFERROR(__xludf.DUMMYFUNCTION("SPLIT(A206, "":"")"),"HL7 Segment")</f>
        <v>HL7 Segment</v>
      </c>
      <c r="C206" s="3" t="str">
        <f>IFERROR(__xludf.DUMMYFUNCTION("""COMPUTED_VALUE""")," The individual building blocks of an HL7 message each consisting of fields and sub-fields that carry specific healthcare data (eg PID for Patient Identification)")</f>
        <v> The individual building blocks of an HL7 message each consisting of fields and sub-fields that carry specific healthcare data (eg PID for Patient Identification)</v>
      </c>
    </row>
    <row r="207">
      <c r="A207" s="1" t="s">
        <v>207</v>
      </c>
      <c r="B207" s="2" t="str">
        <f>IFERROR(__xludf.DUMMYFUNCTION("SPLIT(A207, "":"")"),"HL7 Message")</f>
        <v>HL7 Message</v>
      </c>
      <c r="C207" s="3" t="str">
        <f>IFERROR(__xludf.DUMMYFUNCTION("""COMPUTED_VALUE""")," A group of segments that communicate information from one healthcare system to another (eg lab results patient admission)")</f>
        <v> A group of segments that communicate information from one healthcare system to another (eg lab results patient admission)</v>
      </c>
    </row>
    <row r="208">
      <c r="A208" s="1" t="s">
        <v>208</v>
      </c>
      <c r="B208" s="2" t="str">
        <f>IFERROR(__xludf.DUMMYFUNCTION("SPLIT(A208, "":"")"),"HL7 MSH")</f>
        <v>HL7 MSH</v>
      </c>
      <c r="C208" s="3" t="str">
        <f>IFERROR(__xludf.DUMMYFUNCTION("""COMPUTED_VALUE""")," Message Header - The first segment of every HL7 message which contains metadata such as sending and receiving systems message type and timestamp")</f>
        <v> Message Header - The first segment of every HL7 message which contains metadata such as sending and receiving systems message type and timestamp</v>
      </c>
    </row>
    <row r="209">
      <c r="A209" s="1" t="s">
        <v>209</v>
      </c>
      <c r="B209" s="2" t="str">
        <f>IFERROR(__xludf.DUMMYFUNCTION("SPLIT(A209, "":"")"),"HL7 PID")</f>
        <v>HL7 PID</v>
      </c>
      <c r="C209" s="3" t="str">
        <f>IFERROR(__xludf.DUMMYFUNCTION("""COMPUTED_VALUE""")," Patient Identification - A segment used in HL7 messages that contains patient demographics such as name medical record number and date of birth")</f>
        <v> Patient Identification - A segment used in HL7 messages that contains patient demographics such as name medical record number and date of birth</v>
      </c>
    </row>
    <row r="210">
      <c r="A210" s="1" t="s">
        <v>210</v>
      </c>
      <c r="B210" s="2" t="str">
        <f>IFERROR(__xludf.DUMMYFUNCTION("SPLIT(A210, "":"")"),"HL7 OBX")</f>
        <v>HL7 OBX</v>
      </c>
      <c r="C210" s="3" t="str">
        <f>IFERROR(__xludf.DUMMYFUNCTION("""COMPUTED_VALUE""")," Observation Result Segment - A segment used in HL7 messages to send clinical observations such as lab results or vital signs")</f>
        <v> Observation Result Segment - A segment used in HL7 messages to send clinical observations such as lab results or vital signs</v>
      </c>
    </row>
    <row r="211">
      <c r="A211" s="1" t="s">
        <v>211</v>
      </c>
      <c r="B211" s="2" t="str">
        <f>IFERROR(__xludf.DUMMYFUNCTION("SPLIT(A211, "":"")"),"FHIR JSON")</f>
        <v>FHIR JSON</v>
      </c>
      <c r="C211" s="3" t="str">
        <f>IFERROR(__xludf.DUMMYFUNCTION("""COMPUTED_VALUE""")," JavaScript Object Notation - The format used by FHIR to structure data making it easy to transmit between healthcare systems using APIs")</f>
        <v> JavaScript Object Notation - The format used by FHIR to structure data making it easy to transmit between healthcare systems using APIs</v>
      </c>
    </row>
    <row r="212">
      <c r="A212" s="1" t="s">
        <v>212</v>
      </c>
      <c r="B212" s="2" t="str">
        <f>IFERROR(__xludf.DUMMYFUNCTION("SPLIT(A212, "":"")"),"FHIR XML")</f>
        <v>FHIR XML</v>
      </c>
      <c r="C212" s="3" t="str">
        <f>IFERROR(__xludf.DUMMYFUNCTION("""COMPUTED_VALUE""")," An alternative format to JSON used by FHIR to represent healthcare data in a structured format for exchange between systems")</f>
        <v> An alternative format to JSON used by FHIR to represent healthcare data in a structured format for exchange between systems</v>
      </c>
    </row>
    <row r="213">
      <c r="A213" s="1" t="s">
        <v>213</v>
      </c>
      <c r="B213" s="2" t="str">
        <f>IFERROR(__xludf.DUMMYFUNCTION("SPLIT(A213, "":"")"),"FHIR R4")</f>
        <v>FHIR R4</v>
      </c>
      <c r="C213" s="3" t="str">
        <f>IFERROR(__xludf.DUMMYFUNCTION("""COMPUTED_VALUE""")," The fourth major release of FHIR which is the first normative version meaning it is stable for long-term use and widely implemented")</f>
        <v> The fourth major release of FHIR which is the first normative version meaning it is stable for long-term use and widely implemented</v>
      </c>
    </row>
    <row r="214">
      <c r="A214" s="1" t="s">
        <v>214</v>
      </c>
      <c r="B214" s="2" t="str">
        <f>IFERROR(__xludf.DUMMYFUNCTION("SPLIT(A214, "":"")"),"FHIR STU3")</f>
        <v>FHIR STU3</v>
      </c>
      <c r="C214" s="3" t="str">
        <f>IFERROR(__xludf.DUMMYFUNCTION("""COMPUTED_VALUE""")," The third release of FHIR known as the Standard for Trial Use 3 which introduced key improvements over previous versions but is not normative")</f>
        <v> The third release of FHIR known as the Standard for Trial Use 3 which introduced key improvements over previous versions but is not normative</v>
      </c>
    </row>
    <row r="215">
      <c r="A215" s="1" t="s">
        <v>215</v>
      </c>
      <c r="B215" s="2" t="str">
        <f>IFERROR(__xludf.DUMMYFUNCTION("SPLIT(A215, "":"")"),"21st Century Cures Act")</f>
        <v>21st Century Cures Act</v>
      </c>
      <c r="C215" s="3" t="str">
        <f>IFERROR(__xludf.DUMMYFUNCTION("""COMPUTED_VALUE""")," Legislation aimed at advancing interoperability promoting patient access to data and preventing information blocking by healthcare providers and developers")</f>
        <v> Legislation aimed at advancing interoperability promoting patient access to data and preventing information blocking by healthcare providers and developers</v>
      </c>
    </row>
    <row r="216">
      <c r="A216" s="1" t="s">
        <v>216</v>
      </c>
      <c r="B216" s="2" t="str">
        <f>IFERROR(__xludf.DUMMYFUNCTION("SPLIT(A216, "":"")"),"ONC")</f>
        <v>ONC</v>
      </c>
      <c r="C216" s="3" t="str">
        <f>IFERROR(__xludf.DUMMYFUNCTION("""COMPUTED_VALUE""")," Office of the National Coordinator for Health Information Technology - A federal entity that promotes the adoption of health information technology and the electronic exchange of health information")</f>
        <v> Office of the National Coordinator for Health Information Technology - A federal entity that promotes the adoption of health information technology and the electronic exchange of health information</v>
      </c>
    </row>
    <row r="217">
      <c r="A217" s="1" t="s">
        <v>217</v>
      </c>
      <c r="B217" s="2" t="str">
        <f>IFERROR(__xludf.DUMMYFUNCTION("SPLIT(A217, "":"")"),"HITRUST CSF")</f>
        <v>HITRUST CSF</v>
      </c>
      <c r="C217" s="3" t="str">
        <f>IFERROR(__xludf.DUMMYFUNCTION("""COMPUTED_VALUE""")," Health Information Trust Alliance Common Security Framework - A certifiable framework that provides organizations with a comprehensive and flexible approach to regulatory compliance and risk management")</f>
        <v> Health Information Trust Alliance Common Security Framework - A certifiable framework that provides organizations with a comprehensive and flexible approach to regulatory compliance and risk management</v>
      </c>
    </row>
    <row r="218">
      <c r="A218" s="1" t="s">
        <v>218</v>
      </c>
      <c r="B218" s="2" t="str">
        <f>IFERROR(__xludf.DUMMYFUNCTION("SPLIT(A218, "":"")"),"IHE")</f>
        <v>IHE</v>
      </c>
      <c r="C218" s="3" t="str">
        <f>IFERROR(__xludf.DUMMYFUNCTION("""COMPUTED_VALUE""")," Integrating the Healthcare Enterprise - An initiative to improve the way healthcare systems exchange information and share resources using established standards such as HL7 and DICOM")</f>
        <v> Integrating the Healthcare Enterprise - An initiative to improve the way healthcare systems exchange information and share resources using established standards such as HL7 and DICOM</v>
      </c>
    </row>
    <row r="219">
      <c r="A219" s="1" t="s">
        <v>219</v>
      </c>
      <c r="B219" s="2" t="str">
        <f>IFERROR(__xludf.DUMMYFUNCTION("SPLIT(A219, "":"")"),"Direct Messaging")</f>
        <v>Direct Messaging</v>
      </c>
      <c r="C219" s="3" t="str">
        <f>IFERROR(__xludf.DUMMYFUNCTION("""COMPUTED_VALUE""")," A secure encrypted email-like service used by healthcare providers to exchange clinical data over the DirectTrust network")</f>
        <v> A secure encrypted email-like service used by healthcare providers to exchange clinical data over the DirectTrust network</v>
      </c>
    </row>
    <row r="220">
      <c r="A220" s="1" t="s">
        <v>220</v>
      </c>
      <c r="B220" s="2" t="str">
        <f>IFERROR(__xludf.DUMMYFUNCTION("SPLIT(A220, "":"")"),"eMPI")</f>
        <v>eMPI</v>
      </c>
      <c r="C220" s="3" t="str">
        <f>IFERROR(__xludf.DUMMYFUNCTION("""COMPUTED_VALUE""")," Enterprise Master Patient Index - A database that maintains unique patient identifiers to ensure that a patient\u2019s records are matched across multiple healthcare systems")</f>
        <v> Enterprise Master Patient Index - A database that maintains unique patient identifiers to ensure that a patient\u2019s records are matched across multiple healthcare systems</v>
      </c>
    </row>
    <row r="221">
      <c r="A221" s="1" t="s">
        <v>221</v>
      </c>
      <c r="B221" s="2" t="str">
        <f>IFERROR(__xludf.DUMMYFUNCTION("SPLIT(A221, "":"")"),"Patient Matching")</f>
        <v>Patient Matching</v>
      </c>
      <c r="C221" s="3" t="str">
        <f>IFERROR(__xludf.DUMMYFUNCTION("""COMPUTED_VALUE""")," The process of accurately identifying a patient\u2019s records across multiple healthcare systems or providers to ensure continuity of care")</f>
        <v> The process of accurately identifying a patient\u2019s records across multiple healthcare systems or providers to ensure continuity of care</v>
      </c>
    </row>
    <row r="222">
      <c r="A222" s="1" t="s">
        <v>222</v>
      </c>
      <c r="B222" s="2" t="str">
        <f>IFERROR(__xludf.DUMMYFUNCTION("SPLIT(A222, "":"")"),"CCD")</f>
        <v>CCD</v>
      </c>
      <c r="C222" s="3" t="str">
        <f>IFERROR(__xludf.DUMMYFUNCTION("""COMPUTED_VALUE""")," Continuity of Care Document - A standardized format for the exchange of patient summary information part of the HL7 CDA framework")</f>
        <v> Continuity of Care Document - A standardized format for the exchange of patient summary information part of the HL7 CDA framework</v>
      </c>
    </row>
    <row r="223">
      <c r="A223" s="1" t="s">
        <v>223</v>
      </c>
      <c r="B223" s="2" t="str">
        <f>IFERROR(__xludf.DUMMYFUNCTION("SPLIT(A223, "":"")"),"CCDA")</f>
        <v>CCDA</v>
      </c>
      <c r="C223" s="3" t="str">
        <f>IFERROR(__xludf.DUMMYFUNCTION("""COMPUTED_VALUE""")," Consolidated Clinical Document Architecture - An HL7 standard that provides a framework for clinical document exchange supporting continuity of care across different settings")</f>
        <v> Consolidated Clinical Document Architecture - An HL7 standard that provides a framework for clinical document exchange supporting continuity of care across different settings</v>
      </c>
    </row>
    <row r="224">
      <c r="A224" s="1" t="s">
        <v>224</v>
      </c>
      <c r="B224" s="2" t="str">
        <f>IFERROR(__xludf.DUMMYFUNCTION("SPLIT(A224, "":"")"),"X12")</f>
        <v>X12</v>
      </c>
      <c r="C224" s="3" t="str">
        <f>IFERROR(__xludf.DUMMYFUNCTION("""COMPUTED_VALUE""")," A set of standards for the electronic exchange of business data including healthcare transactions such as claims and remittance advice")</f>
        <v> A set of standards for the electronic exchange of business data including healthcare transactions such as claims and remittance advice</v>
      </c>
    </row>
    <row r="225">
      <c r="A225" s="1" t="s">
        <v>225</v>
      </c>
      <c r="B225" s="2" t="str">
        <f>IFERROR(__xludf.DUMMYFUNCTION("SPLIT(A225, "":"")"),"XDS")</f>
        <v>XDS</v>
      </c>
      <c r="C225" s="3" t="str">
        <f>IFERROR(__xludf.DUMMYFUNCTION("""COMPUTED_VALUE""")," Cross-Enterprise Document Sharing - A protocol for sharing medical documents across healthcare organizations in a standardized way")</f>
        <v> Cross-Enterprise Document Sharing - A protocol for sharing medical documents across healthcare organizations in a standardized way</v>
      </c>
    </row>
    <row r="226">
      <c r="A226" s="1" t="s">
        <v>226</v>
      </c>
      <c r="B226" s="2" t="str">
        <f>IFERROR(__xludf.DUMMYFUNCTION("SPLIT(A226, "":"")"),"IHE XDR")</f>
        <v>IHE XDR</v>
      </c>
      <c r="C226" s="3" t="str">
        <f>IFERROR(__xludf.DUMMYFUNCTION("""COMPUTED_VALUE""")," Cross-Enterprise Document Reliable Interchange - A secure and reliable method of exchanging documents between healthcare systems using web services")</f>
        <v> Cross-Enterprise Document Reliable Interchange - A secure and reliable method of exchanging documents between healthcare systems using web services</v>
      </c>
    </row>
    <row r="227">
      <c r="A227" s="1" t="s">
        <v>227</v>
      </c>
      <c r="B227" s="2" t="str">
        <f>IFERROR(__xludf.DUMMYFUNCTION("SPLIT(A227, "":"")"),"eCQM")</f>
        <v>eCQM</v>
      </c>
      <c r="C227" s="3" t="str">
        <f>IFERROR(__xludf.DUMMYFUNCTION("""COMPUTED_VALUE""")," Electronic Clinical Quality Measure - A tool that uses data from EHRs and HIEs to measure the quality of care provided by healthcare professionals")</f>
        <v> Electronic Clinical Quality Measure - A tool that uses data from EHRs and HIEs to measure the quality of care provided by healthcare professionals</v>
      </c>
    </row>
    <row r="228">
      <c r="A228" s="1" t="s">
        <v>228</v>
      </c>
      <c r="B228" s="2" t="str">
        <f>IFERROR(__xludf.DUMMYFUNCTION("SPLIT(A228, "":"")"),"OAuth 20")</f>
        <v>OAuth 20</v>
      </c>
      <c r="C228" s="3" t="str">
        <f>IFERROR(__xludf.DUMMYFUNCTION("""COMPUTED_VALUE""")," An authorization framework that allows third-party applications to access a user's resources without exposing credentials often used in healthcare for accessing EHR data securely")</f>
        <v> An authorization framework that allows third-party applications to access a user's resources without exposing credentials often used in healthcare for accessing EHR data securely</v>
      </c>
    </row>
    <row r="229">
      <c r="A229" s="1" t="s">
        <v>229</v>
      </c>
      <c r="B229" s="2" t="str">
        <f>IFERROR(__xludf.DUMMYFUNCTION("SPLIT(A229, "":"")"),"HL7 API")</f>
        <v>HL7 API</v>
      </c>
      <c r="C229" s="3" t="str">
        <f>IFERROR(__xludf.DUMMYFUNCTION("""COMPUTED_VALUE""")," An application programming interface (API) used to enable systems to interact with HL7 standards for exchanging healthcare data")</f>
        <v> An application programming interface (API) used to enable systems to interact with HL7 standards for exchanging healthcare data</v>
      </c>
    </row>
    <row r="230">
      <c r="A230" s="1" t="s">
        <v>230</v>
      </c>
      <c r="B230" s="2" t="str">
        <f>IFERROR(__xludf.DUMMYFUNCTION("SPLIT(A230, "":"")"),"Open API")</f>
        <v>Open API</v>
      </c>
      <c r="C230" s="3" t="str">
        <f>IFERROR(__xludf.DUMMYFUNCTION("""COMPUTED_VALUE""")," An API that is publicly available for software developers to access and use promoting interoperability between different health systems")</f>
        <v> An API that is publicly available for software developers to access and use promoting interoperability between different health systems</v>
      </c>
    </row>
    <row r="231">
      <c r="A231" s="1" t="s">
        <v>231</v>
      </c>
      <c r="B231" s="2" t="str">
        <f>IFERROR(__xludf.DUMMYFUNCTION("SPLIT(A231, "":"")"),"Interoperability Standards")</f>
        <v>Interoperability Standards</v>
      </c>
      <c r="C231" s="3" t="str">
        <f>IFERROR(__xludf.DUMMYFUNCTION("""COMPUTED_VALUE""")," A set of standards protocols and specifications that enable different health IT systems to communicate and exchange information")</f>
        <v> A set of standards protocols and specifications that enable different health IT systems to communicate and exchange information</v>
      </c>
    </row>
    <row r="232">
      <c r="A232" s="1" t="s">
        <v>232</v>
      </c>
      <c r="B232" s="2" t="str">
        <f>IFERROR(__xludf.DUMMYFUNCTION("SPLIT(A232, "":"")"),"USCDI")</f>
        <v>USCDI</v>
      </c>
      <c r="C232" s="3" t="str">
        <f>IFERROR(__xludf.DUMMYFUNCTION("""COMPUTED_VALUE""")," United States Core Data for Interoperability - A standardized set of health data classes and elements required to support nationwide interoperable health information exchange")</f>
        <v> United States Core Data for Interoperability - A standardized set of health data classes and elements required to support nationwide interoperable health information exchange</v>
      </c>
    </row>
    <row r="233">
      <c r="A233" s="1" t="s">
        <v>233</v>
      </c>
      <c r="B233" s="2" t="str">
        <f>IFERROR(__xludf.DUMMYFUNCTION("SPLIT(A233, "":"")"),"Surescripts")</f>
        <v>Surescripts</v>
      </c>
      <c r="C233" s="3" t="str">
        <f>IFERROR(__xludf.DUMMYFUNCTION("""COMPUTED_VALUE""")," A health information network that connects healthcare providers pharmacies and payers to exchange clinical data and electronic prescriptions")</f>
        <v> A health information network that connects healthcare providers pharmacies and payers to exchange clinical data and electronic prescriptions</v>
      </c>
    </row>
    <row r="234">
      <c r="A234" s="1" t="s">
        <v>234</v>
      </c>
      <c r="B234" s="2" t="str">
        <f>IFERROR(__xludf.DUMMYFUNCTION("SPLIT(A234, "":"")"),"HIPAA")</f>
        <v>HIPAA</v>
      </c>
      <c r="C234" s="3" t="str">
        <f>IFERROR(__xludf.DUMMYFUNCTION("""COMPUTED_VALUE""")," Health Insurance Portability and Accountability Act - US legislation providing data privacy and security provisions for safeguarding medical information")</f>
        <v> Health Insurance Portability and Accountability Act - US legislation providing data privacy and security provisions for safeguarding medical information</v>
      </c>
    </row>
    <row r="235">
      <c r="A235" s="1" t="s">
        <v>235</v>
      </c>
      <c r="B235" s="2" t="str">
        <f>IFERROR(__xludf.DUMMYFUNCTION("SPLIT(A235, "":"")"),"HIPAA Security Rule")</f>
        <v>HIPAA Security Rule</v>
      </c>
      <c r="C235" s="3" t="str">
        <f>IFERROR(__xludf.DUMMYFUNCTION("""COMPUTED_VALUE""")," A regulation within HIPAA that mandates the protection of electronic health information through administrative physical and technical safeguards")</f>
        <v> A regulation within HIPAA that mandates the protection of electronic health information through administrative physical and technical safeguards</v>
      </c>
    </row>
    <row r="236">
      <c r="A236" s="1" t="s">
        <v>236</v>
      </c>
      <c r="B236" s="2" t="str">
        <f>IFERROR(__xludf.DUMMYFUNCTION("SPLIT(A236, "":"")"),"PHI")</f>
        <v>PHI</v>
      </c>
      <c r="C236" s="3" t="str">
        <f>IFERROR(__xludf.DUMMYFUNCTION("""COMPUTED_VALUE""")," Protected Health Information - Any information about health status provision of healthcare or payment for healthcare that can be linked to an individual")</f>
        <v> Protected Health Information - Any information about health status provision of healthcare or payment for healthcare that can be linked to an individual</v>
      </c>
    </row>
    <row r="237">
      <c r="A237" s="1" t="s">
        <v>237</v>
      </c>
      <c r="B237" s="2" t="str">
        <f>IFERROR(__xludf.DUMMYFUNCTION("SPLIT(A237, "":"")"),"BAA")</f>
        <v>BAA</v>
      </c>
      <c r="C237" s="3" t="str">
        <f>IFERROR(__xludf.DUMMYFUNCTION("""COMPUTED_VALUE""")," Business Associate Agreement - A contract between a HIPAA-covered entity and a third-party service provider to ensure compliance with HIPAA when PHI is involved")</f>
        <v> Business Associate Agreement - A contract between a HIPAA-covered entity and a third-party service provider to ensure compliance with HIPAA when PHI is involved</v>
      </c>
    </row>
    <row r="238">
      <c r="A238" s="1" t="s">
        <v>238</v>
      </c>
      <c r="B238" s="2" t="str">
        <f>IFERROR(__xludf.DUMMYFUNCTION("SPLIT(A238, "":"")"),"SOC 2")</f>
        <v>SOC 2</v>
      </c>
      <c r="C238" s="3" t="str">
        <f>IFERROR(__xludf.DUMMYFUNCTION("""COMPUTED_VALUE""")," Service Organization Control 2 - A compliance framework used by companies to assess and report on their information security practices often required for handling sensitive healthcare data")</f>
        <v> Service Organization Control 2 - A compliance framework used by companies to assess and report on their information security practices often required for handling sensitive healthcare data</v>
      </c>
    </row>
    <row r="239">
      <c r="A239" s="1" t="s">
        <v>239</v>
      </c>
      <c r="B239" s="2" t="str">
        <f>IFERROR(__xludf.DUMMYFUNCTION("SPLIT(A239, "":"")"),"FHIR")</f>
        <v>FHIR</v>
      </c>
      <c r="C239" s="3" t="str">
        <f>IFERROR(__xludf.DUMMYFUNCTION("""COMPUTED_VALUE""")," Fast Healthcare Interoperability Resources - A standard describing data formats and elements for exchanging electronic health records")</f>
        <v> Fast Healthcare Interoperability Resources - A standard describing data formats and elements for exchanging electronic health records</v>
      </c>
    </row>
    <row r="240">
      <c r="A240" s="1" t="s">
        <v>240</v>
      </c>
      <c r="B240" s="2" t="str">
        <f>IFERROR(__xludf.DUMMYFUNCTION("SPLIT(A240, "":"")"),"CPOE")</f>
        <v>CPOE</v>
      </c>
      <c r="C240" s="3" t="str">
        <f>IFERROR(__xludf.DUMMYFUNCTION("""COMPUTED_VALUE""")," Computerized Physician Order Entry - A process of electronic entry of medical practitioner instructions for the treatment of patients under their care")</f>
        <v> Computerized Physician Order Entry - A process of electronic entry of medical practitioner instructions for the treatment of patients under their care</v>
      </c>
    </row>
    <row r="241">
      <c r="A241" s="1" t="s">
        <v>241</v>
      </c>
      <c r="B241" s="2" t="str">
        <f>IFERROR(__xludf.DUMMYFUNCTION("SPLIT(A241, "":"")"),"PACS")</f>
        <v>PACS</v>
      </c>
      <c r="C241" s="3" t="str">
        <f>IFERROR(__xludf.DUMMYFUNCTION("""COMPUTED_VALUE""")," Picture Archiving and Communication System - A medical imaging technology that provides economical storage and convenient access to images from multiple modalities")</f>
        <v> Picture Archiving and Communication System - A medical imaging technology that provides economical storage and convenient access to images from multiple modalities</v>
      </c>
    </row>
    <row r="242">
      <c r="A242" s="1" t="s">
        <v>242</v>
      </c>
      <c r="B242" s="2" t="str">
        <f>IFERROR(__xludf.DUMMYFUNCTION("SPLIT(A242, "":"")"),"Data Interoperability")</f>
        <v>Data Interoperability</v>
      </c>
      <c r="C242" s="3" t="str">
        <f>IFERROR(__xludf.DUMMYFUNCTION("""COMPUTED_VALUE""")," The ability of different healthcare systems and applications to access exchange integrate and cooperatively use data in a coordinated manner")</f>
        <v> The ability of different healthcare systems and applications to access exchange integrate and cooperatively use data in a coordinated manner</v>
      </c>
    </row>
    <row r="243">
      <c r="A243" s="1" t="s">
        <v>243</v>
      </c>
      <c r="B243" s="2" t="str">
        <f>IFERROR(__xludf.DUMMYFUNCTION("SPLIT(A243, "":"")"),"ePHI")</f>
        <v>ePHI</v>
      </c>
      <c r="C243" s="3" t="str">
        <f>IFERROR(__xludf.DUMMYFUNCTION("""COMPUTED_VALUE""")," Electronic Protected Health Information - Any protected health information (PHI) that is created stored transmitted or received in any electronic format")</f>
        <v> Electronic Protected Health Information - Any protected health information (PHI) that is created stored transmitted or received in any electronic format</v>
      </c>
    </row>
    <row r="244">
      <c r="A244" s="1" t="s">
        <v>244</v>
      </c>
      <c r="B244" s="2" t="str">
        <f>IFERROR(__xludf.DUMMYFUNCTION("SPLIT(A244, "":"")"),"HITRUST")</f>
        <v>HITRUST</v>
      </c>
      <c r="C244" s="3" t="str">
        <f>IFERROR(__xludf.DUMMYFUNCTION("""COMPUTED_VALUE""")," Health Information Trust Alliance - An organization that provides a security framework that harmonizes multiple regulations and standards into one certifiable framework for healthcare information protection")</f>
        <v> Health Information Trust Alliance - An organization that provides a security framework that harmonizes multiple regulations and standards into one certifiable framework for healthcare information protection</v>
      </c>
    </row>
    <row r="245">
      <c r="A245" s="1" t="s">
        <v>245</v>
      </c>
      <c r="B245" s="2" t="str">
        <f>IFERROR(__xludf.DUMMYFUNCTION("SPLIT(A245, "":"")"),"Telehealth Parity Laws")</f>
        <v>Telehealth Parity Laws</v>
      </c>
      <c r="C245" s="3" t="str">
        <f>IFERROR(__xludf.DUMMYFUNCTION("""COMPUTED_VALUE""")," Laws that require insurers to reimburse telehealth services at the same rate as in-person care")</f>
        <v> Laws that require insurers to reimburse telehealth services at the same rate as in-person care</v>
      </c>
    </row>
    <row r="246">
      <c r="A246" s="1" t="s">
        <v>246</v>
      </c>
      <c r="B246" s="2" t="str">
        <f>IFERROR(__xludf.DUMMYFUNCTION("SPLIT(A246, "":"")"),"Revenue Cycle Management")</f>
        <v>Revenue Cycle Management</v>
      </c>
      <c r="C246" s="3" t="str">
        <f>IFERROR(__xludf.DUMMYFUNCTION("""COMPUTED_VALUE""")," The financial process that facilities use to track patient care episodes from registration and appointment scheduling to the final payment of a balance")</f>
        <v> The financial process that facilities use to track patient care episodes from registration and appointment scheduling to the final payment of a balance</v>
      </c>
    </row>
    <row r="247">
      <c r="A247" s="1" t="s">
        <v>247</v>
      </c>
      <c r="B247" s="2" t="str">
        <f>IFERROR(__xludf.DUMMYFUNCTION("SPLIT(A247, "":"")"),"Patient-Centered Care")</f>
        <v>Patient-Centered Care</v>
      </c>
      <c r="C247" s="3" t="str">
        <f>IFERROR(__xludf.DUMMYFUNCTION("""COMPUTED_VALUE""")," A healthcare approach that ensures the preferences needs and values of patients guide all clinical decisions")</f>
        <v> A healthcare approach that ensures the preferences needs and values of patients guide all clinical decisions</v>
      </c>
    </row>
    <row r="248">
      <c r="A248" s="1" t="s">
        <v>248</v>
      </c>
      <c r="B248" s="2" t="str">
        <f>IFERROR(__xludf.DUMMYFUNCTION("SPLIT(A248, "":"")"),"Patient Engagement")</f>
        <v>Patient Engagement</v>
      </c>
      <c r="C248" s="3" t="str">
        <f>IFERROR(__xludf.DUMMYFUNCTION("""COMPUTED_VALUE""")," The process of involving patients in their own healthcare ensuring they have the tools resources and knowledge to make informed decisions")</f>
        <v> The process of involving patients in their own healthcare ensuring they have the tools resources and knowledge to make informed decisions</v>
      </c>
    </row>
    <row r="249">
      <c r="A249" s="1" t="s">
        <v>249</v>
      </c>
      <c r="B249" s="2" t="str">
        <f>IFERROR(__xludf.DUMMYFUNCTION("SPLIT(A249, "":"")"),"Hospital Sustainability")</f>
        <v>Hospital Sustainability</v>
      </c>
      <c r="C249" s="3" t="str">
        <f>IFERROR(__xludf.DUMMYFUNCTION("""COMPUTED_VALUE""")," Efforts and strategies used by hospitals to maintain financial viability and operational effectiveness in the face of economic pressures")</f>
        <v> Efforts and strategies used by hospitals to maintain financial viability and operational effectiveness in the face of economic pressures</v>
      </c>
    </row>
    <row r="250">
      <c r="A250" s="1" t="s">
        <v>250</v>
      </c>
      <c r="B250" s="2" t="str">
        <f>IFERROR(__xludf.DUMMYFUNCTION("SPLIT(A250, "":"")"),"Health Disparities")</f>
        <v>Health Disparities</v>
      </c>
      <c r="C250" s="3" t="str">
        <f>IFERROR(__xludf.DUMMYFUNCTION("""COMPUTED_VALUE""")," Differences in health outcomes and access to healthcare across different populations")</f>
        <v> Differences in health outcomes and access to healthcare across different populations</v>
      </c>
    </row>
    <row r="251">
      <c r="A251" s="1" t="s">
        <v>251</v>
      </c>
      <c r="B251" s="2" t="str">
        <f>IFERROR(__xludf.DUMMYFUNCTION("SPLIT(A251, "":"")"),"EMR Optimization")</f>
        <v>EMR Optimization</v>
      </c>
      <c r="C251" s="3" t="str">
        <f>IFERROR(__xludf.DUMMYFUNCTION("""COMPUTED_VALUE""")," The process of refining electronic medical record systems to improve usability efficiency and clinical outcomes")</f>
        <v> The process of refining electronic medical record systems to improve usability efficiency and clinical outcomes</v>
      </c>
    </row>
    <row r="252">
      <c r="A252" s="1" t="s">
        <v>252</v>
      </c>
      <c r="B252" s="2" t="str">
        <f>IFERROR(__xludf.DUMMYFUNCTION("SPLIT(A252, "":"")"),"ADL")</f>
        <v>ADL</v>
      </c>
      <c r="C252" s="3" t="str">
        <f>IFERROR(__xludf.DUMMYFUNCTION("""COMPUTED_VALUE""")," Activities of Daily Living - Everyday activities such as eating bathing and dressing that are often used to measure a patient's functional status")</f>
        <v> Activities of Daily Living - Everyday activities such as eating bathing and dressing that are often used to measure a patient's functional status</v>
      </c>
    </row>
  </sheetData>
  <drawing r:id="rId1"/>
</worksheet>
</file>